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O:\AREA COMUNICAZIONE\SITO INTERNET A&amp;T2000\RISULTATI RACCOLTA\2023\I semestre 2023\"/>
    </mc:Choice>
  </mc:AlternateContent>
  <xr:revisionPtr revIDLastSave="0" documentId="8_{D75B2D41-B96A-476B-B4BB-1129D838128A}" xr6:coauthVersionLast="47" xr6:coauthVersionMax="47" xr10:uidLastSave="{00000000-0000-0000-0000-000000000000}"/>
  <bookViews>
    <workbookView xWindow="5100" yWindow="690" windowWidth="21600" windowHeight="14790" xr2:uid="{00000000-000D-0000-FFFF-FFFF00000000}"/>
  </bookViews>
  <sheets>
    <sheet name="Legenda" sheetId="1" r:id="rId1"/>
    <sheet name="AMARO" sheetId="2" r:id="rId2"/>
    <sheet name="AMPEZZO" sheetId="3" r:id="rId3"/>
    <sheet name="ARTA TERME" sheetId="4" r:id="rId4"/>
    <sheet name="ARTEGNA" sheetId="5" r:id="rId5"/>
    <sheet name="BASILIANO" sheetId="6" r:id="rId6"/>
    <sheet name="BERTIOLO" sheetId="7" r:id="rId7"/>
    <sheet name="BORDANO" sheetId="8" r:id="rId8"/>
    <sheet name="BUTTRIO" sheetId="9" r:id="rId9"/>
    <sheet name="CAMINO AL " sheetId="10" r:id="rId10"/>
    <sheet name="CAMPOFORMI" sheetId="11" r:id="rId11"/>
    <sheet name="CAVAZZO CA" sheetId="12" r:id="rId12"/>
    <sheet name="CERCIVENTO" sheetId="13" r:id="rId13"/>
    <sheet name="CODROIPO" sheetId="14" r:id="rId14"/>
    <sheet name="COLLOREDO " sheetId="15" r:id="rId15"/>
    <sheet name="COMEGLIANS" sheetId="16" r:id="rId16"/>
    <sheet name="CORNO DI R" sheetId="17" r:id="rId17"/>
    <sheet name="COSEANO" sheetId="18" r:id="rId18"/>
    <sheet name="DIGNANO" sheetId="19" r:id="rId19"/>
    <sheet name="DOGNA" sheetId="20" r:id="rId20"/>
    <sheet name="ENEMONZO" sheetId="21" r:id="rId21"/>
    <sheet name="FAGAGNA" sheetId="22" r:id="rId22"/>
    <sheet name="FLAIBANO" sheetId="23" r:id="rId23"/>
    <sheet name="FORGARIA N" sheetId="24" r:id="rId24"/>
    <sheet name="FORNI AVOL" sheetId="25" r:id="rId25"/>
    <sheet name="FORNI DI S" sheetId="26" r:id="rId26"/>
    <sheet name="FORNI DI S 1" sheetId="27" r:id="rId27"/>
    <sheet name="GEMONA DEL" sheetId="28" r:id="rId28"/>
    <sheet name="LAUCO" sheetId="29" r:id="rId29"/>
    <sheet name="LESTIZZA" sheetId="30" r:id="rId30"/>
    <sheet name="LUSEVERA" sheetId="31" r:id="rId31"/>
    <sheet name="MAGNANO IN" sheetId="32" r:id="rId32"/>
    <sheet name="MAJANO" sheetId="33" r:id="rId33"/>
    <sheet name="MARTIGNACC" sheetId="34" r:id="rId34"/>
    <sheet name="MOGGIO UDI" sheetId="35" r:id="rId35"/>
    <sheet name="MOIMACCO" sheetId="36" r:id="rId36"/>
    <sheet name="MONTENARS" sheetId="37" r:id="rId37"/>
    <sheet name="MORTEGLIAN" sheetId="38" r:id="rId38"/>
    <sheet name="MORUZZO" sheetId="39" r:id="rId39"/>
    <sheet name="NIMIS" sheetId="40" r:id="rId40"/>
    <sheet name="OSOPPO" sheetId="41" r:id="rId41"/>
    <sheet name="OVARO" sheetId="42" r:id="rId42"/>
    <sheet name="PAGNACCO" sheetId="43" r:id="rId43"/>
    <sheet name="PALUZZA" sheetId="44" r:id="rId44"/>
    <sheet name="PASIAN DI " sheetId="45" r:id="rId45"/>
    <sheet name="PAULARO" sheetId="46" r:id="rId46"/>
    <sheet name="PAVIA DI U" sheetId="47" r:id="rId47"/>
    <sheet name="POZZUOLO D" sheetId="48" r:id="rId48"/>
    <sheet name="PRADAMANO" sheetId="49" r:id="rId49"/>
    <sheet name="PRATO CARN" sheetId="50" r:id="rId50"/>
    <sheet name="PREMARIACC" sheetId="51" r:id="rId51"/>
    <sheet name="PREONE" sheetId="52" r:id="rId52"/>
    <sheet name="RAGOGNA" sheetId="53" r:id="rId53"/>
    <sheet name="RAVASCLETT" sheetId="54" r:id="rId54"/>
    <sheet name="RAVEO" sheetId="55" r:id="rId55"/>
    <sheet name="REANA DEL " sheetId="56" r:id="rId56"/>
    <sheet name="REMANZACCO" sheetId="57" r:id="rId57"/>
    <sheet name="RESIUTTA" sheetId="58" r:id="rId58"/>
    <sheet name="RIGOLATO" sheetId="59" r:id="rId59"/>
    <sheet name="RIVE D'ARC" sheetId="60" r:id="rId60"/>
    <sheet name="RIVIGNANO " sheetId="61" r:id="rId61"/>
    <sheet name="SAN DANIEL" sheetId="62" r:id="rId62"/>
    <sheet name="SAN DORLIG" sheetId="63" r:id="rId63"/>
    <sheet name="SAN GIOVAN" sheetId="64" r:id="rId64"/>
    <sheet name="SAN VITO D" sheetId="65" r:id="rId65"/>
    <sheet name="SAPPADA" sheetId="66" r:id="rId66"/>
    <sheet name="SAURIS" sheetId="67" r:id="rId67"/>
    <sheet name="SEDEGLIANO" sheetId="68" r:id="rId68"/>
    <sheet name="SOCCHIEVE" sheetId="69" r:id="rId69"/>
    <sheet name="SUTRIO" sheetId="70" r:id="rId70"/>
    <sheet name="TAIPANA" sheetId="71" r:id="rId71"/>
    <sheet name="TARCENTO" sheetId="72" r:id="rId72"/>
    <sheet name="TOLMEZZO" sheetId="73" r:id="rId73"/>
    <sheet name="TRASAGHIS" sheetId="74" r:id="rId74"/>
    <sheet name="TREPPO GRA" sheetId="75" r:id="rId75"/>
    <sheet name="TREPPO LIG" sheetId="76" r:id="rId76"/>
    <sheet name="VARMO" sheetId="77" r:id="rId77"/>
    <sheet name="VENZONE" sheetId="78" r:id="rId78"/>
    <sheet name="VERZEGNIS" sheetId="79" r:id="rId79"/>
    <sheet name="VILLA SANT" sheetId="80" r:id="rId80"/>
    <sheet name="ZUGLIO" sheetId="81" r:id="rId8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80" l="1"/>
  <c r="G41" i="77"/>
  <c r="G40" i="76"/>
  <c r="H40" i="76" s="1"/>
  <c r="G41" i="74"/>
  <c r="H41" i="74" s="1"/>
  <c r="G41" i="73"/>
  <c r="H41" i="73" s="1"/>
  <c r="G40" i="72"/>
  <c r="H40" i="72" s="1"/>
  <c r="G40" i="71"/>
  <c r="H40" i="71" s="1"/>
  <c r="G41" i="70"/>
  <c r="H41" i="70" s="1"/>
  <c r="G41" i="68"/>
  <c r="G40" i="67"/>
  <c r="H40" i="67" s="1"/>
  <c r="C41" i="66"/>
  <c r="D41" i="66"/>
  <c r="E41" i="66"/>
  <c r="F41" i="66"/>
  <c r="G41" i="64"/>
  <c r="H41" i="64" s="1"/>
  <c r="G41" i="63"/>
  <c r="G41" i="62"/>
  <c r="H41" i="62" s="1"/>
  <c r="G41" i="61"/>
  <c r="H41" i="61" s="1"/>
  <c r="G40" i="60"/>
  <c r="H40" i="60" s="1"/>
  <c r="G41" i="57"/>
  <c r="G41" i="56"/>
  <c r="G41" i="51"/>
  <c r="H41" i="51" s="1"/>
  <c r="G41" i="49"/>
  <c r="H41" i="49" s="1"/>
  <c r="G41" i="48"/>
  <c r="H41" i="48" s="1"/>
  <c r="G41" i="47"/>
  <c r="H41" i="47" s="1"/>
  <c r="C41" i="46"/>
  <c r="D41" i="46"/>
  <c r="E41" i="46"/>
  <c r="F41" i="46"/>
  <c r="G41" i="45"/>
  <c r="H41" i="45" s="1"/>
  <c r="G41" i="43"/>
  <c r="H41" i="43" s="1"/>
  <c r="G41" i="42"/>
  <c r="H41" i="42" s="1"/>
  <c r="G41" i="40"/>
  <c r="H41" i="40"/>
  <c r="G41" i="39"/>
  <c r="G41" i="38"/>
  <c r="H41" i="38" s="1"/>
  <c r="G40" i="37"/>
  <c r="H40" i="37"/>
  <c r="G41" i="34"/>
  <c r="H41" i="34" s="1"/>
  <c r="G41" i="33"/>
  <c r="H41" i="33" s="1"/>
  <c r="G41" i="32"/>
  <c r="G41" i="30"/>
  <c r="H41" i="30" s="1"/>
  <c r="G41" i="28"/>
  <c r="H41" i="28" s="1"/>
  <c r="G40" i="25"/>
  <c r="H40" i="25" s="1"/>
  <c r="G41" i="22"/>
  <c r="H41" i="22" s="1"/>
  <c r="C41" i="21"/>
  <c r="D41" i="21"/>
  <c r="E41" i="21"/>
  <c r="F41" i="21"/>
  <c r="G40" i="19"/>
  <c r="H40" i="19" s="1"/>
  <c r="G41" i="18"/>
  <c r="G40" i="15"/>
  <c r="H40" i="15" s="1"/>
  <c r="G41" i="14"/>
  <c r="H41" i="14" s="1"/>
  <c r="G40" i="12"/>
  <c r="H40" i="12" s="1"/>
  <c r="G41" i="11"/>
  <c r="C41" i="9"/>
  <c r="D41" i="9"/>
  <c r="E41" i="9"/>
  <c r="F41" i="9"/>
  <c r="C41" i="7"/>
  <c r="D41" i="7"/>
  <c r="E41" i="7"/>
  <c r="F41" i="7"/>
  <c r="G41" i="6"/>
  <c r="G41" i="5"/>
  <c r="H41" i="5" s="1"/>
  <c r="G41" i="4"/>
  <c r="H41" i="56" l="1"/>
  <c r="H41" i="39"/>
  <c r="H41" i="57"/>
  <c r="H41" i="32"/>
  <c r="H41" i="63"/>
  <c r="H41" i="68"/>
  <c r="H41" i="77"/>
  <c r="H41" i="80"/>
  <c r="H41" i="18"/>
  <c r="H41" i="11"/>
  <c r="H41" i="6"/>
  <c r="H41" i="4"/>
  <c r="G38" i="81"/>
  <c r="H38" i="81" s="1"/>
  <c r="G37" i="81"/>
  <c r="H37" i="81" s="1"/>
  <c r="G36" i="81"/>
  <c r="H36" i="81" s="1"/>
  <c r="F33" i="81"/>
  <c r="E33" i="81"/>
  <c r="D33" i="81"/>
  <c r="C33" i="81"/>
  <c r="G32" i="81"/>
  <c r="H32" i="81" s="1"/>
  <c r="G31" i="81"/>
  <c r="G30" i="81"/>
  <c r="H30" i="81" s="1"/>
  <c r="G29" i="81"/>
  <c r="H29" i="81" s="1"/>
  <c r="G28" i="81"/>
  <c r="G27" i="81"/>
  <c r="G26" i="81"/>
  <c r="G25" i="81"/>
  <c r="G24" i="81"/>
  <c r="G23" i="81"/>
  <c r="G22" i="81"/>
  <c r="G21" i="81"/>
  <c r="G20" i="81"/>
  <c r="H20" i="81" s="1"/>
  <c r="G19" i="81"/>
  <c r="G18" i="81"/>
  <c r="G17" i="81"/>
  <c r="G16" i="81"/>
  <c r="H16" i="81" s="1"/>
  <c r="G15" i="81"/>
  <c r="G14" i="81"/>
  <c r="G13" i="81"/>
  <c r="G12" i="81"/>
  <c r="G11" i="81"/>
  <c r="H11" i="81" s="1"/>
  <c r="G10" i="81"/>
  <c r="G9" i="81"/>
  <c r="G47" i="80"/>
  <c r="H47" i="80" s="1"/>
  <c r="G46" i="80"/>
  <c r="H46" i="80" s="1"/>
  <c r="G45" i="80"/>
  <c r="H45" i="80" s="1"/>
  <c r="F42" i="80"/>
  <c r="E42" i="80"/>
  <c r="D42" i="80"/>
  <c r="C42" i="80"/>
  <c r="G40" i="80"/>
  <c r="G39" i="80"/>
  <c r="H39" i="80" s="1"/>
  <c r="G38" i="80"/>
  <c r="G37" i="80"/>
  <c r="G36" i="80"/>
  <c r="H36" i="80" s="1"/>
  <c r="G35" i="80"/>
  <c r="G34" i="80"/>
  <c r="G33" i="80"/>
  <c r="G32" i="80"/>
  <c r="G31" i="80"/>
  <c r="G30" i="80"/>
  <c r="H30" i="80" s="1"/>
  <c r="G29" i="80"/>
  <c r="G28" i="80"/>
  <c r="H28" i="80" s="1"/>
  <c r="G27" i="80"/>
  <c r="G26" i="80"/>
  <c r="H26" i="80" s="1"/>
  <c r="G25" i="80"/>
  <c r="G24" i="80"/>
  <c r="G23" i="80"/>
  <c r="G22" i="80"/>
  <c r="G21" i="80"/>
  <c r="H21" i="80" s="1"/>
  <c r="G20" i="80"/>
  <c r="G19" i="80"/>
  <c r="G18" i="80"/>
  <c r="H18" i="80" s="1"/>
  <c r="G17" i="80"/>
  <c r="H17" i="80" s="1"/>
  <c r="G16" i="80"/>
  <c r="G15" i="80"/>
  <c r="H15" i="80" s="1"/>
  <c r="G14" i="80"/>
  <c r="G13" i="80"/>
  <c r="G12" i="80"/>
  <c r="G11" i="80"/>
  <c r="G10" i="80"/>
  <c r="H10" i="80" s="1"/>
  <c r="G9" i="80"/>
  <c r="G39" i="79"/>
  <c r="H39" i="79" s="1"/>
  <c r="G38" i="79"/>
  <c r="H38" i="79" s="1"/>
  <c r="G37" i="79"/>
  <c r="H37" i="79" s="1"/>
  <c r="F34" i="79"/>
  <c r="E34" i="79"/>
  <c r="D34" i="79"/>
  <c r="C34" i="79"/>
  <c r="G33" i="79"/>
  <c r="G32" i="79"/>
  <c r="G31" i="79"/>
  <c r="G30" i="79"/>
  <c r="G29" i="79"/>
  <c r="G28" i="79"/>
  <c r="G27" i="79"/>
  <c r="G26" i="79"/>
  <c r="H26" i="79" s="1"/>
  <c r="G25" i="79"/>
  <c r="H25" i="79" s="1"/>
  <c r="G24" i="79"/>
  <c r="G23" i="79"/>
  <c r="G22" i="79"/>
  <c r="G21" i="79"/>
  <c r="G20" i="79"/>
  <c r="G19" i="79"/>
  <c r="H19" i="79" s="1"/>
  <c r="G18" i="79"/>
  <c r="G17" i="79"/>
  <c r="G16" i="79"/>
  <c r="G15" i="79"/>
  <c r="G14" i="79"/>
  <c r="G13" i="79"/>
  <c r="G12" i="79"/>
  <c r="G11" i="79"/>
  <c r="G10" i="79"/>
  <c r="H10" i="79" s="1"/>
  <c r="G9" i="79"/>
  <c r="H9" i="79" s="1"/>
  <c r="G43" i="78"/>
  <c r="H43" i="78" s="1"/>
  <c r="G42" i="78"/>
  <c r="H42" i="78" s="1"/>
  <c r="G41" i="78"/>
  <c r="H41" i="78" s="1"/>
  <c r="F38" i="78"/>
  <c r="E38" i="78"/>
  <c r="D38" i="78"/>
  <c r="C38" i="78"/>
  <c r="G37" i="78"/>
  <c r="G36" i="78"/>
  <c r="G35" i="78"/>
  <c r="G34" i="78"/>
  <c r="G33" i="78"/>
  <c r="G32" i="78"/>
  <c r="G31" i="78"/>
  <c r="G30" i="78"/>
  <c r="G29" i="78"/>
  <c r="G28" i="78"/>
  <c r="G27" i="78"/>
  <c r="G26" i="78"/>
  <c r="G25" i="78"/>
  <c r="G24" i="78"/>
  <c r="H24" i="78" s="1"/>
  <c r="G23" i="78"/>
  <c r="G22" i="78"/>
  <c r="G21" i="78"/>
  <c r="G20" i="78"/>
  <c r="G19" i="78"/>
  <c r="H19" i="78" s="1"/>
  <c r="G18" i="78"/>
  <c r="G17" i="78"/>
  <c r="G16" i="78"/>
  <c r="H16" i="78" s="1"/>
  <c r="G15" i="78"/>
  <c r="G14" i="78"/>
  <c r="G13" i="78"/>
  <c r="G12" i="78"/>
  <c r="G11" i="78"/>
  <c r="G10" i="78"/>
  <c r="G9" i="78"/>
  <c r="G48" i="77"/>
  <c r="H48" i="77" s="1"/>
  <c r="G47" i="77"/>
  <c r="H47" i="77" s="1"/>
  <c r="G46" i="77"/>
  <c r="H46" i="77" s="1"/>
  <c r="F43" i="77"/>
  <c r="E43" i="77"/>
  <c r="D43" i="77"/>
  <c r="C43" i="77"/>
  <c r="G42" i="77"/>
  <c r="H42" i="77" s="1"/>
  <c r="G40" i="77"/>
  <c r="G39" i="77"/>
  <c r="H39" i="77" s="1"/>
  <c r="G38" i="77"/>
  <c r="G37" i="77"/>
  <c r="G36" i="77"/>
  <c r="G35" i="77"/>
  <c r="G34" i="77"/>
  <c r="G33" i="77"/>
  <c r="G32" i="77"/>
  <c r="G31" i="77"/>
  <c r="H31" i="77" s="1"/>
  <c r="G30" i="77"/>
  <c r="G29" i="77"/>
  <c r="G28" i="77"/>
  <c r="G27" i="77"/>
  <c r="G26" i="77"/>
  <c r="G25" i="77"/>
  <c r="H25" i="77" s="1"/>
  <c r="G24" i="77"/>
  <c r="G23" i="77"/>
  <c r="G22" i="77"/>
  <c r="G21" i="77"/>
  <c r="G20" i="77"/>
  <c r="H20" i="77" s="1"/>
  <c r="G19" i="77"/>
  <c r="H19" i="77" s="1"/>
  <c r="G18" i="77"/>
  <c r="G17" i="77"/>
  <c r="G16" i="77"/>
  <c r="G15" i="77"/>
  <c r="G14" i="77"/>
  <c r="H14" i="77" s="1"/>
  <c r="G13" i="77"/>
  <c r="H12" i="77"/>
  <c r="G12" i="77"/>
  <c r="G11" i="77"/>
  <c r="H11" i="77" s="1"/>
  <c r="G10" i="77"/>
  <c r="G9" i="77"/>
  <c r="G42" i="76"/>
  <c r="H42" i="76" s="1"/>
  <c r="G41" i="76"/>
  <c r="H41" i="76" s="1"/>
  <c r="F37" i="76"/>
  <c r="E37" i="76"/>
  <c r="D37" i="76"/>
  <c r="C37" i="76"/>
  <c r="G36" i="76"/>
  <c r="G35" i="76"/>
  <c r="G34" i="76"/>
  <c r="G33" i="76"/>
  <c r="H33" i="76" s="1"/>
  <c r="G32" i="76"/>
  <c r="H32" i="76" s="1"/>
  <c r="G31" i="76"/>
  <c r="G30" i="76"/>
  <c r="H30" i="76" s="1"/>
  <c r="G29" i="76"/>
  <c r="G28" i="76"/>
  <c r="G27" i="76"/>
  <c r="G26" i="76"/>
  <c r="G25" i="76"/>
  <c r="G24" i="76"/>
  <c r="H24" i="76" s="1"/>
  <c r="G23" i="76"/>
  <c r="G22" i="76"/>
  <c r="G21" i="76"/>
  <c r="H21" i="76" s="1"/>
  <c r="G20" i="76"/>
  <c r="G19" i="76"/>
  <c r="G18" i="76"/>
  <c r="G17" i="76"/>
  <c r="H17" i="76" s="1"/>
  <c r="G16" i="76"/>
  <c r="G15" i="76"/>
  <c r="H15" i="76" s="1"/>
  <c r="G14" i="76"/>
  <c r="H14" i="76" s="1"/>
  <c r="G13" i="76"/>
  <c r="G12" i="76"/>
  <c r="H12" i="76" s="1"/>
  <c r="G11" i="76"/>
  <c r="G10" i="76"/>
  <c r="G9" i="76"/>
  <c r="G26" i="75"/>
  <c r="H26" i="75" s="1"/>
  <c r="G25" i="75"/>
  <c r="H25" i="75" s="1"/>
  <c r="G24" i="75"/>
  <c r="H24" i="75" s="1"/>
  <c r="F21" i="75"/>
  <c r="E21" i="75"/>
  <c r="D21" i="75"/>
  <c r="C21" i="75"/>
  <c r="G20" i="75"/>
  <c r="G19" i="75"/>
  <c r="G18" i="75"/>
  <c r="G17" i="75"/>
  <c r="G16" i="75"/>
  <c r="G15" i="75"/>
  <c r="G14" i="75"/>
  <c r="G13" i="75"/>
  <c r="G12" i="75"/>
  <c r="H12" i="75" s="1"/>
  <c r="G11" i="75"/>
  <c r="G10" i="75"/>
  <c r="H10" i="75" s="1"/>
  <c r="G9" i="75"/>
  <c r="G50" i="74"/>
  <c r="H50" i="74" s="1"/>
  <c r="G49" i="74"/>
  <c r="H49" i="74" s="1"/>
  <c r="G48" i="74"/>
  <c r="H48" i="74" s="1"/>
  <c r="F45" i="74"/>
  <c r="E45" i="74"/>
  <c r="D45" i="74"/>
  <c r="C45" i="74"/>
  <c r="G44" i="74"/>
  <c r="G43" i="74"/>
  <c r="H43" i="74" s="1"/>
  <c r="G42" i="74"/>
  <c r="G40" i="74"/>
  <c r="G39" i="74"/>
  <c r="G38" i="74"/>
  <c r="G37" i="74"/>
  <c r="G36" i="74"/>
  <c r="G35" i="74"/>
  <c r="H35" i="74" s="1"/>
  <c r="G34" i="74"/>
  <c r="G33" i="74"/>
  <c r="G32" i="74"/>
  <c r="G31" i="74"/>
  <c r="H31" i="74" s="1"/>
  <c r="G30" i="74"/>
  <c r="G29" i="74"/>
  <c r="G28" i="74"/>
  <c r="G27" i="74"/>
  <c r="G26" i="74"/>
  <c r="H26" i="74" s="1"/>
  <c r="G25" i="74"/>
  <c r="G24" i="74"/>
  <c r="G23" i="74"/>
  <c r="G22" i="74"/>
  <c r="G21" i="74"/>
  <c r="G20" i="74"/>
  <c r="G19" i="74"/>
  <c r="H19" i="74" s="1"/>
  <c r="G18" i="74"/>
  <c r="G17" i="74"/>
  <c r="G16" i="74"/>
  <c r="G15" i="74"/>
  <c r="H15" i="74" s="1"/>
  <c r="G14" i="74"/>
  <c r="G13" i="74"/>
  <c r="G12" i="74"/>
  <c r="G11" i="74"/>
  <c r="G10" i="74"/>
  <c r="G9" i="74"/>
  <c r="G50" i="73"/>
  <c r="H50" i="73" s="1"/>
  <c r="G49" i="73"/>
  <c r="H49" i="73" s="1"/>
  <c r="G48" i="73"/>
  <c r="H48" i="73" s="1"/>
  <c r="F45" i="73"/>
  <c r="E45" i="73"/>
  <c r="D45" i="73"/>
  <c r="C45" i="73"/>
  <c r="G44" i="73"/>
  <c r="G43" i="73"/>
  <c r="G42" i="73"/>
  <c r="G40" i="73"/>
  <c r="G39" i="73"/>
  <c r="G38" i="73"/>
  <c r="H38" i="73" s="1"/>
  <c r="G37" i="73"/>
  <c r="G36" i="73"/>
  <c r="G35" i="73"/>
  <c r="H35" i="73" s="1"/>
  <c r="G34" i="73"/>
  <c r="G33" i="73"/>
  <c r="G32" i="73"/>
  <c r="G31" i="73"/>
  <c r="H31" i="73" s="1"/>
  <c r="G30" i="73"/>
  <c r="H30" i="73" s="1"/>
  <c r="G29" i="73"/>
  <c r="G28" i="73"/>
  <c r="G27" i="73"/>
  <c r="H27" i="73" s="1"/>
  <c r="G26" i="73"/>
  <c r="G25" i="73"/>
  <c r="G24" i="73"/>
  <c r="G23" i="73"/>
  <c r="G22" i="73"/>
  <c r="H22" i="73" s="1"/>
  <c r="G21" i="73"/>
  <c r="G20" i="73"/>
  <c r="H20" i="73" s="1"/>
  <c r="G19" i="73"/>
  <c r="H19" i="73" s="1"/>
  <c r="G18" i="73"/>
  <c r="G17" i="73"/>
  <c r="H17" i="73" s="1"/>
  <c r="G16" i="73"/>
  <c r="G15" i="73"/>
  <c r="G14" i="73"/>
  <c r="G13" i="73"/>
  <c r="H13" i="73" s="1"/>
  <c r="G12" i="73"/>
  <c r="G11" i="73"/>
  <c r="H11" i="73" s="1"/>
  <c r="G10" i="73"/>
  <c r="G9" i="73"/>
  <c r="H9" i="73" s="1"/>
  <c r="G39" i="72"/>
  <c r="H39" i="72" s="1"/>
  <c r="G38" i="72"/>
  <c r="H38" i="72" s="1"/>
  <c r="F35" i="72"/>
  <c r="E35" i="72"/>
  <c r="D35" i="72"/>
  <c r="C35" i="72"/>
  <c r="G34" i="72"/>
  <c r="G33" i="72"/>
  <c r="G32" i="72"/>
  <c r="G31" i="72"/>
  <c r="H31" i="72" s="1"/>
  <c r="G30" i="72"/>
  <c r="G29" i="72"/>
  <c r="H29" i="72" s="1"/>
  <c r="G28" i="72"/>
  <c r="G27" i="72"/>
  <c r="G26" i="72"/>
  <c r="G25" i="72"/>
  <c r="H25" i="72" s="1"/>
  <c r="G24" i="72"/>
  <c r="G23" i="72"/>
  <c r="G22" i="72"/>
  <c r="G21" i="72"/>
  <c r="G20" i="72"/>
  <c r="H20" i="72" s="1"/>
  <c r="G19" i="72"/>
  <c r="H19" i="72" s="1"/>
  <c r="G18" i="72"/>
  <c r="G17" i="72"/>
  <c r="G16" i="72"/>
  <c r="G15" i="72"/>
  <c r="G14" i="72"/>
  <c r="G13" i="72"/>
  <c r="H13" i="72" s="1"/>
  <c r="G12" i="72"/>
  <c r="H12" i="72" s="1"/>
  <c r="G11" i="72"/>
  <c r="G10" i="72"/>
  <c r="G9" i="72"/>
  <c r="G42" i="71"/>
  <c r="H42" i="71" s="1"/>
  <c r="G41" i="71"/>
  <c r="H41" i="71" s="1"/>
  <c r="F37" i="71"/>
  <c r="E37" i="71"/>
  <c r="D37" i="71"/>
  <c r="C37" i="71"/>
  <c r="G36" i="71"/>
  <c r="G35" i="71"/>
  <c r="G34" i="71"/>
  <c r="G33" i="71"/>
  <c r="G32" i="71"/>
  <c r="G31" i="71"/>
  <c r="G30" i="71"/>
  <c r="G29" i="71"/>
  <c r="H29" i="71" s="1"/>
  <c r="G28" i="71"/>
  <c r="H28" i="71" s="1"/>
  <c r="G27" i="71"/>
  <c r="G26" i="71"/>
  <c r="G25" i="71"/>
  <c r="G24" i="71"/>
  <c r="G23" i="71"/>
  <c r="G22" i="71"/>
  <c r="H22" i="71" s="1"/>
  <c r="G21" i="71"/>
  <c r="G20" i="71"/>
  <c r="G19" i="71"/>
  <c r="G18" i="71"/>
  <c r="G17" i="71"/>
  <c r="G16" i="71"/>
  <c r="G15" i="71"/>
  <c r="G14" i="71"/>
  <c r="H14" i="71" s="1"/>
  <c r="G13" i="71"/>
  <c r="G12" i="71"/>
  <c r="G11" i="71"/>
  <c r="H11" i="71" s="1"/>
  <c r="G10" i="71"/>
  <c r="G9" i="71"/>
  <c r="H9" i="71" s="1"/>
  <c r="G50" i="70"/>
  <c r="H50" i="70" s="1"/>
  <c r="G49" i="70"/>
  <c r="H49" i="70" s="1"/>
  <c r="G48" i="70"/>
  <c r="H48" i="70" s="1"/>
  <c r="F45" i="70"/>
  <c r="E45" i="70"/>
  <c r="D45" i="70"/>
  <c r="C45" i="70"/>
  <c r="G44" i="70"/>
  <c r="H44" i="70" s="1"/>
  <c r="G43" i="70"/>
  <c r="G42" i="70"/>
  <c r="H42" i="70" s="1"/>
  <c r="G40" i="70"/>
  <c r="G39" i="70"/>
  <c r="G38" i="70"/>
  <c r="G37" i="70"/>
  <c r="H37" i="70" s="1"/>
  <c r="G36" i="70"/>
  <c r="H36" i="70" s="1"/>
  <c r="G35" i="70"/>
  <c r="G34" i="70"/>
  <c r="G33" i="70"/>
  <c r="G32" i="70"/>
  <c r="G31" i="70"/>
  <c r="H31" i="70" s="1"/>
  <c r="G30" i="70"/>
  <c r="G29" i="70"/>
  <c r="G28" i="70"/>
  <c r="H28" i="70" s="1"/>
  <c r="G27" i="70"/>
  <c r="G26" i="70"/>
  <c r="H26" i="70" s="1"/>
  <c r="G25" i="70"/>
  <c r="G24" i="70"/>
  <c r="G23" i="70"/>
  <c r="G22" i="70"/>
  <c r="G21" i="70"/>
  <c r="H21" i="70" s="1"/>
  <c r="G20" i="70"/>
  <c r="G19" i="70"/>
  <c r="G18" i="70"/>
  <c r="G17" i="70"/>
  <c r="G16" i="70"/>
  <c r="H16" i="70" s="1"/>
  <c r="G15" i="70"/>
  <c r="H15" i="70" s="1"/>
  <c r="G14" i="70"/>
  <c r="H14" i="70" s="1"/>
  <c r="G13" i="70"/>
  <c r="H13" i="70" s="1"/>
  <c r="G12" i="70"/>
  <c r="H12" i="70" s="1"/>
  <c r="G11" i="70"/>
  <c r="H11" i="70" s="1"/>
  <c r="G10" i="70"/>
  <c r="G9" i="70"/>
  <c r="G38" i="69"/>
  <c r="H38" i="69" s="1"/>
  <c r="G37" i="69"/>
  <c r="H37" i="69" s="1"/>
  <c r="G36" i="69"/>
  <c r="H36" i="69" s="1"/>
  <c r="F33" i="69"/>
  <c r="E33" i="69"/>
  <c r="D33" i="69"/>
  <c r="C33" i="69"/>
  <c r="G32" i="69"/>
  <c r="G31" i="69"/>
  <c r="G30" i="69"/>
  <c r="G29" i="69"/>
  <c r="H29" i="69" s="1"/>
  <c r="G28" i="69"/>
  <c r="G27" i="69"/>
  <c r="G26" i="69"/>
  <c r="H26" i="69" s="1"/>
  <c r="G25" i="69"/>
  <c r="G24" i="69"/>
  <c r="G23" i="69"/>
  <c r="G22" i="69"/>
  <c r="G21" i="69"/>
  <c r="G20" i="69"/>
  <c r="G19" i="69"/>
  <c r="G18" i="69"/>
  <c r="G17" i="69"/>
  <c r="G16" i="69"/>
  <c r="H16" i="69" s="1"/>
  <c r="G15" i="69"/>
  <c r="H15" i="69" s="1"/>
  <c r="G14" i="69"/>
  <c r="G13" i="69"/>
  <c r="G12" i="69"/>
  <c r="G11" i="69"/>
  <c r="G10" i="69"/>
  <c r="G9" i="69"/>
  <c r="G50" i="68"/>
  <c r="H50" i="68" s="1"/>
  <c r="G49" i="68"/>
  <c r="H49" i="68" s="1"/>
  <c r="G48" i="68"/>
  <c r="H48" i="68" s="1"/>
  <c r="F45" i="68"/>
  <c r="E45" i="68"/>
  <c r="D45" i="68"/>
  <c r="C45" i="68"/>
  <c r="G44" i="68"/>
  <c r="G43" i="68"/>
  <c r="G42" i="68"/>
  <c r="H42" i="68" s="1"/>
  <c r="G40" i="68"/>
  <c r="G39" i="68"/>
  <c r="G38" i="68"/>
  <c r="G37" i="68"/>
  <c r="G36" i="68"/>
  <c r="G35" i="68"/>
  <c r="H35" i="68" s="1"/>
  <c r="G34" i="68"/>
  <c r="G33" i="68"/>
  <c r="G32" i="68"/>
  <c r="G31" i="68"/>
  <c r="H31" i="68" s="1"/>
  <c r="G30" i="68"/>
  <c r="G29" i="68"/>
  <c r="G28" i="68"/>
  <c r="G27" i="68"/>
  <c r="G26" i="68"/>
  <c r="H26" i="68" s="1"/>
  <c r="G25" i="68"/>
  <c r="G24" i="68"/>
  <c r="G23" i="68"/>
  <c r="G22" i="68"/>
  <c r="H22" i="68" s="1"/>
  <c r="G21" i="68"/>
  <c r="G20" i="68"/>
  <c r="G19" i="68"/>
  <c r="G18" i="68"/>
  <c r="G17" i="68"/>
  <c r="H17" i="68" s="1"/>
  <c r="G16" i="68"/>
  <c r="G15" i="68"/>
  <c r="G14" i="68"/>
  <c r="G13" i="68"/>
  <c r="G12" i="68"/>
  <c r="G11" i="68"/>
  <c r="G10" i="68"/>
  <c r="G9" i="68"/>
  <c r="G41" i="67"/>
  <c r="H41" i="67" s="1"/>
  <c r="G39" i="67"/>
  <c r="H39" i="67" s="1"/>
  <c r="F36" i="67"/>
  <c r="E36" i="67"/>
  <c r="D36" i="67"/>
  <c r="C36" i="67"/>
  <c r="G35" i="67"/>
  <c r="H35" i="67" s="1"/>
  <c r="G34" i="67"/>
  <c r="G33" i="67"/>
  <c r="G32" i="67"/>
  <c r="H32" i="67" s="1"/>
  <c r="G31" i="67"/>
  <c r="G30" i="67"/>
  <c r="G29" i="67"/>
  <c r="G28" i="67"/>
  <c r="G27" i="67"/>
  <c r="G26" i="67"/>
  <c r="G25" i="67"/>
  <c r="G24" i="67"/>
  <c r="H24" i="67" s="1"/>
  <c r="G23" i="67"/>
  <c r="G22" i="67"/>
  <c r="G21" i="67"/>
  <c r="G20" i="67"/>
  <c r="G19" i="67"/>
  <c r="H19" i="67" s="1"/>
  <c r="G18" i="67"/>
  <c r="H18" i="67" s="1"/>
  <c r="G17" i="67"/>
  <c r="G16" i="67"/>
  <c r="G15" i="67"/>
  <c r="G14" i="67"/>
  <c r="G13" i="67"/>
  <c r="G12" i="67"/>
  <c r="G11" i="67"/>
  <c r="G10" i="67"/>
  <c r="G9" i="67"/>
  <c r="G46" i="66"/>
  <c r="H46" i="66" s="1"/>
  <c r="G45" i="66"/>
  <c r="H45" i="66" s="1"/>
  <c r="G44" i="66"/>
  <c r="H44" i="66" s="1"/>
  <c r="G40" i="66"/>
  <c r="G39" i="66"/>
  <c r="G38" i="66"/>
  <c r="G37" i="66"/>
  <c r="H37" i="66" s="1"/>
  <c r="G36" i="66"/>
  <c r="G35" i="66"/>
  <c r="G34" i="66"/>
  <c r="G33" i="66"/>
  <c r="G32" i="66"/>
  <c r="G31" i="66"/>
  <c r="G30" i="66"/>
  <c r="G29" i="66"/>
  <c r="G28" i="66"/>
  <c r="G27" i="66"/>
  <c r="G26" i="66"/>
  <c r="G25" i="66"/>
  <c r="H25" i="66" s="1"/>
  <c r="G24" i="66"/>
  <c r="G23" i="66"/>
  <c r="G22" i="66"/>
  <c r="G21" i="66"/>
  <c r="G20" i="66"/>
  <c r="G19" i="66"/>
  <c r="H19" i="66" s="1"/>
  <c r="G18" i="66"/>
  <c r="G17" i="66"/>
  <c r="H17" i="66" s="1"/>
  <c r="G16" i="66"/>
  <c r="G15" i="66"/>
  <c r="G14" i="66"/>
  <c r="G13" i="66"/>
  <c r="G12" i="66"/>
  <c r="H12" i="66" s="1"/>
  <c r="G11" i="66"/>
  <c r="G10" i="66"/>
  <c r="G9" i="66"/>
  <c r="G43" i="65"/>
  <c r="H43" i="65" s="1"/>
  <c r="G42" i="65"/>
  <c r="H42" i="65" s="1"/>
  <c r="G41" i="65"/>
  <c r="H41" i="65" s="1"/>
  <c r="F38" i="65"/>
  <c r="E38" i="65"/>
  <c r="D38" i="65"/>
  <c r="C38" i="65"/>
  <c r="G37" i="65"/>
  <c r="G36" i="65"/>
  <c r="G35" i="65"/>
  <c r="G34" i="65"/>
  <c r="H34" i="65" s="1"/>
  <c r="G33" i="65"/>
  <c r="G32" i="65"/>
  <c r="G31" i="65"/>
  <c r="G30" i="65"/>
  <c r="G29" i="65"/>
  <c r="H29" i="65" s="1"/>
  <c r="G28" i="65"/>
  <c r="G27" i="65"/>
  <c r="H27" i="65" s="1"/>
  <c r="G26" i="65"/>
  <c r="G25" i="65"/>
  <c r="G24" i="65"/>
  <c r="G23" i="65"/>
  <c r="G22" i="65"/>
  <c r="G21" i="65"/>
  <c r="H21" i="65" s="1"/>
  <c r="G20" i="65"/>
  <c r="G19" i="65"/>
  <c r="G18" i="65"/>
  <c r="G17" i="65"/>
  <c r="G16" i="65"/>
  <c r="H16" i="65" s="1"/>
  <c r="G15" i="65"/>
  <c r="H15" i="65" s="1"/>
  <c r="G14" i="65"/>
  <c r="H14" i="65" s="1"/>
  <c r="G13" i="65"/>
  <c r="G12" i="65"/>
  <c r="G11" i="65"/>
  <c r="H11" i="65" s="1"/>
  <c r="G10" i="65"/>
  <c r="G9" i="65"/>
  <c r="H9" i="65" s="1"/>
  <c r="G49" i="64"/>
  <c r="H49" i="64" s="1"/>
  <c r="G48" i="64"/>
  <c r="H48" i="64" s="1"/>
  <c r="G47" i="64"/>
  <c r="H47" i="64" s="1"/>
  <c r="F44" i="64"/>
  <c r="E44" i="64"/>
  <c r="D44" i="64"/>
  <c r="C44" i="64"/>
  <c r="G43" i="64"/>
  <c r="G42" i="64"/>
  <c r="G40" i="64"/>
  <c r="G39" i="64"/>
  <c r="G38" i="64"/>
  <c r="G37" i="64"/>
  <c r="G36" i="64"/>
  <c r="H36" i="64" s="1"/>
  <c r="G35" i="64"/>
  <c r="G34" i="64"/>
  <c r="G33" i="64"/>
  <c r="G32" i="64"/>
  <c r="G31" i="64"/>
  <c r="G30" i="64"/>
  <c r="H30" i="64" s="1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H17" i="64" s="1"/>
  <c r="G16" i="64"/>
  <c r="G15" i="64"/>
  <c r="G14" i="64"/>
  <c r="G13" i="64"/>
  <c r="G12" i="64"/>
  <c r="G11" i="64"/>
  <c r="G10" i="64"/>
  <c r="G9" i="64"/>
  <c r="H9" i="64" s="1"/>
  <c r="G50" i="63"/>
  <c r="H50" i="63" s="1"/>
  <c r="G49" i="63"/>
  <c r="H49" i="63" s="1"/>
  <c r="G48" i="63"/>
  <c r="H48" i="63" s="1"/>
  <c r="F45" i="63"/>
  <c r="E45" i="63"/>
  <c r="D45" i="63"/>
  <c r="C45" i="63"/>
  <c r="G44" i="63"/>
  <c r="G43" i="63"/>
  <c r="H43" i="63" s="1"/>
  <c r="G42" i="63"/>
  <c r="G40" i="63"/>
  <c r="H40" i="63" s="1"/>
  <c r="G39" i="63"/>
  <c r="H39" i="63" s="1"/>
  <c r="G38" i="63"/>
  <c r="G37" i="63"/>
  <c r="H37" i="63" s="1"/>
  <c r="G36" i="63"/>
  <c r="G35" i="63"/>
  <c r="G34" i="63"/>
  <c r="H34" i="63" s="1"/>
  <c r="G33" i="63"/>
  <c r="G32" i="63"/>
  <c r="G31" i="63"/>
  <c r="G30" i="63"/>
  <c r="G29" i="63"/>
  <c r="G28" i="63"/>
  <c r="G27" i="63"/>
  <c r="H27" i="63" s="1"/>
  <c r="G26" i="63"/>
  <c r="G25" i="63"/>
  <c r="H25" i="63" s="1"/>
  <c r="G24" i="63"/>
  <c r="H24" i="63" s="1"/>
  <c r="G23" i="63"/>
  <c r="G22" i="63"/>
  <c r="H22" i="63" s="1"/>
  <c r="G21" i="63"/>
  <c r="G20" i="63"/>
  <c r="G19" i="63"/>
  <c r="H19" i="63" s="1"/>
  <c r="G18" i="63"/>
  <c r="G17" i="63"/>
  <c r="G16" i="63"/>
  <c r="G15" i="63"/>
  <c r="G14" i="63"/>
  <c r="G13" i="63"/>
  <c r="G12" i="63"/>
  <c r="G11" i="63"/>
  <c r="G10" i="63"/>
  <c r="G9" i="63"/>
  <c r="G47" i="62"/>
  <c r="H47" i="62" s="1"/>
  <c r="G46" i="62"/>
  <c r="H46" i="62" s="1"/>
  <c r="G45" i="62"/>
  <c r="H45" i="62" s="1"/>
  <c r="F42" i="62"/>
  <c r="E42" i="62"/>
  <c r="D42" i="62"/>
  <c r="C42" i="62"/>
  <c r="G40" i="62"/>
  <c r="G39" i="62"/>
  <c r="G38" i="62"/>
  <c r="G37" i="62"/>
  <c r="G36" i="62"/>
  <c r="G35" i="62"/>
  <c r="G34" i="62"/>
  <c r="G33" i="62"/>
  <c r="G32" i="62"/>
  <c r="H32" i="62" s="1"/>
  <c r="G31" i="62"/>
  <c r="H31" i="62" s="1"/>
  <c r="G30" i="62"/>
  <c r="G29" i="62"/>
  <c r="G28" i="62"/>
  <c r="G27" i="62"/>
  <c r="G26" i="62"/>
  <c r="H26" i="62" s="1"/>
  <c r="G25" i="62"/>
  <c r="G24" i="62"/>
  <c r="G23" i="62"/>
  <c r="H23" i="62" s="1"/>
  <c r="G22" i="62"/>
  <c r="G21" i="62"/>
  <c r="H21" i="62" s="1"/>
  <c r="G20" i="62"/>
  <c r="G19" i="62"/>
  <c r="G18" i="62"/>
  <c r="G17" i="62"/>
  <c r="G16" i="62"/>
  <c r="G15" i="62"/>
  <c r="G14" i="62"/>
  <c r="G13" i="62"/>
  <c r="G12" i="62"/>
  <c r="H12" i="62" s="1"/>
  <c r="G11" i="62"/>
  <c r="G10" i="62"/>
  <c r="G9" i="62"/>
  <c r="G50" i="61"/>
  <c r="H50" i="61" s="1"/>
  <c r="G49" i="61"/>
  <c r="H49" i="61" s="1"/>
  <c r="G48" i="61"/>
  <c r="H48" i="61" s="1"/>
  <c r="F45" i="61"/>
  <c r="E45" i="61"/>
  <c r="D45" i="61"/>
  <c r="C45" i="61"/>
  <c r="G44" i="61"/>
  <c r="G43" i="61"/>
  <c r="G42" i="61"/>
  <c r="G40" i="61"/>
  <c r="H40" i="61" s="1"/>
  <c r="G39" i="61"/>
  <c r="G38" i="61"/>
  <c r="H38" i="61" s="1"/>
  <c r="G37" i="61"/>
  <c r="G36" i="61"/>
  <c r="G35" i="61"/>
  <c r="G34" i="61"/>
  <c r="G33" i="61"/>
  <c r="H33" i="61" s="1"/>
  <c r="G32" i="61"/>
  <c r="G31" i="61"/>
  <c r="H31" i="61" s="1"/>
  <c r="G30" i="61"/>
  <c r="G29" i="61"/>
  <c r="G28" i="61"/>
  <c r="G27" i="61"/>
  <c r="G26" i="61"/>
  <c r="G25" i="61"/>
  <c r="G24" i="61"/>
  <c r="G23" i="61"/>
  <c r="G22" i="61"/>
  <c r="H22" i="61" s="1"/>
  <c r="G21" i="61"/>
  <c r="H21" i="61" s="1"/>
  <c r="G20" i="61"/>
  <c r="G19" i="61"/>
  <c r="H18" i="61"/>
  <c r="G18" i="61"/>
  <c r="G17" i="61"/>
  <c r="G16" i="61"/>
  <c r="G15" i="61"/>
  <c r="H15" i="61" s="1"/>
  <c r="G14" i="61"/>
  <c r="H14" i="61" s="1"/>
  <c r="G13" i="61"/>
  <c r="H13" i="61" s="1"/>
  <c r="G12" i="61"/>
  <c r="G11" i="61"/>
  <c r="G10" i="61"/>
  <c r="G9" i="61"/>
  <c r="G41" i="60"/>
  <c r="H41" i="60" s="1"/>
  <c r="G39" i="60"/>
  <c r="H39" i="60" s="1"/>
  <c r="F36" i="60"/>
  <c r="E36" i="60"/>
  <c r="D36" i="60"/>
  <c r="C36" i="60"/>
  <c r="G35" i="60"/>
  <c r="G34" i="60"/>
  <c r="H34" i="60" s="1"/>
  <c r="G33" i="60"/>
  <c r="H33" i="60" s="1"/>
  <c r="G32" i="60"/>
  <c r="G31" i="60"/>
  <c r="G30" i="60"/>
  <c r="G29" i="60"/>
  <c r="G28" i="60"/>
  <c r="H28" i="60" s="1"/>
  <c r="G27" i="60"/>
  <c r="G26" i="60"/>
  <c r="H26" i="60" s="1"/>
  <c r="G25" i="60"/>
  <c r="G24" i="60"/>
  <c r="G23" i="60"/>
  <c r="G22" i="60"/>
  <c r="G21" i="60"/>
  <c r="H21" i="60" s="1"/>
  <c r="G20" i="60"/>
  <c r="G19" i="60"/>
  <c r="G18" i="60"/>
  <c r="G17" i="60"/>
  <c r="G16" i="60"/>
  <c r="G15" i="60"/>
  <c r="G14" i="60"/>
  <c r="G13" i="60"/>
  <c r="G12" i="60"/>
  <c r="G11" i="60"/>
  <c r="G10" i="60"/>
  <c r="H10" i="60" s="1"/>
  <c r="G9" i="60"/>
  <c r="G38" i="59"/>
  <c r="H38" i="59" s="1"/>
  <c r="G37" i="59"/>
  <c r="H37" i="59" s="1"/>
  <c r="G36" i="59"/>
  <c r="H36" i="59" s="1"/>
  <c r="F33" i="59"/>
  <c r="E33" i="59"/>
  <c r="D33" i="59"/>
  <c r="C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32" i="58"/>
  <c r="H32" i="58" s="1"/>
  <c r="G31" i="58"/>
  <c r="H31" i="58" s="1"/>
  <c r="G30" i="58"/>
  <c r="H30" i="58" s="1"/>
  <c r="F27" i="58"/>
  <c r="E27" i="58"/>
  <c r="D27" i="58"/>
  <c r="C27" i="58"/>
  <c r="G26" i="58"/>
  <c r="H26" i="58" s="1"/>
  <c r="G25" i="58"/>
  <c r="G24" i="58"/>
  <c r="H24" i="58" s="1"/>
  <c r="G23" i="58"/>
  <c r="G22" i="58"/>
  <c r="G21" i="58"/>
  <c r="G20" i="58"/>
  <c r="G19" i="58"/>
  <c r="H19" i="58" s="1"/>
  <c r="G18" i="58"/>
  <c r="G17" i="58"/>
  <c r="H17" i="58" s="1"/>
  <c r="G16" i="58"/>
  <c r="H16" i="58" s="1"/>
  <c r="H15" i="58"/>
  <c r="G15" i="58"/>
  <c r="G14" i="58"/>
  <c r="G13" i="58"/>
  <c r="H13" i="58" s="1"/>
  <c r="G12" i="58"/>
  <c r="G11" i="58"/>
  <c r="H11" i="58" s="1"/>
  <c r="G10" i="58"/>
  <c r="G9" i="58"/>
  <c r="H9" i="58" s="1"/>
  <c r="G50" i="57"/>
  <c r="H50" i="57" s="1"/>
  <c r="G49" i="57"/>
  <c r="H49" i="57" s="1"/>
  <c r="G48" i="57"/>
  <c r="H48" i="57" s="1"/>
  <c r="F45" i="57"/>
  <c r="E45" i="57"/>
  <c r="D45" i="57"/>
  <c r="C45" i="57"/>
  <c r="G44" i="57"/>
  <c r="G43" i="57"/>
  <c r="H43" i="57" s="1"/>
  <c r="G42" i="57"/>
  <c r="G40" i="57"/>
  <c r="G39" i="57"/>
  <c r="G38" i="57"/>
  <c r="G37" i="57"/>
  <c r="H37" i="57" s="1"/>
  <c r="G36" i="57"/>
  <c r="H36" i="57" s="1"/>
  <c r="G35" i="57"/>
  <c r="H35" i="57" s="1"/>
  <c r="G34" i="57"/>
  <c r="G33" i="57"/>
  <c r="G32" i="57"/>
  <c r="G31" i="57"/>
  <c r="H31" i="57" s="1"/>
  <c r="G30" i="57"/>
  <c r="G29" i="57"/>
  <c r="G28" i="57"/>
  <c r="G27" i="57"/>
  <c r="G26" i="57"/>
  <c r="H26" i="57" s="1"/>
  <c r="G25" i="57"/>
  <c r="G24" i="57"/>
  <c r="H24" i="57" s="1"/>
  <c r="G23" i="57"/>
  <c r="G22" i="57"/>
  <c r="H22" i="57" s="1"/>
  <c r="G21" i="57"/>
  <c r="G20" i="57"/>
  <c r="G19" i="57"/>
  <c r="H19" i="57" s="1"/>
  <c r="G18" i="57"/>
  <c r="H18" i="57" s="1"/>
  <c r="G17" i="57"/>
  <c r="G16" i="57"/>
  <c r="G15" i="57"/>
  <c r="G14" i="57"/>
  <c r="G13" i="57"/>
  <c r="G12" i="57"/>
  <c r="G11" i="57"/>
  <c r="G10" i="57"/>
  <c r="G9" i="57"/>
  <c r="G48" i="56"/>
  <c r="H48" i="56" s="1"/>
  <c r="G47" i="56"/>
  <c r="H47" i="56" s="1"/>
  <c r="G46" i="56"/>
  <c r="H46" i="56" s="1"/>
  <c r="F43" i="56"/>
  <c r="E43" i="56"/>
  <c r="D43" i="56"/>
  <c r="C43" i="56"/>
  <c r="G42" i="56"/>
  <c r="G40" i="56"/>
  <c r="H40" i="56" s="1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H27" i="56" s="1"/>
  <c r="G26" i="56"/>
  <c r="G25" i="56"/>
  <c r="G24" i="56"/>
  <c r="G23" i="56"/>
  <c r="G22" i="56"/>
  <c r="G21" i="56"/>
  <c r="H21" i="56" s="1"/>
  <c r="G20" i="56"/>
  <c r="H20" i="56" s="1"/>
  <c r="G19" i="56"/>
  <c r="G18" i="56"/>
  <c r="G17" i="56"/>
  <c r="G16" i="56"/>
  <c r="G15" i="56"/>
  <c r="H15" i="56" s="1"/>
  <c r="G14" i="56"/>
  <c r="H14" i="56" s="1"/>
  <c r="G13" i="56"/>
  <c r="H13" i="56" s="1"/>
  <c r="G12" i="56"/>
  <c r="G11" i="56"/>
  <c r="G10" i="56"/>
  <c r="G9" i="56"/>
  <c r="G44" i="55"/>
  <c r="H44" i="55" s="1"/>
  <c r="G43" i="55"/>
  <c r="H43" i="55" s="1"/>
  <c r="G42" i="55"/>
  <c r="H42" i="55" s="1"/>
  <c r="F39" i="55"/>
  <c r="E39" i="55"/>
  <c r="D39" i="55"/>
  <c r="C39" i="55"/>
  <c r="G38" i="55"/>
  <c r="G37" i="55"/>
  <c r="G36" i="55"/>
  <c r="G35" i="55"/>
  <c r="G34" i="55"/>
  <c r="G33" i="55"/>
  <c r="G32" i="55"/>
  <c r="G31" i="55"/>
  <c r="H31" i="55" s="1"/>
  <c r="G30" i="55"/>
  <c r="G29" i="55"/>
  <c r="G28" i="55"/>
  <c r="G27" i="55"/>
  <c r="G26" i="55"/>
  <c r="G25" i="55"/>
  <c r="G24" i="55"/>
  <c r="H24" i="55" s="1"/>
  <c r="G23" i="55"/>
  <c r="G22" i="55"/>
  <c r="G21" i="55"/>
  <c r="G20" i="55"/>
  <c r="G19" i="55"/>
  <c r="G18" i="55"/>
  <c r="G17" i="55"/>
  <c r="G16" i="55"/>
  <c r="G15" i="55"/>
  <c r="G14" i="55"/>
  <c r="G13" i="55"/>
  <c r="H13" i="55" s="1"/>
  <c r="G12" i="55"/>
  <c r="G11" i="55"/>
  <c r="G10" i="55"/>
  <c r="G9" i="55"/>
  <c r="G39" i="54"/>
  <c r="H39" i="54" s="1"/>
  <c r="G38" i="54"/>
  <c r="H38" i="54" s="1"/>
  <c r="G37" i="54"/>
  <c r="H37" i="54" s="1"/>
  <c r="F34" i="54"/>
  <c r="E34" i="54"/>
  <c r="D34" i="54"/>
  <c r="C34" i="54"/>
  <c r="G33" i="54"/>
  <c r="G32" i="54"/>
  <c r="G31" i="54"/>
  <c r="G30" i="54"/>
  <c r="H30" i="54" s="1"/>
  <c r="G29" i="54"/>
  <c r="G28" i="54"/>
  <c r="G27" i="54"/>
  <c r="G26" i="54"/>
  <c r="G25" i="54"/>
  <c r="G24" i="54"/>
  <c r="H24" i="54" s="1"/>
  <c r="G23" i="54"/>
  <c r="G22" i="54"/>
  <c r="G21" i="54"/>
  <c r="G20" i="54"/>
  <c r="G19" i="54"/>
  <c r="G18" i="54"/>
  <c r="G17" i="54"/>
  <c r="H17" i="54" s="1"/>
  <c r="G16" i="54"/>
  <c r="G15" i="54"/>
  <c r="G14" i="54"/>
  <c r="G13" i="54"/>
  <c r="G12" i="54"/>
  <c r="G11" i="54"/>
  <c r="G10" i="54"/>
  <c r="G9" i="54"/>
  <c r="G45" i="53"/>
  <c r="H45" i="53" s="1"/>
  <c r="G44" i="53"/>
  <c r="H44" i="53" s="1"/>
  <c r="G43" i="53"/>
  <c r="H43" i="53" s="1"/>
  <c r="F40" i="53"/>
  <c r="E40" i="53"/>
  <c r="D40" i="53"/>
  <c r="C40" i="53"/>
  <c r="G39" i="53"/>
  <c r="G38" i="53"/>
  <c r="G37" i="53"/>
  <c r="G36" i="53"/>
  <c r="G35" i="53"/>
  <c r="H35" i="53" s="1"/>
  <c r="G34" i="53"/>
  <c r="G33" i="53"/>
  <c r="G32" i="53"/>
  <c r="G31" i="53"/>
  <c r="G30" i="53"/>
  <c r="G29" i="53"/>
  <c r="H29" i="53" s="1"/>
  <c r="G28" i="53"/>
  <c r="G27" i="53"/>
  <c r="H27" i="53" s="1"/>
  <c r="G26" i="53"/>
  <c r="G25" i="53"/>
  <c r="G24" i="53"/>
  <c r="H24" i="53" s="1"/>
  <c r="G23" i="53"/>
  <c r="G22" i="53"/>
  <c r="H22" i="53" s="1"/>
  <c r="G21" i="53"/>
  <c r="G20" i="53"/>
  <c r="G19" i="53"/>
  <c r="G18" i="53"/>
  <c r="G17" i="53"/>
  <c r="H17" i="53" s="1"/>
  <c r="G16" i="53"/>
  <c r="G15" i="53"/>
  <c r="G14" i="53"/>
  <c r="G13" i="53"/>
  <c r="G12" i="53"/>
  <c r="G11" i="53"/>
  <c r="G10" i="53"/>
  <c r="G9" i="53"/>
  <c r="G38" i="52"/>
  <c r="H38" i="52" s="1"/>
  <c r="G37" i="52"/>
  <c r="H37" i="52" s="1"/>
  <c r="G36" i="52"/>
  <c r="H36" i="52" s="1"/>
  <c r="F33" i="52"/>
  <c r="E33" i="52"/>
  <c r="D33" i="52"/>
  <c r="C33" i="52"/>
  <c r="G32" i="52"/>
  <c r="G31" i="52"/>
  <c r="G30" i="52"/>
  <c r="G29" i="52"/>
  <c r="G28" i="52"/>
  <c r="G27" i="52"/>
  <c r="G26" i="52"/>
  <c r="G25" i="52"/>
  <c r="H25" i="52" s="1"/>
  <c r="G24" i="52"/>
  <c r="G23" i="52"/>
  <c r="G22" i="52"/>
  <c r="H22" i="52" s="1"/>
  <c r="G21" i="52"/>
  <c r="G20" i="52"/>
  <c r="G19" i="52"/>
  <c r="G18" i="52"/>
  <c r="G17" i="52"/>
  <c r="G16" i="52"/>
  <c r="G15" i="52"/>
  <c r="H15" i="52" s="1"/>
  <c r="G14" i="52"/>
  <c r="G13" i="52"/>
  <c r="G12" i="52"/>
  <c r="G11" i="52"/>
  <c r="G10" i="52"/>
  <c r="G9" i="52"/>
  <c r="G47" i="51"/>
  <c r="H47" i="51" s="1"/>
  <c r="G46" i="51"/>
  <c r="H46" i="51" s="1"/>
  <c r="G45" i="51"/>
  <c r="H45" i="51" s="1"/>
  <c r="F42" i="51"/>
  <c r="E42" i="51"/>
  <c r="D42" i="51"/>
  <c r="C42" i="51"/>
  <c r="G40" i="51"/>
  <c r="H40" i="51" s="1"/>
  <c r="G39" i="51"/>
  <c r="G38" i="51"/>
  <c r="G37" i="51"/>
  <c r="G36" i="51"/>
  <c r="G35" i="51"/>
  <c r="G34" i="51"/>
  <c r="H34" i="51" s="1"/>
  <c r="G33" i="51"/>
  <c r="H33" i="51" s="1"/>
  <c r="G32" i="51"/>
  <c r="G31" i="51"/>
  <c r="G30" i="51"/>
  <c r="G29" i="51"/>
  <c r="G28" i="51"/>
  <c r="H28" i="51" s="1"/>
  <c r="G27" i="51"/>
  <c r="G26" i="51"/>
  <c r="G25" i="51"/>
  <c r="G24" i="51"/>
  <c r="G23" i="51"/>
  <c r="G22" i="51"/>
  <c r="G21" i="51"/>
  <c r="H21" i="51" s="1"/>
  <c r="G20" i="51"/>
  <c r="G19" i="51"/>
  <c r="G18" i="51"/>
  <c r="G17" i="51"/>
  <c r="G16" i="51"/>
  <c r="G15" i="51"/>
  <c r="H15" i="51" s="1"/>
  <c r="G14" i="51"/>
  <c r="H14" i="51" s="1"/>
  <c r="H13" i="51"/>
  <c r="G13" i="51"/>
  <c r="G12" i="51"/>
  <c r="H12" i="51" s="1"/>
  <c r="G11" i="51"/>
  <c r="G10" i="51"/>
  <c r="H10" i="51" s="1"/>
  <c r="G9" i="51"/>
  <c r="G39" i="50"/>
  <c r="H39" i="50" s="1"/>
  <c r="G38" i="50"/>
  <c r="H38" i="50" s="1"/>
  <c r="G37" i="50"/>
  <c r="H37" i="50" s="1"/>
  <c r="F34" i="50"/>
  <c r="E34" i="50"/>
  <c r="D34" i="50"/>
  <c r="C34" i="50"/>
  <c r="G33" i="50"/>
  <c r="H33" i="50" s="1"/>
  <c r="G32" i="50"/>
  <c r="H32" i="50" s="1"/>
  <c r="G31" i="50"/>
  <c r="G30" i="50"/>
  <c r="H30" i="50" s="1"/>
  <c r="G29" i="50"/>
  <c r="H29" i="50" s="1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H16" i="50" s="1"/>
  <c r="G15" i="50"/>
  <c r="G14" i="50"/>
  <c r="H14" i="50" s="1"/>
  <c r="G13" i="50"/>
  <c r="G12" i="50"/>
  <c r="G11" i="50"/>
  <c r="H11" i="50" s="1"/>
  <c r="G10" i="50"/>
  <c r="H10" i="50" s="1"/>
  <c r="G9" i="50"/>
  <c r="G51" i="49"/>
  <c r="H51" i="49" s="1"/>
  <c r="G50" i="49"/>
  <c r="H50" i="49" s="1"/>
  <c r="G49" i="49"/>
  <c r="H49" i="49" s="1"/>
  <c r="F46" i="49"/>
  <c r="E46" i="49"/>
  <c r="D46" i="49"/>
  <c r="C46" i="49"/>
  <c r="G45" i="49"/>
  <c r="G44" i="49"/>
  <c r="G43" i="49"/>
  <c r="H43" i="49" s="1"/>
  <c r="G42" i="49"/>
  <c r="G40" i="49"/>
  <c r="H40" i="49" s="1"/>
  <c r="G39" i="49"/>
  <c r="H39" i="49" s="1"/>
  <c r="G38" i="49"/>
  <c r="G37" i="49"/>
  <c r="G36" i="49"/>
  <c r="G35" i="49"/>
  <c r="G34" i="49"/>
  <c r="G33" i="49"/>
  <c r="G32" i="49"/>
  <c r="G31" i="49"/>
  <c r="G30" i="49"/>
  <c r="G29" i="49"/>
  <c r="G28" i="49"/>
  <c r="H28" i="49" s="1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H14" i="49" s="1"/>
  <c r="G13" i="49"/>
  <c r="H13" i="49" s="1"/>
  <c r="G12" i="49"/>
  <c r="H12" i="49" s="1"/>
  <c r="G11" i="49"/>
  <c r="G10" i="49"/>
  <c r="G9" i="49"/>
  <c r="G54" i="48"/>
  <c r="H54" i="48" s="1"/>
  <c r="G53" i="48"/>
  <c r="H53" i="48" s="1"/>
  <c r="G52" i="48"/>
  <c r="H52" i="48" s="1"/>
  <c r="F49" i="48"/>
  <c r="E49" i="48"/>
  <c r="D49" i="48"/>
  <c r="C49" i="48"/>
  <c r="G48" i="48"/>
  <c r="G47" i="48"/>
  <c r="G46" i="48"/>
  <c r="G45" i="48"/>
  <c r="H45" i="48" s="1"/>
  <c r="G44" i="48"/>
  <c r="G43" i="48"/>
  <c r="H43" i="48" s="1"/>
  <c r="G42" i="48"/>
  <c r="G40" i="48"/>
  <c r="G39" i="48"/>
  <c r="G38" i="48"/>
  <c r="G37" i="48"/>
  <c r="G36" i="48"/>
  <c r="G35" i="48"/>
  <c r="G34" i="48"/>
  <c r="G33" i="48"/>
  <c r="H33" i="48" s="1"/>
  <c r="G32" i="48"/>
  <c r="G31" i="48"/>
  <c r="G30" i="48"/>
  <c r="G29" i="48"/>
  <c r="G28" i="48"/>
  <c r="G27" i="48"/>
  <c r="H27" i="48" s="1"/>
  <c r="G26" i="48"/>
  <c r="G25" i="48"/>
  <c r="G24" i="48"/>
  <c r="G23" i="48"/>
  <c r="G22" i="48"/>
  <c r="G21" i="48"/>
  <c r="H21" i="48" s="1"/>
  <c r="G20" i="48"/>
  <c r="G19" i="48"/>
  <c r="G18" i="48"/>
  <c r="G17" i="48"/>
  <c r="G16" i="48"/>
  <c r="G15" i="48"/>
  <c r="G14" i="48"/>
  <c r="G13" i="48"/>
  <c r="G12" i="48"/>
  <c r="G11" i="48"/>
  <c r="G10" i="48"/>
  <c r="H10" i="48" s="1"/>
  <c r="G9" i="48"/>
  <c r="H9" i="48" s="1"/>
  <c r="G49" i="47"/>
  <c r="H49" i="47" s="1"/>
  <c r="G48" i="47"/>
  <c r="H48" i="47" s="1"/>
  <c r="G47" i="47"/>
  <c r="H47" i="47" s="1"/>
  <c r="F44" i="47"/>
  <c r="E44" i="47"/>
  <c r="D44" i="47"/>
  <c r="C44" i="47"/>
  <c r="G43" i="47"/>
  <c r="G42" i="47"/>
  <c r="H42" i="47" s="1"/>
  <c r="G40" i="47"/>
  <c r="G39" i="47"/>
  <c r="G38" i="47"/>
  <c r="G37" i="47"/>
  <c r="G36" i="47"/>
  <c r="G35" i="47"/>
  <c r="H35" i="47" s="1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H18" i="47" s="1"/>
  <c r="G17" i="47"/>
  <c r="G16" i="47"/>
  <c r="H16" i="47" s="1"/>
  <c r="G15" i="47"/>
  <c r="G14" i="47"/>
  <c r="G13" i="47"/>
  <c r="H13" i="47" s="1"/>
  <c r="G12" i="47"/>
  <c r="G11" i="47"/>
  <c r="H11" i="47" s="1"/>
  <c r="G10" i="47"/>
  <c r="H10" i="47" s="1"/>
  <c r="G9" i="47"/>
  <c r="H9" i="47" s="1"/>
  <c r="G46" i="46"/>
  <c r="H46" i="46" s="1"/>
  <c r="G45" i="46"/>
  <c r="H45" i="46" s="1"/>
  <c r="G44" i="46"/>
  <c r="H44" i="46" s="1"/>
  <c r="G40" i="46"/>
  <c r="G39" i="46"/>
  <c r="H39" i="46" s="1"/>
  <c r="G38" i="46"/>
  <c r="H38" i="46" s="1"/>
  <c r="G37" i="46"/>
  <c r="G36" i="46"/>
  <c r="G35" i="46"/>
  <c r="H35" i="46" s="1"/>
  <c r="G34" i="46"/>
  <c r="G33" i="46"/>
  <c r="G32" i="46"/>
  <c r="G31" i="46"/>
  <c r="H31" i="46" s="1"/>
  <c r="G30" i="46"/>
  <c r="G29" i="46"/>
  <c r="H29" i="46" s="1"/>
  <c r="G28" i="46"/>
  <c r="H28" i="46" s="1"/>
  <c r="G27" i="46"/>
  <c r="H27" i="46" s="1"/>
  <c r="G26" i="46"/>
  <c r="H26" i="46" s="1"/>
  <c r="G25" i="46"/>
  <c r="H25" i="46" s="1"/>
  <c r="G24" i="46"/>
  <c r="G23" i="46"/>
  <c r="G22" i="46"/>
  <c r="G21" i="46"/>
  <c r="G20" i="46"/>
  <c r="G19" i="46"/>
  <c r="G18" i="46"/>
  <c r="H18" i="46" s="1"/>
  <c r="G17" i="46"/>
  <c r="G16" i="46"/>
  <c r="G15" i="46"/>
  <c r="G14" i="46"/>
  <c r="G13" i="46"/>
  <c r="H13" i="46" s="1"/>
  <c r="G12" i="46"/>
  <c r="G11" i="46"/>
  <c r="G10" i="46"/>
  <c r="G9" i="46"/>
  <c r="G52" i="45"/>
  <c r="H52" i="45" s="1"/>
  <c r="G51" i="45"/>
  <c r="H51" i="45" s="1"/>
  <c r="G50" i="45"/>
  <c r="H50" i="45" s="1"/>
  <c r="F47" i="45"/>
  <c r="E47" i="45"/>
  <c r="D47" i="45"/>
  <c r="C47" i="45"/>
  <c r="G46" i="45"/>
  <c r="H46" i="45" s="1"/>
  <c r="G45" i="45"/>
  <c r="G44" i="45"/>
  <c r="G43" i="45"/>
  <c r="G42" i="45"/>
  <c r="H42" i="45" s="1"/>
  <c r="G40" i="45"/>
  <c r="G39" i="45"/>
  <c r="G38" i="45"/>
  <c r="G37" i="45"/>
  <c r="H37" i="45" s="1"/>
  <c r="G36" i="45"/>
  <c r="H36" i="45" s="1"/>
  <c r="G35" i="45"/>
  <c r="G34" i="45"/>
  <c r="H34" i="45" s="1"/>
  <c r="G33" i="45"/>
  <c r="G32" i="45"/>
  <c r="G31" i="45"/>
  <c r="G30" i="45"/>
  <c r="H30" i="45" s="1"/>
  <c r="G29" i="45"/>
  <c r="G28" i="45"/>
  <c r="G27" i="45"/>
  <c r="G26" i="45"/>
  <c r="G25" i="45"/>
  <c r="H25" i="45" s="1"/>
  <c r="G24" i="45"/>
  <c r="H24" i="45" s="1"/>
  <c r="G23" i="45"/>
  <c r="H23" i="45" s="1"/>
  <c r="G22" i="45"/>
  <c r="G21" i="45"/>
  <c r="G20" i="45"/>
  <c r="G19" i="45"/>
  <c r="H19" i="45" s="1"/>
  <c r="G18" i="45"/>
  <c r="H18" i="45" s="1"/>
  <c r="G17" i="45"/>
  <c r="G16" i="45"/>
  <c r="H16" i="45" s="1"/>
  <c r="G15" i="45"/>
  <c r="H15" i="45" s="1"/>
  <c r="G14" i="45"/>
  <c r="G13" i="45"/>
  <c r="H13" i="45" s="1"/>
  <c r="G12" i="45"/>
  <c r="H12" i="45" s="1"/>
  <c r="G11" i="45"/>
  <c r="H11" i="45" s="1"/>
  <c r="G10" i="45"/>
  <c r="H10" i="45" s="1"/>
  <c r="G9" i="45"/>
  <c r="G38" i="44"/>
  <c r="H38" i="44" s="1"/>
  <c r="G37" i="44"/>
  <c r="H37" i="44" s="1"/>
  <c r="G36" i="44"/>
  <c r="H36" i="44" s="1"/>
  <c r="F33" i="44"/>
  <c r="E33" i="44"/>
  <c r="D33" i="44"/>
  <c r="C33" i="44"/>
  <c r="G32" i="44"/>
  <c r="G31" i="44"/>
  <c r="G30" i="44"/>
  <c r="G29" i="44"/>
  <c r="H29" i="44" s="1"/>
  <c r="G28" i="44"/>
  <c r="G27" i="44"/>
  <c r="G26" i="44"/>
  <c r="G25" i="44"/>
  <c r="G24" i="44"/>
  <c r="G23" i="44"/>
  <c r="G22" i="44"/>
  <c r="H22" i="44" s="1"/>
  <c r="G21" i="44"/>
  <c r="G20" i="44"/>
  <c r="G19" i="44"/>
  <c r="G18" i="44"/>
  <c r="G17" i="44"/>
  <c r="G16" i="44"/>
  <c r="H16" i="44" s="1"/>
  <c r="G15" i="44"/>
  <c r="H15" i="44" s="1"/>
  <c r="G14" i="44"/>
  <c r="G13" i="44"/>
  <c r="G12" i="44"/>
  <c r="G11" i="44"/>
  <c r="G10" i="44"/>
  <c r="G9" i="44"/>
  <c r="G49" i="43"/>
  <c r="H49" i="43" s="1"/>
  <c r="G48" i="43"/>
  <c r="H48" i="43" s="1"/>
  <c r="G47" i="43"/>
  <c r="H47" i="43" s="1"/>
  <c r="F44" i="43"/>
  <c r="E44" i="43"/>
  <c r="D44" i="43"/>
  <c r="C44" i="43"/>
  <c r="G43" i="43"/>
  <c r="H43" i="43" s="1"/>
  <c r="G42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H19" i="43" s="1"/>
  <c r="G18" i="43"/>
  <c r="G17" i="43"/>
  <c r="G16" i="43"/>
  <c r="G15" i="43"/>
  <c r="G14" i="43"/>
  <c r="G13" i="43"/>
  <c r="G12" i="43"/>
  <c r="G11" i="43"/>
  <c r="G10" i="43"/>
  <c r="G9" i="43"/>
  <c r="G48" i="42"/>
  <c r="H48" i="42" s="1"/>
  <c r="G47" i="42"/>
  <c r="H47" i="42" s="1"/>
  <c r="G46" i="42"/>
  <c r="H46" i="42" s="1"/>
  <c r="F43" i="42"/>
  <c r="E43" i="42"/>
  <c r="D43" i="42"/>
  <c r="C43" i="42"/>
  <c r="G42" i="42"/>
  <c r="G40" i="42"/>
  <c r="G39" i="42"/>
  <c r="G38" i="42"/>
  <c r="H38" i="42" s="1"/>
  <c r="G37" i="42"/>
  <c r="G36" i="42"/>
  <c r="G35" i="42"/>
  <c r="G34" i="42"/>
  <c r="G33" i="42"/>
  <c r="G32" i="42"/>
  <c r="H32" i="42" s="1"/>
  <c r="G31" i="42"/>
  <c r="G30" i="42"/>
  <c r="G29" i="42"/>
  <c r="H29" i="42" s="1"/>
  <c r="G28" i="42"/>
  <c r="G27" i="42"/>
  <c r="G26" i="42"/>
  <c r="G25" i="42"/>
  <c r="G24" i="42"/>
  <c r="H24" i="42" s="1"/>
  <c r="G23" i="42"/>
  <c r="H23" i="42" s="1"/>
  <c r="G22" i="42"/>
  <c r="G21" i="42"/>
  <c r="H21" i="42" s="1"/>
  <c r="G20" i="42"/>
  <c r="H20" i="42" s="1"/>
  <c r="G19" i="42"/>
  <c r="H19" i="42" s="1"/>
  <c r="G18" i="42"/>
  <c r="G17" i="42"/>
  <c r="G16" i="42"/>
  <c r="G15" i="42"/>
  <c r="G14" i="42"/>
  <c r="H14" i="42" s="1"/>
  <c r="G13" i="42"/>
  <c r="G12" i="42"/>
  <c r="G11" i="42"/>
  <c r="H11" i="42" s="1"/>
  <c r="G10" i="42"/>
  <c r="G9" i="42"/>
  <c r="H9" i="42" s="1"/>
  <c r="G44" i="41"/>
  <c r="H44" i="41" s="1"/>
  <c r="G43" i="41"/>
  <c r="H43" i="41" s="1"/>
  <c r="G42" i="41"/>
  <c r="H42" i="41" s="1"/>
  <c r="F39" i="41"/>
  <c r="E39" i="41"/>
  <c r="D39" i="41"/>
  <c r="C39" i="41"/>
  <c r="G38" i="41"/>
  <c r="G37" i="41"/>
  <c r="G36" i="41"/>
  <c r="H36" i="41" s="1"/>
  <c r="G35" i="41"/>
  <c r="G34" i="41"/>
  <c r="G33" i="41"/>
  <c r="G32" i="41"/>
  <c r="G31" i="41"/>
  <c r="G30" i="41"/>
  <c r="H30" i="41" s="1"/>
  <c r="G29" i="41"/>
  <c r="H29" i="41" s="1"/>
  <c r="G28" i="41"/>
  <c r="G27" i="41"/>
  <c r="G26" i="41"/>
  <c r="G25" i="41"/>
  <c r="G24" i="41"/>
  <c r="G23" i="41"/>
  <c r="G22" i="41"/>
  <c r="G21" i="41"/>
  <c r="G20" i="41"/>
  <c r="H20" i="41" s="1"/>
  <c r="G19" i="41"/>
  <c r="H19" i="41" s="1"/>
  <c r="G18" i="41"/>
  <c r="G17" i="41"/>
  <c r="G16" i="41"/>
  <c r="H16" i="41" s="1"/>
  <c r="G15" i="41"/>
  <c r="G14" i="41"/>
  <c r="G13" i="41"/>
  <c r="G12" i="41"/>
  <c r="H12" i="41" s="1"/>
  <c r="G11" i="41"/>
  <c r="H11" i="41" s="1"/>
  <c r="G10" i="41"/>
  <c r="G9" i="41"/>
  <c r="G47" i="40"/>
  <c r="H47" i="40" s="1"/>
  <c r="G46" i="40"/>
  <c r="H46" i="40" s="1"/>
  <c r="G45" i="40"/>
  <c r="H45" i="40" s="1"/>
  <c r="F42" i="40"/>
  <c r="E42" i="40"/>
  <c r="D42" i="40"/>
  <c r="C42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H29" i="40" s="1"/>
  <c r="G28" i="40"/>
  <c r="G27" i="40"/>
  <c r="G26" i="40"/>
  <c r="G25" i="40"/>
  <c r="H25" i="40" s="1"/>
  <c r="G24" i="40"/>
  <c r="H24" i="40" s="1"/>
  <c r="G23" i="40"/>
  <c r="H23" i="40" s="1"/>
  <c r="G22" i="40"/>
  <c r="G21" i="40"/>
  <c r="G20" i="40"/>
  <c r="G19" i="40"/>
  <c r="H19" i="40" s="1"/>
  <c r="G18" i="40"/>
  <c r="G17" i="40"/>
  <c r="G16" i="40"/>
  <c r="G15" i="40"/>
  <c r="G14" i="40"/>
  <c r="G13" i="40"/>
  <c r="G12" i="40"/>
  <c r="G11" i="40"/>
  <c r="G10" i="40"/>
  <c r="G9" i="40"/>
  <c r="G48" i="39"/>
  <c r="H48" i="39" s="1"/>
  <c r="G47" i="39"/>
  <c r="H47" i="39" s="1"/>
  <c r="G46" i="39"/>
  <c r="H46" i="39" s="1"/>
  <c r="F43" i="39"/>
  <c r="E43" i="39"/>
  <c r="D43" i="39"/>
  <c r="C43" i="39"/>
  <c r="G42" i="39"/>
  <c r="G40" i="39"/>
  <c r="G39" i="39"/>
  <c r="H39" i="39" s="1"/>
  <c r="G38" i="39"/>
  <c r="G37" i="39"/>
  <c r="G36" i="39"/>
  <c r="G35" i="39"/>
  <c r="G34" i="39"/>
  <c r="G33" i="39"/>
  <c r="G32" i="39"/>
  <c r="H32" i="39" s="1"/>
  <c r="G31" i="39"/>
  <c r="G30" i="39"/>
  <c r="G29" i="39"/>
  <c r="G28" i="39"/>
  <c r="G27" i="39"/>
  <c r="G26" i="39"/>
  <c r="G25" i="39"/>
  <c r="G24" i="39"/>
  <c r="G23" i="39"/>
  <c r="G22" i="39"/>
  <c r="H22" i="39" s="1"/>
  <c r="G21" i="39"/>
  <c r="G20" i="39"/>
  <c r="G19" i="39"/>
  <c r="G18" i="39"/>
  <c r="G17" i="39"/>
  <c r="G16" i="39"/>
  <c r="G15" i="39"/>
  <c r="G14" i="39"/>
  <c r="H14" i="39" s="1"/>
  <c r="G13" i="39"/>
  <c r="H13" i="39" s="1"/>
  <c r="G12" i="39"/>
  <c r="G11" i="39"/>
  <c r="G10" i="39"/>
  <c r="H10" i="39" s="1"/>
  <c r="G9" i="39"/>
  <c r="G48" i="38"/>
  <c r="H48" i="38" s="1"/>
  <c r="G47" i="38"/>
  <c r="H47" i="38" s="1"/>
  <c r="G46" i="38"/>
  <c r="H46" i="38" s="1"/>
  <c r="F43" i="38"/>
  <c r="E43" i="38"/>
  <c r="D43" i="38"/>
  <c r="C43" i="38"/>
  <c r="G42" i="38"/>
  <c r="G40" i="38"/>
  <c r="H40" i="38" s="1"/>
  <c r="G39" i="38"/>
  <c r="H39" i="38" s="1"/>
  <c r="G38" i="38"/>
  <c r="G37" i="38"/>
  <c r="G36" i="38"/>
  <c r="H36" i="38" s="1"/>
  <c r="G35" i="38"/>
  <c r="G34" i="38"/>
  <c r="H34" i="38" s="1"/>
  <c r="G33" i="38"/>
  <c r="G32" i="38"/>
  <c r="G31" i="38"/>
  <c r="G30" i="38"/>
  <c r="G29" i="38"/>
  <c r="G28" i="38"/>
  <c r="G27" i="38"/>
  <c r="G26" i="38"/>
  <c r="G25" i="38"/>
  <c r="G24" i="38"/>
  <c r="H24" i="38" s="1"/>
  <c r="G23" i="38"/>
  <c r="G22" i="38"/>
  <c r="G21" i="38"/>
  <c r="G20" i="38"/>
  <c r="G19" i="38"/>
  <c r="G18" i="38"/>
  <c r="H18" i="38" s="1"/>
  <c r="G17" i="38"/>
  <c r="G16" i="38"/>
  <c r="G15" i="38"/>
  <c r="G14" i="38"/>
  <c r="G13" i="38"/>
  <c r="G12" i="38"/>
  <c r="G11" i="38"/>
  <c r="G10" i="38"/>
  <c r="G9" i="38"/>
  <c r="G39" i="37"/>
  <c r="H39" i="37" s="1"/>
  <c r="G38" i="37"/>
  <c r="H38" i="37" s="1"/>
  <c r="F35" i="37"/>
  <c r="E35" i="37"/>
  <c r="D35" i="37"/>
  <c r="C35" i="37"/>
  <c r="G34" i="37"/>
  <c r="H34" i="37" s="1"/>
  <c r="G33" i="37"/>
  <c r="G32" i="37"/>
  <c r="H32" i="37" s="1"/>
  <c r="G31" i="37"/>
  <c r="H31" i="37" s="1"/>
  <c r="G30" i="37"/>
  <c r="H30" i="37" s="1"/>
  <c r="G29" i="37"/>
  <c r="G28" i="37"/>
  <c r="G27" i="37"/>
  <c r="H27" i="37" s="1"/>
  <c r="G26" i="37"/>
  <c r="G25" i="37"/>
  <c r="G24" i="37"/>
  <c r="G23" i="37"/>
  <c r="G22" i="37"/>
  <c r="H22" i="37" s="1"/>
  <c r="G21" i="37"/>
  <c r="H21" i="37" s="1"/>
  <c r="G20" i="37"/>
  <c r="G19" i="37"/>
  <c r="H19" i="37" s="1"/>
  <c r="G18" i="37"/>
  <c r="G17" i="37"/>
  <c r="G16" i="37"/>
  <c r="H16" i="37" s="1"/>
  <c r="G15" i="37"/>
  <c r="H15" i="37" s="1"/>
  <c r="G14" i="37"/>
  <c r="G13" i="37"/>
  <c r="H13" i="37" s="1"/>
  <c r="G12" i="37"/>
  <c r="G11" i="37"/>
  <c r="G10" i="37"/>
  <c r="H10" i="37" s="1"/>
  <c r="G9" i="37"/>
  <c r="H9" i="37" s="1"/>
  <c r="G38" i="36"/>
  <c r="H38" i="36" s="1"/>
  <c r="G37" i="36"/>
  <c r="H37" i="36" s="1"/>
  <c r="G36" i="36"/>
  <c r="H36" i="36" s="1"/>
  <c r="F33" i="36"/>
  <c r="E33" i="36"/>
  <c r="D33" i="36"/>
  <c r="C33" i="36"/>
  <c r="G32" i="36"/>
  <c r="G31" i="36"/>
  <c r="G30" i="36"/>
  <c r="G29" i="36"/>
  <c r="H29" i="36" s="1"/>
  <c r="G28" i="36"/>
  <c r="H28" i="36" s="1"/>
  <c r="G27" i="36"/>
  <c r="G26" i="36"/>
  <c r="G25" i="36"/>
  <c r="G24" i="36"/>
  <c r="G23" i="36"/>
  <c r="G22" i="36"/>
  <c r="G21" i="36"/>
  <c r="G20" i="36"/>
  <c r="H20" i="36" s="1"/>
  <c r="G19" i="36"/>
  <c r="G18" i="36"/>
  <c r="G17" i="36"/>
  <c r="H17" i="36" s="1"/>
  <c r="G16" i="36"/>
  <c r="G15" i="36"/>
  <c r="G14" i="36"/>
  <c r="G13" i="36"/>
  <c r="G12" i="36"/>
  <c r="H12" i="36" s="1"/>
  <c r="G11" i="36"/>
  <c r="H11" i="36" s="1"/>
  <c r="G10" i="36"/>
  <c r="G9" i="36"/>
  <c r="G44" i="35"/>
  <c r="H44" i="35" s="1"/>
  <c r="G43" i="35"/>
  <c r="H43" i="35" s="1"/>
  <c r="G42" i="35"/>
  <c r="H42" i="35" s="1"/>
  <c r="F39" i="35"/>
  <c r="E39" i="35"/>
  <c r="D39" i="35"/>
  <c r="C39" i="35"/>
  <c r="G38" i="35"/>
  <c r="H38" i="35" s="1"/>
  <c r="G37" i="35"/>
  <c r="G36" i="35"/>
  <c r="H36" i="35" s="1"/>
  <c r="G35" i="35"/>
  <c r="H35" i="35" s="1"/>
  <c r="G34" i="35"/>
  <c r="H34" i="35" s="1"/>
  <c r="G33" i="35"/>
  <c r="H33" i="35" s="1"/>
  <c r="G32" i="35"/>
  <c r="G31" i="35"/>
  <c r="G30" i="35"/>
  <c r="H30" i="35" s="1"/>
  <c r="G29" i="35"/>
  <c r="G28" i="35"/>
  <c r="G27" i="35"/>
  <c r="H27" i="35" s="1"/>
  <c r="G26" i="35"/>
  <c r="G25" i="35"/>
  <c r="G24" i="35"/>
  <c r="G23" i="35"/>
  <c r="G22" i="35"/>
  <c r="G21" i="35"/>
  <c r="G20" i="35"/>
  <c r="G19" i="35"/>
  <c r="G18" i="35"/>
  <c r="H18" i="35" s="1"/>
  <c r="G17" i="35"/>
  <c r="G16" i="35"/>
  <c r="G15" i="35"/>
  <c r="H15" i="35" s="1"/>
  <c r="G14" i="35"/>
  <c r="H14" i="35" s="1"/>
  <c r="G13" i="35"/>
  <c r="G12" i="35"/>
  <c r="H12" i="35" s="1"/>
  <c r="G11" i="35"/>
  <c r="G10" i="35"/>
  <c r="G9" i="35"/>
  <c r="G48" i="34"/>
  <c r="H48" i="34" s="1"/>
  <c r="G47" i="34"/>
  <c r="H47" i="34" s="1"/>
  <c r="G46" i="34"/>
  <c r="H46" i="34" s="1"/>
  <c r="F43" i="34"/>
  <c r="E43" i="34"/>
  <c r="D43" i="34"/>
  <c r="C43" i="34"/>
  <c r="G42" i="34"/>
  <c r="G40" i="34"/>
  <c r="H40" i="34" s="1"/>
  <c r="G39" i="34"/>
  <c r="G38" i="34"/>
  <c r="H38" i="34" s="1"/>
  <c r="G37" i="34"/>
  <c r="H37" i="34" s="1"/>
  <c r="G36" i="34"/>
  <c r="H36" i="34" s="1"/>
  <c r="G35" i="34"/>
  <c r="G34" i="34"/>
  <c r="H34" i="34" s="1"/>
  <c r="G33" i="34"/>
  <c r="H33" i="34" s="1"/>
  <c r="G32" i="34"/>
  <c r="G31" i="34"/>
  <c r="G30" i="34"/>
  <c r="H30" i="34" s="1"/>
  <c r="G29" i="34"/>
  <c r="H29" i="34" s="1"/>
  <c r="G28" i="34"/>
  <c r="G27" i="34"/>
  <c r="G26" i="34"/>
  <c r="G25" i="34"/>
  <c r="H25" i="34" s="1"/>
  <c r="G24" i="34"/>
  <c r="H24" i="34" s="1"/>
  <c r="G23" i="34"/>
  <c r="G22" i="34"/>
  <c r="H22" i="34" s="1"/>
  <c r="G21" i="34"/>
  <c r="G20" i="34"/>
  <c r="G19" i="34"/>
  <c r="G18" i="34"/>
  <c r="G17" i="34"/>
  <c r="G16" i="34"/>
  <c r="G15" i="34"/>
  <c r="H15" i="34" s="1"/>
  <c r="G14" i="34"/>
  <c r="H14" i="34" s="1"/>
  <c r="G13" i="34"/>
  <c r="G12" i="34"/>
  <c r="G11" i="34"/>
  <c r="H11" i="34" s="1"/>
  <c r="G10" i="34"/>
  <c r="G9" i="34"/>
  <c r="G48" i="33"/>
  <c r="H48" i="33" s="1"/>
  <c r="G47" i="33"/>
  <c r="H47" i="33" s="1"/>
  <c r="G46" i="33"/>
  <c r="H46" i="33" s="1"/>
  <c r="F43" i="33"/>
  <c r="E43" i="33"/>
  <c r="D43" i="33"/>
  <c r="C43" i="33"/>
  <c r="G42" i="33"/>
  <c r="G40" i="33"/>
  <c r="G39" i="33"/>
  <c r="G38" i="33"/>
  <c r="G37" i="33"/>
  <c r="G36" i="33"/>
  <c r="H36" i="33" s="1"/>
  <c r="G35" i="33"/>
  <c r="G34" i="33"/>
  <c r="G33" i="33"/>
  <c r="G32" i="33"/>
  <c r="G31" i="33"/>
  <c r="G30" i="33"/>
  <c r="G29" i="33"/>
  <c r="G28" i="33"/>
  <c r="H28" i="33" s="1"/>
  <c r="G27" i="33"/>
  <c r="G26" i="33"/>
  <c r="G25" i="33"/>
  <c r="G24" i="33"/>
  <c r="G23" i="33"/>
  <c r="G22" i="33"/>
  <c r="G21" i="33"/>
  <c r="H21" i="33" s="1"/>
  <c r="G20" i="33"/>
  <c r="H20" i="33" s="1"/>
  <c r="G19" i="33"/>
  <c r="G18" i="33"/>
  <c r="G17" i="33"/>
  <c r="G16" i="33"/>
  <c r="G15" i="33"/>
  <c r="H15" i="33" s="1"/>
  <c r="G14" i="33"/>
  <c r="G13" i="33"/>
  <c r="H13" i="33" s="1"/>
  <c r="G12" i="33"/>
  <c r="G11" i="33"/>
  <c r="G10" i="33"/>
  <c r="G9" i="33"/>
  <c r="G47" i="32"/>
  <c r="H47" i="32" s="1"/>
  <c r="G46" i="32"/>
  <c r="H46" i="32" s="1"/>
  <c r="G45" i="32"/>
  <c r="H45" i="32" s="1"/>
  <c r="F42" i="32"/>
  <c r="E42" i="32"/>
  <c r="D42" i="32"/>
  <c r="C42" i="32"/>
  <c r="G40" i="32"/>
  <c r="G39" i="32"/>
  <c r="H39" i="32" s="1"/>
  <c r="G38" i="32"/>
  <c r="G37" i="32"/>
  <c r="H37" i="32" s="1"/>
  <c r="G36" i="32"/>
  <c r="H36" i="32" s="1"/>
  <c r="G35" i="32"/>
  <c r="H35" i="32" s="1"/>
  <c r="G34" i="32"/>
  <c r="G33" i="32"/>
  <c r="G32" i="32"/>
  <c r="G31" i="32"/>
  <c r="G30" i="32"/>
  <c r="H30" i="32" s="1"/>
  <c r="G29" i="32"/>
  <c r="H29" i="32" s="1"/>
  <c r="G28" i="32"/>
  <c r="G27" i="32"/>
  <c r="G26" i="32"/>
  <c r="G25" i="32"/>
  <c r="G24" i="32"/>
  <c r="H24" i="32" s="1"/>
  <c r="G23" i="32"/>
  <c r="G22" i="32"/>
  <c r="G21" i="32"/>
  <c r="G20" i="32"/>
  <c r="G19" i="32"/>
  <c r="H19" i="32" s="1"/>
  <c r="G18" i="32"/>
  <c r="H18" i="32" s="1"/>
  <c r="G17" i="32"/>
  <c r="G16" i="32"/>
  <c r="G15" i="32"/>
  <c r="G14" i="32"/>
  <c r="G13" i="32"/>
  <c r="G12" i="32"/>
  <c r="G11" i="32"/>
  <c r="G10" i="32"/>
  <c r="G9" i="32"/>
  <c r="H9" i="32" s="1"/>
  <c r="G43" i="31"/>
  <c r="H43" i="31" s="1"/>
  <c r="G42" i="31"/>
  <c r="H42" i="31" s="1"/>
  <c r="G41" i="31"/>
  <c r="H41" i="31" s="1"/>
  <c r="F38" i="31"/>
  <c r="E38" i="31"/>
  <c r="D38" i="31"/>
  <c r="C38" i="31"/>
  <c r="G37" i="31"/>
  <c r="G36" i="31"/>
  <c r="H36" i="31" s="1"/>
  <c r="G35" i="31"/>
  <c r="G34" i="31"/>
  <c r="G33" i="31"/>
  <c r="H33" i="31" s="1"/>
  <c r="G32" i="31"/>
  <c r="G31" i="31"/>
  <c r="G30" i="31"/>
  <c r="H30" i="31" s="1"/>
  <c r="G29" i="31"/>
  <c r="G28" i="31"/>
  <c r="G27" i="31"/>
  <c r="G26" i="31"/>
  <c r="G25" i="31"/>
  <c r="G24" i="31"/>
  <c r="H24" i="31" s="1"/>
  <c r="G23" i="31"/>
  <c r="G22" i="31"/>
  <c r="G21" i="31"/>
  <c r="G20" i="31"/>
  <c r="H20" i="31" s="1"/>
  <c r="G19" i="31"/>
  <c r="H19" i="31" s="1"/>
  <c r="G18" i="31"/>
  <c r="G17" i="31"/>
  <c r="G16" i="31"/>
  <c r="G15" i="31"/>
  <c r="G14" i="31"/>
  <c r="G13" i="31"/>
  <c r="G12" i="31"/>
  <c r="H12" i="31" s="1"/>
  <c r="G11" i="31"/>
  <c r="G10" i="31"/>
  <c r="G9" i="31"/>
  <c r="G49" i="30"/>
  <c r="H49" i="30" s="1"/>
  <c r="G48" i="30"/>
  <c r="H48" i="30" s="1"/>
  <c r="G47" i="30"/>
  <c r="H47" i="30" s="1"/>
  <c r="F44" i="30"/>
  <c r="E44" i="30"/>
  <c r="D44" i="30"/>
  <c r="C44" i="30"/>
  <c r="G43" i="30"/>
  <c r="H43" i="30" s="1"/>
  <c r="G42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H29" i="30" s="1"/>
  <c r="G28" i="30"/>
  <c r="H28" i="30" s="1"/>
  <c r="G27" i="30"/>
  <c r="G26" i="30"/>
  <c r="G25" i="30"/>
  <c r="G24" i="30"/>
  <c r="G23" i="30"/>
  <c r="H23" i="30" s="1"/>
  <c r="G22" i="30"/>
  <c r="G21" i="30"/>
  <c r="H21" i="30" s="1"/>
  <c r="G20" i="30"/>
  <c r="G19" i="30"/>
  <c r="G18" i="30"/>
  <c r="G17" i="30"/>
  <c r="G16" i="30"/>
  <c r="G15" i="30"/>
  <c r="G14" i="30"/>
  <c r="G13" i="30"/>
  <c r="G12" i="30"/>
  <c r="G11" i="30"/>
  <c r="H11" i="30" s="1"/>
  <c r="G10" i="30"/>
  <c r="G9" i="30"/>
  <c r="G38" i="29"/>
  <c r="H38" i="29" s="1"/>
  <c r="G37" i="29"/>
  <c r="H37" i="29" s="1"/>
  <c r="G36" i="29"/>
  <c r="H36" i="29" s="1"/>
  <c r="F33" i="29"/>
  <c r="E33" i="29"/>
  <c r="D33" i="29"/>
  <c r="C33" i="29"/>
  <c r="G32" i="29"/>
  <c r="H32" i="29" s="1"/>
  <c r="G31" i="29"/>
  <c r="G30" i="29"/>
  <c r="G29" i="29"/>
  <c r="G28" i="29"/>
  <c r="G27" i="29"/>
  <c r="H27" i="29" s="1"/>
  <c r="G26" i="29"/>
  <c r="H26" i="29" s="1"/>
  <c r="G25" i="29"/>
  <c r="G24" i="29"/>
  <c r="G23" i="29"/>
  <c r="H23" i="29" s="1"/>
  <c r="G22" i="29"/>
  <c r="G21" i="29"/>
  <c r="G20" i="29"/>
  <c r="H20" i="29" s="1"/>
  <c r="G19" i="29"/>
  <c r="G18" i="29"/>
  <c r="G17" i="29"/>
  <c r="G16" i="29"/>
  <c r="G15" i="29"/>
  <c r="G14" i="29"/>
  <c r="G13" i="29"/>
  <c r="G12" i="29"/>
  <c r="G11" i="29"/>
  <c r="G10" i="29"/>
  <c r="G9" i="29"/>
  <c r="G52" i="28"/>
  <c r="H52" i="28" s="1"/>
  <c r="G51" i="28"/>
  <c r="H51" i="28" s="1"/>
  <c r="G50" i="28"/>
  <c r="H50" i="28" s="1"/>
  <c r="F47" i="28"/>
  <c r="E47" i="28"/>
  <c r="D47" i="28"/>
  <c r="C47" i="28"/>
  <c r="G46" i="28"/>
  <c r="G45" i="28"/>
  <c r="H45" i="28" s="1"/>
  <c r="G44" i="28"/>
  <c r="G43" i="28"/>
  <c r="H43" i="28" s="1"/>
  <c r="G42" i="28"/>
  <c r="H42" i="28" s="1"/>
  <c r="G40" i="28"/>
  <c r="G39" i="28"/>
  <c r="G38" i="28"/>
  <c r="G37" i="28"/>
  <c r="G36" i="28"/>
  <c r="G35" i="28"/>
  <c r="G34" i="28"/>
  <c r="G33" i="28"/>
  <c r="G32" i="28"/>
  <c r="G31" i="28"/>
  <c r="H31" i="28" s="1"/>
  <c r="G30" i="28"/>
  <c r="G29" i="28"/>
  <c r="G28" i="28"/>
  <c r="G27" i="28"/>
  <c r="G26" i="28"/>
  <c r="G25" i="28"/>
  <c r="H25" i="28" s="1"/>
  <c r="G24" i="28"/>
  <c r="H24" i="28" s="1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H10" i="28" s="1"/>
  <c r="G9" i="28"/>
  <c r="G38" i="27"/>
  <c r="H38" i="27" s="1"/>
  <c r="G37" i="27"/>
  <c r="H37" i="27" s="1"/>
  <c r="G36" i="27"/>
  <c r="H36" i="27" s="1"/>
  <c r="F33" i="27"/>
  <c r="E33" i="27"/>
  <c r="D33" i="27"/>
  <c r="C33" i="27"/>
  <c r="G32" i="27"/>
  <c r="G31" i="27"/>
  <c r="G30" i="27"/>
  <c r="G29" i="27"/>
  <c r="H29" i="27" s="1"/>
  <c r="G28" i="27"/>
  <c r="G27" i="27"/>
  <c r="G26" i="27"/>
  <c r="H26" i="27" s="1"/>
  <c r="G25" i="27"/>
  <c r="G24" i="27"/>
  <c r="G23" i="27"/>
  <c r="G22" i="27"/>
  <c r="G21" i="27"/>
  <c r="G20" i="27"/>
  <c r="H20" i="27" s="1"/>
  <c r="G19" i="27"/>
  <c r="H19" i="27" s="1"/>
  <c r="G18" i="27"/>
  <c r="G17" i="27"/>
  <c r="H17" i="27" s="1"/>
  <c r="G16" i="27"/>
  <c r="H16" i="27" s="1"/>
  <c r="G15" i="27"/>
  <c r="G14" i="27"/>
  <c r="G13" i="27"/>
  <c r="H13" i="27" s="1"/>
  <c r="G12" i="27"/>
  <c r="G11" i="27"/>
  <c r="H11" i="27" s="1"/>
  <c r="G10" i="27"/>
  <c r="G9" i="27"/>
  <c r="G44" i="26"/>
  <c r="H44" i="26" s="1"/>
  <c r="G43" i="26"/>
  <c r="H43" i="26" s="1"/>
  <c r="G42" i="26"/>
  <c r="H42" i="26" s="1"/>
  <c r="F39" i="26"/>
  <c r="E39" i="26"/>
  <c r="D39" i="26"/>
  <c r="C39" i="26"/>
  <c r="G38" i="26"/>
  <c r="G37" i="26"/>
  <c r="G36" i="26"/>
  <c r="H36" i="26" s="1"/>
  <c r="G35" i="26"/>
  <c r="G34" i="26"/>
  <c r="G33" i="26"/>
  <c r="H33" i="26" s="1"/>
  <c r="G32" i="26"/>
  <c r="G31" i="26"/>
  <c r="G30" i="26"/>
  <c r="G29" i="26"/>
  <c r="H29" i="26" s="1"/>
  <c r="G28" i="26"/>
  <c r="G27" i="26"/>
  <c r="G26" i="26"/>
  <c r="G25" i="26"/>
  <c r="G24" i="26"/>
  <c r="H24" i="26" s="1"/>
  <c r="G23" i="26"/>
  <c r="H23" i="26" s="1"/>
  <c r="G22" i="26"/>
  <c r="G21" i="26"/>
  <c r="H21" i="26" s="1"/>
  <c r="G20" i="26"/>
  <c r="H20" i="26" s="1"/>
  <c r="G19" i="26"/>
  <c r="G18" i="26"/>
  <c r="H18" i="26" s="1"/>
  <c r="G17" i="26"/>
  <c r="H17" i="26" s="1"/>
  <c r="G16" i="26"/>
  <c r="G15" i="26"/>
  <c r="G14" i="26"/>
  <c r="G13" i="26"/>
  <c r="G12" i="26"/>
  <c r="H12" i="26" s="1"/>
  <c r="G11" i="26"/>
  <c r="G10" i="26"/>
  <c r="G9" i="26"/>
  <c r="H9" i="26" s="1"/>
  <c r="G42" i="25"/>
  <c r="H42" i="25" s="1"/>
  <c r="G41" i="25"/>
  <c r="H41" i="25" s="1"/>
  <c r="F37" i="25"/>
  <c r="E37" i="25"/>
  <c r="D37" i="25"/>
  <c r="C37" i="25"/>
  <c r="G36" i="25"/>
  <c r="G35" i="25"/>
  <c r="G34" i="25"/>
  <c r="H34" i="25" s="1"/>
  <c r="G33" i="25"/>
  <c r="G32" i="25"/>
  <c r="H32" i="25" s="1"/>
  <c r="G31" i="25"/>
  <c r="G30" i="25"/>
  <c r="G29" i="25"/>
  <c r="G28" i="25"/>
  <c r="G27" i="25"/>
  <c r="G26" i="25"/>
  <c r="G25" i="25"/>
  <c r="G24" i="25"/>
  <c r="G23" i="25"/>
  <c r="H23" i="25" s="1"/>
  <c r="G22" i="25"/>
  <c r="G21" i="25"/>
  <c r="G20" i="25"/>
  <c r="G19" i="25"/>
  <c r="G18" i="25"/>
  <c r="G17" i="25"/>
  <c r="H17" i="25" s="1"/>
  <c r="G16" i="25"/>
  <c r="G15" i="25"/>
  <c r="G14" i="25"/>
  <c r="G13" i="25"/>
  <c r="G12" i="25"/>
  <c r="G11" i="25"/>
  <c r="H11" i="25" s="1"/>
  <c r="G10" i="25"/>
  <c r="H10" i="25" s="1"/>
  <c r="G9" i="25"/>
  <c r="G44" i="24"/>
  <c r="H44" i="24" s="1"/>
  <c r="G43" i="24"/>
  <c r="H43" i="24" s="1"/>
  <c r="G42" i="24"/>
  <c r="H42" i="24" s="1"/>
  <c r="F39" i="24"/>
  <c r="E39" i="24"/>
  <c r="D39" i="24"/>
  <c r="C39" i="24"/>
  <c r="G38" i="24"/>
  <c r="G37" i="24"/>
  <c r="G36" i="24"/>
  <c r="H36" i="24" s="1"/>
  <c r="G35" i="24"/>
  <c r="G34" i="24"/>
  <c r="G33" i="24"/>
  <c r="H33" i="24" s="1"/>
  <c r="G32" i="24"/>
  <c r="H32" i="24" s="1"/>
  <c r="G31" i="24"/>
  <c r="G30" i="24"/>
  <c r="G29" i="24"/>
  <c r="H29" i="24" s="1"/>
  <c r="G28" i="24"/>
  <c r="G27" i="24"/>
  <c r="H27" i="24" s="1"/>
  <c r="G26" i="24"/>
  <c r="G25" i="24"/>
  <c r="G24" i="24"/>
  <c r="H24" i="24" s="1"/>
  <c r="G23" i="24"/>
  <c r="G22" i="24"/>
  <c r="G21" i="24"/>
  <c r="H21" i="24" s="1"/>
  <c r="G20" i="24"/>
  <c r="H20" i="24" s="1"/>
  <c r="G19" i="24"/>
  <c r="G18" i="24"/>
  <c r="G17" i="24"/>
  <c r="H17" i="24" s="1"/>
  <c r="G16" i="24"/>
  <c r="G15" i="24"/>
  <c r="H15" i="24" s="1"/>
  <c r="G14" i="24"/>
  <c r="G13" i="24"/>
  <c r="G12" i="24"/>
  <c r="G11" i="24"/>
  <c r="H11" i="24" s="1"/>
  <c r="G10" i="24"/>
  <c r="G9" i="24"/>
  <c r="G34" i="23"/>
  <c r="H34" i="23" s="1"/>
  <c r="G33" i="23"/>
  <c r="H33" i="23" s="1"/>
  <c r="G32" i="23"/>
  <c r="H32" i="23" s="1"/>
  <c r="F29" i="23"/>
  <c r="E29" i="23"/>
  <c r="D29" i="23"/>
  <c r="C29" i="23"/>
  <c r="G28" i="23"/>
  <c r="G27" i="23"/>
  <c r="G26" i="23"/>
  <c r="H26" i="23" s="1"/>
  <c r="G25" i="23"/>
  <c r="G24" i="23"/>
  <c r="G23" i="23"/>
  <c r="H23" i="23" s="1"/>
  <c r="G22" i="23"/>
  <c r="G21" i="23"/>
  <c r="G20" i="23"/>
  <c r="G19" i="23"/>
  <c r="G18" i="23"/>
  <c r="G17" i="23"/>
  <c r="H17" i="23" s="1"/>
  <c r="G16" i="23"/>
  <c r="G15" i="23"/>
  <c r="G14" i="23"/>
  <c r="G13" i="23"/>
  <c r="G12" i="23"/>
  <c r="G11" i="23"/>
  <c r="H11" i="23" s="1"/>
  <c r="G10" i="23"/>
  <c r="G9" i="23"/>
  <c r="G49" i="22"/>
  <c r="H49" i="22" s="1"/>
  <c r="G48" i="22"/>
  <c r="H48" i="22" s="1"/>
  <c r="G47" i="22"/>
  <c r="H47" i="22" s="1"/>
  <c r="F44" i="22"/>
  <c r="E44" i="22"/>
  <c r="D44" i="22"/>
  <c r="C44" i="22"/>
  <c r="G43" i="22"/>
  <c r="G42" i="22"/>
  <c r="G40" i="22"/>
  <c r="G39" i="22"/>
  <c r="H39" i="22" s="1"/>
  <c r="G38" i="22"/>
  <c r="H38" i="22" s="1"/>
  <c r="G37" i="22"/>
  <c r="G36" i="22"/>
  <c r="G35" i="22"/>
  <c r="G34" i="22"/>
  <c r="G33" i="22"/>
  <c r="H33" i="22" s="1"/>
  <c r="G32" i="22"/>
  <c r="H32" i="22" s="1"/>
  <c r="G31" i="22"/>
  <c r="G30" i="22"/>
  <c r="H30" i="22" s="1"/>
  <c r="G29" i="22"/>
  <c r="G28" i="22"/>
  <c r="G27" i="22"/>
  <c r="H27" i="22" s="1"/>
  <c r="G26" i="22"/>
  <c r="G25" i="22"/>
  <c r="G24" i="22"/>
  <c r="H24" i="22" s="1"/>
  <c r="G23" i="22"/>
  <c r="G22" i="22"/>
  <c r="G21" i="22"/>
  <c r="G20" i="22"/>
  <c r="G19" i="22"/>
  <c r="H19" i="22" s="1"/>
  <c r="G18" i="22"/>
  <c r="G17" i="22"/>
  <c r="G16" i="22"/>
  <c r="G15" i="22"/>
  <c r="G14" i="22"/>
  <c r="H14" i="22" s="1"/>
  <c r="G13" i="22"/>
  <c r="H13" i="22" s="1"/>
  <c r="G12" i="22"/>
  <c r="H12" i="22" s="1"/>
  <c r="G11" i="22"/>
  <c r="G10" i="22"/>
  <c r="G9" i="22"/>
  <c r="G46" i="21"/>
  <c r="H46" i="21" s="1"/>
  <c r="G45" i="21"/>
  <c r="H45" i="21" s="1"/>
  <c r="G44" i="21"/>
  <c r="H44" i="21" s="1"/>
  <c r="G40" i="21"/>
  <c r="G39" i="21"/>
  <c r="G38" i="21"/>
  <c r="H38" i="21" s="1"/>
  <c r="G37" i="21"/>
  <c r="G36" i="21"/>
  <c r="H36" i="21" s="1"/>
  <c r="G35" i="21"/>
  <c r="G34" i="21"/>
  <c r="G33" i="21"/>
  <c r="G32" i="21"/>
  <c r="H32" i="21" s="1"/>
  <c r="G31" i="21"/>
  <c r="H31" i="21" s="1"/>
  <c r="G30" i="21"/>
  <c r="G29" i="21"/>
  <c r="G28" i="21"/>
  <c r="G27" i="21"/>
  <c r="G26" i="21"/>
  <c r="H26" i="21" s="1"/>
  <c r="G25" i="21"/>
  <c r="H25" i="21" s="1"/>
  <c r="G24" i="21"/>
  <c r="G23" i="21"/>
  <c r="G22" i="21"/>
  <c r="G21" i="21"/>
  <c r="G20" i="21"/>
  <c r="H20" i="21" s="1"/>
  <c r="G19" i="21"/>
  <c r="G18" i="21"/>
  <c r="G17" i="21"/>
  <c r="G16" i="21"/>
  <c r="H16" i="21" s="1"/>
  <c r="G15" i="21"/>
  <c r="G14" i="21"/>
  <c r="H14" i="21" s="1"/>
  <c r="G13" i="21"/>
  <c r="H13" i="21" s="1"/>
  <c r="G12" i="21"/>
  <c r="G11" i="21"/>
  <c r="G10" i="21"/>
  <c r="G9" i="21"/>
  <c r="G26" i="20"/>
  <c r="H26" i="20" s="1"/>
  <c r="G25" i="20"/>
  <c r="H25" i="20" s="1"/>
  <c r="G24" i="20"/>
  <c r="H24" i="20" s="1"/>
  <c r="F21" i="20"/>
  <c r="E21" i="20"/>
  <c r="D21" i="20"/>
  <c r="C21" i="20"/>
  <c r="G20" i="20"/>
  <c r="G19" i="20"/>
  <c r="G18" i="20"/>
  <c r="H18" i="20" s="1"/>
  <c r="G17" i="20"/>
  <c r="G16" i="20"/>
  <c r="G15" i="20"/>
  <c r="G14" i="20"/>
  <c r="G13" i="20"/>
  <c r="G12" i="20"/>
  <c r="H12" i="20" s="1"/>
  <c r="G11" i="20"/>
  <c r="H11" i="20" s="1"/>
  <c r="G10" i="20"/>
  <c r="G9" i="20"/>
  <c r="G42" i="19"/>
  <c r="H42" i="19" s="1"/>
  <c r="G41" i="19"/>
  <c r="H41" i="19" s="1"/>
  <c r="F37" i="19"/>
  <c r="E37" i="19"/>
  <c r="D37" i="19"/>
  <c r="C37" i="19"/>
  <c r="G36" i="19"/>
  <c r="G35" i="19"/>
  <c r="G34" i="19"/>
  <c r="G33" i="19"/>
  <c r="G32" i="19"/>
  <c r="H32" i="19" s="1"/>
  <c r="G31" i="19"/>
  <c r="H31" i="19" s="1"/>
  <c r="G30" i="19"/>
  <c r="H30" i="19" s="1"/>
  <c r="G29" i="19"/>
  <c r="G28" i="19"/>
  <c r="G27" i="19"/>
  <c r="G26" i="19"/>
  <c r="G25" i="19"/>
  <c r="H25" i="19" s="1"/>
  <c r="G24" i="19"/>
  <c r="G23" i="19"/>
  <c r="G22" i="19"/>
  <c r="G21" i="19"/>
  <c r="G20" i="19"/>
  <c r="H20" i="19" s="1"/>
  <c r="G19" i="19"/>
  <c r="H19" i="19" s="1"/>
  <c r="G18" i="19"/>
  <c r="G17" i="19"/>
  <c r="G16" i="19"/>
  <c r="G15" i="19"/>
  <c r="G14" i="19"/>
  <c r="H14" i="19" s="1"/>
  <c r="G13" i="19"/>
  <c r="H13" i="19" s="1"/>
  <c r="G12" i="19"/>
  <c r="G11" i="19"/>
  <c r="G10" i="19"/>
  <c r="G9" i="19"/>
  <c r="G49" i="18"/>
  <c r="H49" i="18" s="1"/>
  <c r="G48" i="18"/>
  <c r="H48" i="18" s="1"/>
  <c r="G47" i="18"/>
  <c r="H47" i="18" s="1"/>
  <c r="F44" i="18"/>
  <c r="E44" i="18"/>
  <c r="D44" i="18"/>
  <c r="C44" i="18"/>
  <c r="G43" i="18"/>
  <c r="H43" i="18" s="1"/>
  <c r="G42" i="18"/>
  <c r="G40" i="18"/>
  <c r="H40" i="18" s="1"/>
  <c r="G39" i="18"/>
  <c r="H39" i="18" s="1"/>
  <c r="G38" i="18"/>
  <c r="G37" i="18"/>
  <c r="G36" i="18"/>
  <c r="G35" i="18"/>
  <c r="H35" i="18" s="1"/>
  <c r="G34" i="18"/>
  <c r="H34" i="18" s="1"/>
  <c r="G33" i="18"/>
  <c r="H33" i="18" s="1"/>
  <c r="G32" i="18"/>
  <c r="G31" i="18"/>
  <c r="H31" i="18" s="1"/>
  <c r="G30" i="18"/>
  <c r="G29" i="18"/>
  <c r="H29" i="18" s="1"/>
  <c r="G28" i="18"/>
  <c r="G27" i="18"/>
  <c r="H27" i="18" s="1"/>
  <c r="G26" i="18"/>
  <c r="G25" i="18"/>
  <c r="G24" i="18"/>
  <c r="G23" i="18"/>
  <c r="H23" i="18" s="1"/>
  <c r="G22" i="18"/>
  <c r="G21" i="18"/>
  <c r="G20" i="18"/>
  <c r="G19" i="18"/>
  <c r="H19" i="18" s="1"/>
  <c r="G18" i="18"/>
  <c r="G17" i="18"/>
  <c r="H17" i="18" s="1"/>
  <c r="G16" i="18"/>
  <c r="G15" i="18"/>
  <c r="G14" i="18"/>
  <c r="G13" i="18"/>
  <c r="G12" i="18"/>
  <c r="G11" i="18"/>
  <c r="H11" i="18" s="1"/>
  <c r="G10" i="18"/>
  <c r="H10" i="18" s="1"/>
  <c r="G9" i="18"/>
  <c r="G45" i="17"/>
  <c r="H45" i="17" s="1"/>
  <c r="G44" i="17"/>
  <c r="H44" i="17" s="1"/>
  <c r="G43" i="17"/>
  <c r="H43" i="17" s="1"/>
  <c r="F40" i="17"/>
  <c r="E40" i="17"/>
  <c r="D40" i="17"/>
  <c r="C40" i="17"/>
  <c r="G39" i="17"/>
  <c r="G38" i="17"/>
  <c r="G37" i="17"/>
  <c r="G36" i="17"/>
  <c r="G35" i="17"/>
  <c r="G34" i="17"/>
  <c r="H34" i="17" s="1"/>
  <c r="G33" i="17"/>
  <c r="G32" i="17"/>
  <c r="G31" i="17"/>
  <c r="G30" i="17"/>
  <c r="G29" i="17"/>
  <c r="G28" i="17"/>
  <c r="G27" i="17"/>
  <c r="G26" i="17"/>
  <c r="H26" i="17" s="1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38" i="16"/>
  <c r="H38" i="16" s="1"/>
  <c r="G37" i="16"/>
  <c r="H37" i="16" s="1"/>
  <c r="G36" i="16"/>
  <c r="H36" i="16" s="1"/>
  <c r="F33" i="16"/>
  <c r="E33" i="16"/>
  <c r="D33" i="16"/>
  <c r="C33" i="16"/>
  <c r="G32" i="16"/>
  <c r="H32" i="16" s="1"/>
  <c r="G31" i="16"/>
  <c r="G30" i="16"/>
  <c r="G29" i="16"/>
  <c r="G28" i="16"/>
  <c r="G27" i="16"/>
  <c r="H27" i="16" s="1"/>
  <c r="G26" i="16"/>
  <c r="G25" i="16"/>
  <c r="G24" i="16"/>
  <c r="G23" i="16"/>
  <c r="G22" i="16"/>
  <c r="G21" i="16"/>
  <c r="G20" i="16"/>
  <c r="H20" i="16" s="1"/>
  <c r="G19" i="16"/>
  <c r="G18" i="16"/>
  <c r="G17" i="16"/>
  <c r="G16" i="16"/>
  <c r="G15" i="16"/>
  <c r="H15" i="16" s="1"/>
  <c r="G14" i="16"/>
  <c r="H14" i="16" s="1"/>
  <c r="G13" i="16"/>
  <c r="G12" i="16"/>
  <c r="G11" i="16"/>
  <c r="G10" i="16"/>
  <c r="G9" i="16"/>
  <c r="H9" i="16" s="1"/>
  <c r="G39" i="15"/>
  <c r="H39" i="15" s="1"/>
  <c r="G38" i="15"/>
  <c r="H38" i="15" s="1"/>
  <c r="F35" i="15"/>
  <c r="E35" i="15"/>
  <c r="D35" i="15"/>
  <c r="C35" i="15"/>
  <c r="G34" i="15"/>
  <c r="G33" i="15"/>
  <c r="G32" i="15"/>
  <c r="G31" i="15"/>
  <c r="G30" i="15"/>
  <c r="G29" i="15"/>
  <c r="G28" i="15"/>
  <c r="G27" i="15"/>
  <c r="G26" i="15"/>
  <c r="H26" i="15" s="1"/>
  <c r="G25" i="15"/>
  <c r="H25" i="15" s="1"/>
  <c r="G24" i="15"/>
  <c r="G23" i="15"/>
  <c r="G22" i="15"/>
  <c r="G21" i="15"/>
  <c r="G20" i="15"/>
  <c r="H20" i="15" s="1"/>
  <c r="G19" i="15"/>
  <c r="H19" i="15" s="1"/>
  <c r="G18" i="15"/>
  <c r="G17" i="15"/>
  <c r="H17" i="15" s="1"/>
  <c r="G16" i="15"/>
  <c r="G15" i="15"/>
  <c r="G14" i="15"/>
  <c r="H14" i="15" s="1"/>
  <c r="G13" i="15"/>
  <c r="H13" i="15" s="1"/>
  <c r="G12" i="15"/>
  <c r="H12" i="15" s="1"/>
  <c r="G11" i="15"/>
  <c r="G10" i="15"/>
  <c r="G9" i="15"/>
  <c r="G54" i="14"/>
  <c r="H54" i="14" s="1"/>
  <c r="G53" i="14"/>
  <c r="H53" i="14" s="1"/>
  <c r="G52" i="14"/>
  <c r="H52" i="14" s="1"/>
  <c r="F49" i="14"/>
  <c r="E49" i="14"/>
  <c r="D49" i="14"/>
  <c r="C49" i="14"/>
  <c r="G48" i="14"/>
  <c r="G47" i="14"/>
  <c r="G46" i="14"/>
  <c r="H46" i="14" s="1"/>
  <c r="G45" i="14"/>
  <c r="H45" i="14" s="1"/>
  <c r="G44" i="14"/>
  <c r="G43" i="14"/>
  <c r="G42" i="14"/>
  <c r="H42" i="14" s="1"/>
  <c r="G40" i="14"/>
  <c r="H40" i="14" s="1"/>
  <c r="G39" i="14"/>
  <c r="H39" i="14" s="1"/>
  <c r="G38" i="14"/>
  <c r="H38" i="14" s="1"/>
  <c r="G37" i="14"/>
  <c r="H36" i="14"/>
  <c r="G36" i="14"/>
  <c r="G35" i="14"/>
  <c r="G34" i="14"/>
  <c r="H34" i="14" s="1"/>
  <c r="G33" i="14"/>
  <c r="G32" i="14"/>
  <c r="G31" i="14"/>
  <c r="G30" i="14"/>
  <c r="G29" i="14"/>
  <c r="G28" i="14"/>
  <c r="H28" i="14" s="1"/>
  <c r="G27" i="14"/>
  <c r="G26" i="14"/>
  <c r="H26" i="14" s="1"/>
  <c r="G25" i="14"/>
  <c r="G24" i="14"/>
  <c r="G23" i="14"/>
  <c r="G22" i="14"/>
  <c r="H22" i="14" s="1"/>
  <c r="G21" i="14"/>
  <c r="G20" i="14"/>
  <c r="H20" i="14" s="1"/>
  <c r="G19" i="14"/>
  <c r="G18" i="14"/>
  <c r="G17" i="14"/>
  <c r="G16" i="14"/>
  <c r="H16" i="14" s="1"/>
  <c r="G15" i="14"/>
  <c r="G14" i="14"/>
  <c r="G13" i="14"/>
  <c r="G12" i="14"/>
  <c r="G11" i="14"/>
  <c r="G10" i="14"/>
  <c r="H10" i="14" s="1"/>
  <c r="G9" i="14"/>
  <c r="G39" i="13"/>
  <c r="H39" i="13" s="1"/>
  <c r="G38" i="13"/>
  <c r="H38" i="13" s="1"/>
  <c r="G37" i="13"/>
  <c r="H37" i="13" s="1"/>
  <c r="F34" i="13"/>
  <c r="E34" i="13"/>
  <c r="D34" i="13"/>
  <c r="C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H17" i="13" s="1"/>
  <c r="G16" i="13"/>
  <c r="G15" i="13"/>
  <c r="H15" i="13" s="1"/>
  <c r="G14" i="13"/>
  <c r="G13" i="13"/>
  <c r="G12" i="13"/>
  <c r="G11" i="13"/>
  <c r="G10" i="13"/>
  <c r="G9" i="13"/>
  <c r="H9" i="13" s="1"/>
  <c r="G39" i="12"/>
  <c r="H39" i="12" s="1"/>
  <c r="G38" i="12"/>
  <c r="H38" i="12" s="1"/>
  <c r="F35" i="12"/>
  <c r="E35" i="12"/>
  <c r="D35" i="12"/>
  <c r="C35" i="12"/>
  <c r="G34" i="12"/>
  <c r="G33" i="12"/>
  <c r="H33" i="12" s="1"/>
  <c r="G32" i="12"/>
  <c r="G31" i="12"/>
  <c r="H31" i="12" s="1"/>
  <c r="G30" i="12"/>
  <c r="H30" i="12" s="1"/>
  <c r="G29" i="12"/>
  <c r="G28" i="12"/>
  <c r="G27" i="12"/>
  <c r="H27" i="12" s="1"/>
  <c r="G26" i="12"/>
  <c r="G25" i="12"/>
  <c r="H25" i="12" s="1"/>
  <c r="G24" i="12"/>
  <c r="G23" i="12"/>
  <c r="H23" i="12" s="1"/>
  <c r="G22" i="12"/>
  <c r="G21" i="12"/>
  <c r="H21" i="12" s="1"/>
  <c r="G20" i="12"/>
  <c r="G19" i="12"/>
  <c r="G18" i="12"/>
  <c r="G17" i="12"/>
  <c r="G16" i="12"/>
  <c r="G15" i="12"/>
  <c r="H15" i="12" s="1"/>
  <c r="G14" i="12"/>
  <c r="G13" i="12"/>
  <c r="H13" i="12" s="1"/>
  <c r="G12" i="12"/>
  <c r="H12" i="12" s="1"/>
  <c r="G11" i="12"/>
  <c r="G10" i="12"/>
  <c r="G9" i="12"/>
  <c r="H9" i="12" s="1"/>
  <c r="G52" i="11"/>
  <c r="H52" i="11" s="1"/>
  <c r="G51" i="11"/>
  <c r="H51" i="11" s="1"/>
  <c r="G50" i="11"/>
  <c r="H50" i="11" s="1"/>
  <c r="F47" i="11"/>
  <c r="E47" i="11"/>
  <c r="D47" i="11"/>
  <c r="C47" i="11"/>
  <c r="G46" i="11"/>
  <c r="H46" i="11" s="1"/>
  <c r="G45" i="11"/>
  <c r="H45" i="11" s="1"/>
  <c r="G44" i="11"/>
  <c r="G43" i="11"/>
  <c r="G42" i="11"/>
  <c r="G40" i="11"/>
  <c r="H40" i="11" s="1"/>
  <c r="G39" i="11"/>
  <c r="H39" i="11" s="1"/>
  <c r="G38" i="11"/>
  <c r="G37" i="11"/>
  <c r="G36" i="11"/>
  <c r="G35" i="11"/>
  <c r="G34" i="11"/>
  <c r="H34" i="11" s="1"/>
  <c r="G33" i="11"/>
  <c r="G32" i="11"/>
  <c r="G31" i="11"/>
  <c r="G30" i="11"/>
  <c r="G29" i="11"/>
  <c r="G28" i="11"/>
  <c r="H28" i="11" s="1"/>
  <c r="G27" i="11"/>
  <c r="G26" i="11"/>
  <c r="G25" i="11"/>
  <c r="G24" i="11"/>
  <c r="G23" i="11"/>
  <c r="G22" i="11"/>
  <c r="H22" i="11" s="1"/>
  <c r="G21" i="11"/>
  <c r="G20" i="11"/>
  <c r="G19" i="11"/>
  <c r="G18" i="11"/>
  <c r="G17" i="11"/>
  <c r="G16" i="11"/>
  <c r="H16" i="11" s="1"/>
  <c r="G15" i="11"/>
  <c r="G14" i="11"/>
  <c r="G13" i="11"/>
  <c r="G12" i="11"/>
  <c r="G11" i="11"/>
  <c r="G10" i="11"/>
  <c r="H10" i="11" s="1"/>
  <c r="G9" i="11"/>
  <c r="G39" i="10"/>
  <c r="H39" i="10" s="1"/>
  <c r="G38" i="10"/>
  <c r="H38" i="10" s="1"/>
  <c r="G37" i="10"/>
  <c r="H37" i="10" s="1"/>
  <c r="F34" i="10"/>
  <c r="E34" i="10"/>
  <c r="D34" i="10"/>
  <c r="C34" i="10"/>
  <c r="G33" i="10"/>
  <c r="G32" i="10"/>
  <c r="H32" i="10" s="1"/>
  <c r="G31" i="10"/>
  <c r="G30" i="10"/>
  <c r="G29" i="10"/>
  <c r="G28" i="10"/>
  <c r="H28" i="10" s="1"/>
  <c r="G27" i="10"/>
  <c r="G26" i="10"/>
  <c r="H26" i="10" s="1"/>
  <c r="G25" i="10"/>
  <c r="G24" i="10"/>
  <c r="G23" i="10"/>
  <c r="H23" i="10" s="1"/>
  <c r="G22" i="10"/>
  <c r="G21" i="10"/>
  <c r="G20" i="10"/>
  <c r="G19" i="10"/>
  <c r="G18" i="10"/>
  <c r="G17" i="10"/>
  <c r="G16" i="10"/>
  <c r="G15" i="10"/>
  <c r="H15" i="10" s="1"/>
  <c r="G14" i="10"/>
  <c r="G13" i="10"/>
  <c r="G12" i="10"/>
  <c r="G11" i="10"/>
  <c r="H11" i="10" s="1"/>
  <c r="G10" i="10"/>
  <c r="G9" i="10"/>
  <c r="H9" i="10" s="1"/>
  <c r="G46" i="9"/>
  <c r="H46" i="9" s="1"/>
  <c r="G45" i="9"/>
  <c r="H45" i="9" s="1"/>
  <c r="G44" i="9"/>
  <c r="H44" i="9" s="1"/>
  <c r="G40" i="9"/>
  <c r="G39" i="9"/>
  <c r="G38" i="9"/>
  <c r="H38" i="9" s="1"/>
  <c r="G37" i="9"/>
  <c r="G36" i="9"/>
  <c r="H36" i="9" s="1"/>
  <c r="G35" i="9"/>
  <c r="H35" i="9" s="1"/>
  <c r="G34" i="9"/>
  <c r="G33" i="9"/>
  <c r="G32" i="9"/>
  <c r="H32" i="9" s="1"/>
  <c r="G31" i="9"/>
  <c r="G30" i="9"/>
  <c r="H30" i="9" s="1"/>
  <c r="G29" i="9"/>
  <c r="H29" i="9" s="1"/>
  <c r="G28" i="9"/>
  <c r="G27" i="9"/>
  <c r="G26" i="9"/>
  <c r="H26" i="9" s="1"/>
  <c r="G25" i="9"/>
  <c r="G24" i="9"/>
  <c r="G23" i="9"/>
  <c r="G22" i="9"/>
  <c r="G21" i="9"/>
  <c r="G20" i="9"/>
  <c r="H20" i="9" s="1"/>
  <c r="G19" i="9"/>
  <c r="G18" i="9"/>
  <c r="G17" i="9"/>
  <c r="G16" i="9"/>
  <c r="G15" i="9"/>
  <c r="G14" i="9"/>
  <c r="H14" i="9" s="1"/>
  <c r="G13" i="9"/>
  <c r="G12" i="9"/>
  <c r="G11" i="9"/>
  <c r="G10" i="9"/>
  <c r="G9" i="9"/>
  <c r="G45" i="8"/>
  <c r="H45" i="8" s="1"/>
  <c r="G44" i="8"/>
  <c r="H44" i="8" s="1"/>
  <c r="G43" i="8"/>
  <c r="H43" i="8" s="1"/>
  <c r="F40" i="8"/>
  <c r="E40" i="8"/>
  <c r="D40" i="8"/>
  <c r="C40" i="8"/>
  <c r="G39" i="8"/>
  <c r="G38" i="8"/>
  <c r="G37" i="8"/>
  <c r="H37" i="8" s="1"/>
  <c r="G36" i="8"/>
  <c r="G35" i="8"/>
  <c r="G34" i="8"/>
  <c r="G33" i="8"/>
  <c r="G32" i="8"/>
  <c r="G31" i="8"/>
  <c r="H31" i="8" s="1"/>
  <c r="G30" i="8"/>
  <c r="G29" i="8"/>
  <c r="G28" i="8"/>
  <c r="G27" i="8"/>
  <c r="G26" i="8"/>
  <c r="G25" i="8"/>
  <c r="H25" i="8" s="1"/>
  <c r="G24" i="8"/>
  <c r="G23" i="8"/>
  <c r="G22" i="8"/>
  <c r="G21" i="8"/>
  <c r="G20" i="8"/>
  <c r="G19" i="8"/>
  <c r="H19" i="8" s="1"/>
  <c r="G18" i="8"/>
  <c r="G17" i="8"/>
  <c r="G16" i="8"/>
  <c r="G15" i="8"/>
  <c r="G14" i="8"/>
  <c r="G13" i="8"/>
  <c r="H13" i="8" s="1"/>
  <c r="G12" i="8"/>
  <c r="G11" i="8"/>
  <c r="G10" i="8"/>
  <c r="G9" i="8"/>
  <c r="G46" i="7"/>
  <c r="H46" i="7" s="1"/>
  <c r="G45" i="7"/>
  <c r="H45" i="7" s="1"/>
  <c r="G44" i="7"/>
  <c r="H44" i="7" s="1"/>
  <c r="G40" i="7"/>
  <c r="G39" i="7"/>
  <c r="G38" i="7"/>
  <c r="G37" i="7"/>
  <c r="H37" i="7" s="1"/>
  <c r="G36" i="7"/>
  <c r="G35" i="7"/>
  <c r="H35" i="7" s="1"/>
  <c r="G34" i="7"/>
  <c r="G33" i="7"/>
  <c r="G32" i="7"/>
  <c r="G31" i="7"/>
  <c r="H31" i="7" s="1"/>
  <c r="G30" i="7"/>
  <c r="G29" i="7"/>
  <c r="G28" i="7"/>
  <c r="G27" i="7"/>
  <c r="H27" i="7" s="1"/>
  <c r="G26" i="7"/>
  <c r="G25" i="7"/>
  <c r="H25" i="7" s="1"/>
  <c r="G24" i="7"/>
  <c r="G23" i="7"/>
  <c r="H23" i="7" s="1"/>
  <c r="G22" i="7"/>
  <c r="H22" i="7" s="1"/>
  <c r="G21" i="7"/>
  <c r="G20" i="7"/>
  <c r="G19" i="7"/>
  <c r="H19" i="7" s="1"/>
  <c r="G18" i="7"/>
  <c r="G17" i="7"/>
  <c r="H17" i="7" s="1"/>
  <c r="G16" i="7"/>
  <c r="G15" i="7"/>
  <c r="G14" i="7"/>
  <c r="G13" i="7"/>
  <c r="H13" i="7" s="1"/>
  <c r="G12" i="7"/>
  <c r="H12" i="7" s="1"/>
  <c r="G11" i="7"/>
  <c r="G10" i="7"/>
  <c r="G9" i="7"/>
  <c r="H9" i="7" s="1"/>
  <c r="G52" i="6"/>
  <c r="H52" i="6" s="1"/>
  <c r="G51" i="6"/>
  <c r="H51" i="6" s="1"/>
  <c r="G50" i="6"/>
  <c r="H50" i="6" s="1"/>
  <c r="F47" i="6"/>
  <c r="E47" i="6"/>
  <c r="D47" i="6"/>
  <c r="C47" i="6"/>
  <c r="G46" i="6"/>
  <c r="G45" i="6"/>
  <c r="G44" i="6"/>
  <c r="G43" i="6"/>
  <c r="H43" i="6" s="1"/>
  <c r="G42" i="6"/>
  <c r="G40" i="6"/>
  <c r="G39" i="6"/>
  <c r="G38" i="6"/>
  <c r="G37" i="6"/>
  <c r="H37" i="6" s="1"/>
  <c r="G36" i="6"/>
  <c r="G35" i="6"/>
  <c r="G34" i="6"/>
  <c r="G33" i="6"/>
  <c r="G32" i="6"/>
  <c r="G31" i="6"/>
  <c r="H31" i="6" s="1"/>
  <c r="G30" i="6"/>
  <c r="G29" i="6"/>
  <c r="G28" i="6"/>
  <c r="G27" i="6"/>
  <c r="G26" i="6"/>
  <c r="G25" i="6"/>
  <c r="G24" i="6"/>
  <c r="H24" i="6" s="1"/>
  <c r="G23" i="6"/>
  <c r="G22" i="6"/>
  <c r="H22" i="6" s="1"/>
  <c r="G21" i="6"/>
  <c r="G20" i="6"/>
  <c r="H20" i="6" s="1"/>
  <c r="G19" i="6"/>
  <c r="G18" i="6"/>
  <c r="G17" i="6"/>
  <c r="G16" i="6"/>
  <c r="H16" i="6" s="1"/>
  <c r="G15" i="6"/>
  <c r="G14" i="6"/>
  <c r="H14" i="6" s="1"/>
  <c r="G13" i="6"/>
  <c r="G12" i="6"/>
  <c r="G11" i="6"/>
  <c r="G10" i="6"/>
  <c r="G9" i="6"/>
  <c r="H9" i="6" s="1"/>
  <c r="G51" i="5"/>
  <c r="H51" i="5" s="1"/>
  <c r="G50" i="5"/>
  <c r="H50" i="5" s="1"/>
  <c r="G49" i="5"/>
  <c r="H49" i="5" s="1"/>
  <c r="F46" i="5"/>
  <c r="E46" i="5"/>
  <c r="D46" i="5"/>
  <c r="C46" i="5"/>
  <c r="G45" i="5"/>
  <c r="G44" i="5"/>
  <c r="G43" i="5"/>
  <c r="G42" i="5"/>
  <c r="H42" i="5" s="1"/>
  <c r="G40" i="5"/>
  <c r="G39" i="5"/>
  <c r="G38" i="5"/>
  <c r="G37" i="5"/>
  <c r="G36" i="5"/>
  <c r="H36" i="5" s="1"/>
  <c r="G35" i="5"/>
  <c r="G34" i="5"/>
  <c r="G33" i="5"/>
  <c r="G32" i="5"/>
  <c r="G31" i="5"/>
  <c r="G30" i="5"/>
  <c r="H30" i="5" s="1"/>
  <c r="G29" i="5"/>
  <c r="G28" i="5"/>
  <c r="G27" i="5"/>
  <c r="G26" i="5"/>
  <c r="G25" i="5"/>
  <c r="G24" i="5"/>
  <c r="H24" i="5" s="1"/>
  <c r="G23" i="5"/>
  <c r="G22" i="5"/>
  <c r="G21" i="5"/>
  <c r="G20" i="5"/>
  <c r="G19" i="5"/>
  <c r="G18" i="5"/>
  <c r="G17" i="5"/>
  <c r="H17" i="5" s="1"/>
  <c r="G16" i="5"/>
  <c r="G15" i="5"/>
  <c r="G14" i="5"/>
  <c r="G13" i="5"/>
  <c r="H13" i="5" s="1"/>
  <c r="G12" i="5"/>
  <c r="G11" i="5"/>
  <c r="G10" i="5"/>
  <c r="G9" i="5"/>
  <c r="G48" i="4"/>
  <c r="H48" i="4" s="1"/>
  <c r="G47" i="4"/>
  <c r="H47" i="4" s="1"/>
  <c r="G46" i="4"/>
  <c r="H46" i="4" s="1"/>
  <c r="F43" i="4"/>
  <c r="E43" i="4"/>
  <c r="D43" i="4"/>
  <c r="C43" i="4"/>
  <c r="G42" i="4"/>
  <c r="G40" i="4"/>
  <c r="H40" i="4" s="1"/>
  <c r="G39" i="4"/>
  <c r="G38" i="4"/>
  <c r="G37" i="4"/>
  <c r="G36" i="4"/>
  <c r="G35" i="4"/>
  <c r="G34" i="4"/>
  <c r="H34" i="4" s="1"/>
  <c r="G33" i="4"/>
  <c r="G32" i="4"/>
  <c r="G31" i="4"/>
  <c r="H31" i="4" s="1"/>
  <c r="G30" i="4"/>
  <c r="G29" i="4"/>
  <c r="G28" i="4"/>
  <c r="G27" i="4"/>
  <c r="H27" i="4" s="1"/>
  <c r="G26" i="4"/>
  <c r="G25" i="4"/>
  <c r="G24" i="4"/>
  <c r="G23" i="4"/>
  <c r="H23" i="4" s="1"/>
  <c r="G22" i="4"/>
  <c r="H22" i="4" s="1"/>
  <c r="G21" i="4"/>
  <c r="G20" i="4"/>
  <c r="G19" i="4"/>
  <c r="G18" i="4"/>
  <c r="G17" i="4"/>
  <c r="G16" i="4"/>
  <c r="H16" i="4" s="1"/>
  <c r="G15" i="4"/>
  <c r="G14" i="4"/>
  <c r="G13" i="4"/>
  <c r="G12" i="4"/>
  <c r="G11" i="4"/>
  <c r="G10" i="4"/>
  <c r="G9" i="4"/>
  <c r="G38" i="3"/>
  <c r="H38" i="3" s="1"/>
  <c r="G37" i="3"/>
  <c r="H37" i="3" s="1"/>
  <c r="G36" i="3"/>
  <c r="H36" i="3" s="1"/>
  <c r="F33" i="3"/>
  <c r="E33" i="3"/>
  <c r="D33" i="3"/>
  <c r="C33" i="3"/>
  <c r="G32" i="3"/>
  <c r="H32" i="3" s="1"/>
  <c r="G31" i="3"/>
  <c r="G30" i="3"/>
  <c r="G29" i="3"/>
  <c r="G28" i="3"/>
  <c r="G27" i="3"/>
  <c r="G26" i="3"/>
  <c r="H26" i="3" s="1"/>
  <c r="G25" i="3"/>
  <c r="G24" i="3"/>
  <c r="G23" i="3"/>
  <c r="G22" i="3"/>
  <c r="G21" i="3"/>
  <c r="G20" i="3"/>
  <c r="G19" i="3"/>
  <c r="G18" i="3"/>
  <c r="G17" i="3"/>
  <c r="G16" i="3"/>
  <c r="G15" i="3"/>
  <c r="H15" i="3" s="1"/>
  <c r="G14" i="3"/>
  <c r="H14" i="3" s="1"/>
  <c r="G13" i="3"/>
  <c r="G12" i="3"/>
  <c r="G11" i="3"/>
  <c r="G10" i="3"/>
  <c r="G9" i="3"/>
  <c r="G43" i="2"/>
  <c r="H43" i="2" s="1"/>
  <c r="G42" i="2"/>
  <c r="H42" i="2" s="1"/>
  <c r="G41" i="2"/>
  <c r="H41" i="2" s="1"/>
  <c r="F38" i="2"/>
  <c r="E38" i="2"/>
  <c r="D38" i="2"/>
  <c r="C38" i="2"/>
  <c r="G37" i="2"/>
  <c r="G36" i="2"/>
  <c r="G35" i="2"/>
  <c r="G34" i="2"/>
  <c r="H34" i="2" s="1"/>
  <c r="G33" i="2"/>
  <c r="G32" i="2"/>
  <c r="G31" i="2"/>
  <c r="G30" i="2"/>
  <c r="H30" i="2" s="1"/>
  <c r="G29" i="2"/>
  <c r="G28" i="2"/>
  <c r="G27" i="2"/>
  <c r="G26" i="2"/>
  <c r="G25" i="2"/>
  <c r="G24" i="2"/>
  <c r="H24" i="2" s="1"/>
  <c r="G23" i="2"/>
  <c r="H23" i="2" s="1"/>
  <c r="G22" i="2"/>
  <c r="H22" i="2" s="1"/>
  <c r="G21" i="2"/>
  <c r="G20" i="2"/>
  <c r="G19" i="2"/>
  <c r="G18" i="2"/>
  <c r="H18" i="2" s="1"/>
  <c r="G17" i="2"/>
  <c r="G16" i="2"/>
  <c r="G15" i="2"/>
  <c r="G14" i="2"/>
  <c r="G13" i="2"/>
  <c r="G12" i="2"/>
  <c r="H12" i="2" s="1"/>
  <c r="G11" i="2"/>
  <c r="G10" i="2"/>
  <c r="H10" i="2" s="1"/>
  <c r="G9" i="2"/>
  <c r="H10" i="30" l="1"/>
  <c r="H26" i="56"/>
  <c r="H36" i="55"/>
  <c r="H29" i="54"/>
  <c r="H10" i="53"/>
  <c r="H21" i="49"/>
  <c r="H34" i="47"/>
  <c r="H14" i="47"/>
  <c r="H11" i="46"/>
  <c r="H21" i="46"/>
  <c r="H23" i="46"/>
  <c r="H26" i="45"/>
  <c r="H35" i="45"/>
  <c r="H14" i="45"/>
  <c r="H9" i="44"/>
  <c r="H25" i="44"/>
  <c r="H37" i="43"/>
  <c r="H13" i="43"/>
  <c r="H27" i="42"/>
  <c r="H39" i="42"/>
  <c r="H12" i="42"/>
  <c r="H15" i="40"/>
  <c r="H11" i="39"/>
  <c r="H30" i="57"/>
  <c r="H32" i="57"/>
  <c r="H42" i="57"/>
  <c r="H21" i="58"/>
  <c r="H25" i="61"/>
  <c r="H43" i="61"/>
  <c r="H25" i="38"/>
  <c r="H17" i="35"/>
  <c r="H32" i="33"/>
  <c r="H39" i="33"/>
  <c r="H27" i="32"/>
  <c r="H9" i="31"/>
  <c r="H27" i="30"/>
  <c r="H36" i="30"/>
  <c r="H15" i="29"/>
  <c r="H9" i="28"/>
  <c r="H14" i="26"/>
  <c r="H26" i="26"/>
  <c r="H32" i="26"/>
  <c r="H38" i="26"/>
  <c r="H11" i="26"/>
  <c r="H10" i="62"/>
  <c r="H15" i="63"/>
  <c r="H21" i="63"/>
  <c r="H42" i="64"/>
  <c r="H33" i="65"/>
  <c r="H33" i="66"/>
  <c r="H36" i="66"/>
  <c r="H24" i="66"/>
  <c r="H30" i="67"/>
  <c r="H22" i="67"/>
  <c r="H11" i="68"/>
  <c r="H20" i="68"/>
  <c r="H35" i="70"/>
  <c r="H25" i="70"/>
  <c r="H24" i="71"/>
  <c r="H27" i="71"/>
  <c r="H31" i="71"/>
  <c r="H10" i="72"/>
  <c r="H17" i="72"/>
  <c r="H11" i="72"/>
  <c r="H14" i="73"/>
  <c r="H34" i="73"/>
  <c r="H29" i="73"/>
  <c r="H40" i="74"/>
  <c r="H42" i="74"/>
  <c r="H21" i="74"/>
  <c r="H25" i="74"/>
  <c r="H33" i="74"/>
  <c r="H37" i="74"/>
  <c r="H11" i="75"/>
  <c r="H34" i="77"/>
  <c r="H10" i="77"/>
  <c r="H27" i="78"/>
  <c r="H19" i="80"/>
  <c r="H11" i="80"/>
  <c r="H18" i="81"/>
  <c r="H20" i="20"/>
  <c r="H24" i="17"/>
  <c r="H22" i="10"/>
  <c r="H12" i="9"/>
  <c r="H28" i="9"/>
  <c r="H15" i="8"/>
  <c r="H9" i="8"/>
  <c r="H27" i="8"/>
  <c r="H23" i="8"/>
  <c r="H35" i="8"/>
  <c r="H33" i="7"/>
  <c r="H15" i="6"/>
  <c r="H19" i="5"/>
  <c r="H38" i="5"/>
  <c r="H23" i="5"/>
  <c r="H25" i="5"/>
  <c r="H33" i="4"/>
  <c r="H9" i="4"/>
  <c r="H11" i="2"/>
  <c r="H32" i="2"/>
  <c r="G41" i="21"/>
  <c r="C42" i="21" s="1"/>
  <c r="H24" i="29"/>
  <c r="H20" i="35"/>
  <c r="H22" i="41"/>
  <c r="H43" i="45"/>
  <c r="H36" i="46"/>
  <c r="H20" i="52"/>
  <c r="H18" i="55"/>
  <c r="H17" i="3"/>
  <c r="H25" i="3"/>
  <c r="H12" i="6"/>
  <c r="H19" i="6"/>
  <c r="H25" i="6"/>
  <c r="H39" i="7"/>
  <c r="H11" i="9"/>
  <c r="H18" i="9"/>
  <c r="H15" i="11"/>
  <c r="H31" i="11"/>
  <c r="H29" i="13"/>
  <c r="H12" i="14"/>
  <c r="H43" i="14"/>
  <c r="H16" i="17"/>
  <c r="H20" i="17"/>
  <c r="H16" i="19"/>
  <c r="H16" i="20"/>
  <c r="H22" i="21"/>
  <c r="H16" i="22"/>
  <c r="H18" i="23"/>
  <c r="H31" i="25"/>
  <c r="H14" i="27"/>
  <c r="H16" i="30"/>
  <c r="H26" i="36"/>
  <c r="H14" i="41"/>
  <c r="H17" i="45"/>
  <c r="H43" i="47"/>
  <c r="H25" i="49"/>
  <c r="H19" i="54"/>
  <c r="H15" i="68"/>
  <c r="H39" i="68"/>
  <c r="H37" i="77"/>
  <c r="H33" i="78"/>
  <c r="H15" i="4"/>
  <c r="H30" i="6"/>
  <c r="H33" i="6"/>
  <c r="H45" i="6"/>
  <c r="H34" i="7"/>
  <c r="H36" i="7"/>
  <c r="H21" i="8"/>
  <c r="H29" i="8"/>
  <c r="H33" i="8"/>
  <c r="H16" i="9"/>
  <c r="H22" i="9"/>
  <c r="H20" i="10"/>
  <c r="H29" i="10"/>
  <c r="H19" i="11"/>
  <c r="H17" i="12"/>
  <c r="H33" i="13"/>
  <c r="H18" i="14"/>
  <c r="H25" i="14"/>
  <c r="H37" i="14"/>
  <c r="H12" i="17"/>
  <c r="H22" i="18"/>
  <c r="H10" i="19"/>
  <c r="H18" i="21"/>
  <c r="H34" i="21"/>
  <c r="H29" i="22"/>
  <c r="H26" i="24"/>
  <c r="H22" i="25"/>
  <c r="H30" i="26"/>
  <c r="H22" i="27"/>
  <c r="H31" i="27"/>
  <c r="H21" i="29"/>
  <c r="H25" i="29"/>
  <c r="H40" i="30"/>
  <c r="H32" i="36"/>
  <c r="H28" i="37"/>
  <c r="H21" i="38"/>
  <c r="H25" i="43"/>
  <c r="H31" i="43"/>
  <c r="H17" i="44"/>
  <c r="H46" i="48"/>
  <c r="H37" i="49"/>
  <c r="H32" i="27"/>
  <c r="H36" i="28"/>
  <c r="H9" i="30"/>
  <c r="H22" i="30"/>
  <c r="H26" i="30"/>
  <c r="H9" i="40"/>
  <c r="H37" i="40"/>
  <c r="H37" i="42"/>
  <c r="H15" i="43"/>
  <c r="H38" i="47"/>
  <c r="H20" i="51"/>
  <c r="H32" i="51"/>
  <c r="H11" i="54"/>
  <c r="H38" i="64"/>
  <c r="H17" i="2"/>
  <c r="H19" i="3"/>
  <c r="H27" i="6"/>
  <c r="G41" i="7"/>
  <c r="G41" i="9"/>
  <c r="I15" i="9" s="1"/>
  <c r="H17" i="9"/>
  <c r="H10" i="10"/>
  <c r="H12" i="10"/>
  <c r="H17" i="11"/>
  <c r="H33" i="11"/>
  <c r="H27" i="13"/>
  <c r="H48" i="14"/>
  <c r="H24" i="15"/>
  <c r="H26" i="16"/>
  <c r="H10" i="17"/>
  <c r="H38" i="17"/>
  <c r="H13" i="18"/>
  <c r="H21" i="18"/>
  <c r="H18" i="19"/>
  <c r="H14" i="20"/>
  <c r="H40" i="21"/>
  <c r="H18" i="22"/>
  <c r="H14" i="23"/>
  <c r="H20" i="23"/>
  <c r="H14" i="24"/>
  <c r="H35" i="26"/>
  <c r="H10" i="27"/>
  <c r="H28" i="27"/>
  <c r="H12" i="28"/>
  <c r="H37" i="28"/>
  <c r="H31" i="38"/>
  <c r="H33" i="40"/>
  <c r="H26" i="41"/>
  <c r="H27" i="43"/>
  <c r="H24" i="47"/>
  <c r="H27" i="51"/>
  <c r="H25" i="27"/>
  <c r="H19" i="28"/>
  <c r="H10" i="29"/>
  <c r="H31" i="29"/>
  <c r="H33" i="30"/>
  <c r="H32" i="32"/>
  <c r="H20" i="34"/>
  <c r="H35" i="39"/>
  <c r="H20" i="44"/>
  <c r="H29" i="45"/>
  <c r="G41" i="46"/>
  <c r="I11" i="46" s="1"/>
  <c r="H9" i="46"/>
  <c r="H30" i="47"/>
  <c r="H16" i="51"/>
  <c r="H39" i="51"/>
  <c r="H30" i="56"/>
  <c r="H16" i="60"/>
  <c r="H19" i="29"/>
  <c r="H30" i="29"/>
  <c r="H14" i="30"/>
  <c r="H25" i="30"/>
  <c r="H32" i="30"/>
  <c r="H16" i="31"/>
  <c r="H34" i="31"/>
  <c r="H12" i="34"/>
  <c r="H22" i="35"/>
  <c r="H24" i="37"/>
  <c r="H27" i="38"/>
  <c r="H30" i="38"/>
  <c r="H27" i="40"/>
  <c r="H31" i="42"/>
  <c r="H17" i="43"/>
  <c r="H19" i="44"/>
  <c r="H31" i="45"/>
  <c r="H39" i="45"/>
  <c r="H21" i="47"/>
  <c r="H18" i="50"/>
  <c r="H14" i="52"/>
  <c r="H23" i="54"/>
  <c r="H26" i="55"/>
  <c r="H32" i="59"/>
  <c r="H9" i="60"/>
  <c r="H19" i="62"/>
  <c r="H35" i="62"/>
  <c r="H9" i="63"/>
  <c r="H39" i="70"/>
  <c r="H10" i="73"/>
  <c r="H10" i="74"/>
  <c r="H44" i="74"/>
  <c r="H37" i="78"/>
  <c r="H14" i="66"/>
  <c r="H18" i="70"/>
  <c r="H40" i="73"/>
  <c r="H17" i="74"/>
  <c r="H12" i="80"/>
  <c r="H37" i="80"/>
  <c r="H20" i="48"/>
  <c r="H22" i="48"/>
  <c r="H32" i="48"/>
  <c r="H35" i="48"/>
  <c r="H31" i="50"/>
  <c r="H29" i="55"/>
  <c r="H12" i="57"/>
  <c r="H38" i="57"/>
  <c r="H23" i="58"/>
  <c r="H16" i="62"/>
  <c r="H22" i="62"/>
  <c r="H26" i="63"/>
  <c r="H23" i="64"/>
  <c r="H26" i="71"/>
  <c r="H13" i="74"/>
  <c r="H17" i="79"/>
  <c r="H15" i="31"/>
  <c r="H19" i="34"/>
  <c r="H25" i="36"/>
  <c r="H31" i="36"/>
  <c r="H12" i="37"/>
  <c r="H15" i="38"/>
  <c r="H35" i="41"/>
  <c r="H42" i="42"/>
  <c r="H23" i="43"/>
  <c r="H39" i="43"/>
  <c r="H11" i="44"/>
  <c r="H18" i="44"/>
  <c r="H21" i="44"/>
  <c r="H27" i="44"/>
  <c r="H28" i="45"/>
  <c r="H44" i="45"/>
  <c r="H20" i="46"/>
  <c r="H22" i="46"/>
  <c r="H37" i="46"/>
  <c r="H40" i="46"/>
  <c r="H17" i="47"/>
  <c r="H23" i="47"/>
  <c r="H25" i="47"/>
  <c r="H28" i="47"/>
  <c r="H13" i="48"/>
  <c r="H42" i="48"/>
  <c r="H44" i="48"/>
  <c r="H24" i="49"/>
  <c r="H36" i="49"/>
  <c r="H26" i="51"/>
  <c r="H12" i="54"/>
  <c r="H11" i="55"/>
  <c r="H10" i="56"/>
  <c r="H39" i="56"/>
  <c r="H19" i="59"/>
  <c r="H28" i="62"/>
  <c r="H35" i="66"/>
  <c r="H11" i="67"/>
  <c r="H37" i="73"/>
  <c r="H16" i="75"/>
  <c r="H25" i="81"/>
  <c r="H34" i="56"/>
  <c r="H40" i="57"/>
  <c r="H25" i="59"/>
  <c r="H39" i="61"/>
  <c r="H44" i="61"/>
  <c r="H40" i="62"/>
  <c r="H31" i="64"/>
  <c r="H32" i="65"/>
  <c r="H32" i="66"/>
  <c r="H32" i="68"/>
  <c r="H43" i="70"/>
  <c r="G41" i="66"/>
  <c r="I23" i="66" s="1"/>
  <c r="H29" i="67"/>
  <c r="H21" i="68"/>
  <c r="H11" i="74"/>
  <c r="H28" i="74"/>
  <c r="H39" i="74"/>
  <c r="H9" i="75"/>
  <c r="H14" i="75"/>
  <c r="H38" i="77"/>
  <c r="H12" i="79"/>
  <c r="H29" i="79"/>
  <c r="H32" i="56"/>
  <c r="H20" i="57"/>
  <c r="H44" i="57"/>
  <c r="H27" i="60"/>
  <c r="H17" i="70"/>
  <c r="H35" i="76"/>
  <c r="H32" i="77"/>
  <c r="H9" i="78"/>
  <c r="H25" i="78"/>
  <c r="H35" i="4"/>
  <c r="H28" i="7"/>
  <c r="H17" i="32"/>
  <c r="H19" i="38"/>
  <c r="H29" i="43"/>
  <c r="H23" i="78"/>
  <c r="H27" i="79"/>
  <c r="H36" i="2"/>
  <c r="H21" i="3"/>
  <c r="H9" i="3"/>
  <c r="H18" i="6"/>
  <c r="H28" i="6"/>
  <c r="H13" i="9"/>
  <c r="H24" i="9"/>
  <c r="H17" i="10"/>
  <c r="H13" i="11"/>
  <c r="H11" i="12"/>
  <c r="H18" i="12"/>
  <c r="H14" i="2"/>
  <c r="H26" i="2"/>
  <c r="H29" i="2"/>
  <c r="H35" i="2"/>
  <c r="H31" i="3"/>
  <c r="H25" i="4"/>
  <c r="H28" i="4"/>
  <c r="H39" i="4"/>
  <c r="H29" i="5"/>
  <c r="H39" i="6"/>
  <c r="H10" i="9"/>
  <c r="H19" i="12"/>
  <c r="H18" i="17"/>
  <c r="H28" i="17"/>
  <c r="H37" i="18"/>
  <c r="H12" i="21"/>
  <c r="H19" i="21"/>
  <c r="H24" i="23"/>
  <c r="H23" i="24"/>
  <c r="H13" i="25"/>
  <c r="H27" i="28"/>
  <c r="H11" i="31"/>
  <c r="H22" i="33"/>
  <c r="H27" i="3"/>
  <c r="H29" i="4"/>
  <c r="H35" i="5"/>
  <c r="H23" i="13"/>
  <c r="H26" i="19"/>
  <c r="H15" i="28"/>
  <c r="H18" i="48"/>
  <c r="H24" i="77"/>
  <c r="H23" i="79"/>
  <c r="H11" i="3"/>
  <c r="H11" i="7"/>
  <c r="H29" i="7"/>
  <c r="H36" i="8"/>
  <c r="H14" i="10"/>
  <c r="H21" i="11"/>
  <c r="H24" i="14"/>
  <c r="H31" i="14"/>
  <c r="H18" i="15"/>
  <c r="H11" i="16"/>
  <c r="H35" i="22"/>
  <c r="H28" i="25"/>
  <c r="H27" i="26"/>
  <c r="H18" i="33"/>
  <c r="H37" i="38"/>
  <c r="H28" i="41"/>
  <c r="H9" i="43"/>
  <c r="H12" i="44"/>
  <c r="H9" i="45"/>
  <c r="H22" i="51"/>
  <c r="H13" i="6"/>
  <c r="H21" i="7"/>
  <c r="H16" i="2"/>
  <c r="H20" i="2"/>
  <c r="H28" i="2"/>
  <c r="H21" i="4"/>
  <c r="H15" i="7"/>
  <c r="H11" i="11"/>
  <c r="H27" i="11"/>
  <c r="H29" i="12"/>
  <c r="H32" i="14"/>
  <c r="H11" i="15"/>
  <c r="H30" i="15"/>
  <c r="H12" i="16"/>
  <c r="H34" i="19"/>
  <c r="H30" i="21"/>
  <c r="H37" i="21"/>
  <c r="H16" i="25"/>
  <c r="H20" i="25"/>
  <c r="G39" i="26"/>
  <c r="H23" i="27"/>
  <c r="H30" i="28"/>
  <c r="H34" i="28"/>
  <c r="H13" i="29"/>
  <c r="H33" i="33"/>
  <c r="H20" i="3"/>
  <c r="H19" i="4"/>
  <c r="G39" i="24"/>
  <c r="F40" i="24" s="1"/>
  <c r="H40" i="33"/>
  <c r="H37" i="55"/>
  <c r="H33" i="67"/>
  <c r="H13" i="3"/>
  <c r="H29" i="3"/>
  <c r="H10" i="4"/>
  <c r="H17" i="4"/>
  <c r="H37" i="4"/>
  <c r="H10" i="6"/>
  <c r="H21" i="6"/>
  <c r="H23" i="9"/>
  <c r="H34" i="9"/>
  <c r="H16" i="10"/>
  <c r="H12" i="11"/>
  <c r="H13" i="14"/>
  <c r="H33" i="14"/>
  <c r="H31" i="15"/>
  <c r="H28" i="16"/>
  <c r="H36" i="17"/>
  <c r="H20" i="22"/>
  <c r="H18" i="24"/>
  <c r="H18" i="28"/>
  <c r="H22" i="28"/>
  <c r="H28" i="29"/>
  <c r="H19" i="30"/>
  <c r="H35" i="31"/>
  <c r="H9" i="11"/>
  <c r="H14" i="17"/>
  <c r="H29" i="31"/>
  <c r="H22" i="36"/>
  <c r="H28" i="44"/>
  <c r="H12" i="46"/>
  <c r="H13" i="50"/>
  <c r="H30" i="51"/>
  <c r="H25" i="57"/>
  <c r="H14" i="5"/>
  <c r="H11" i="4"/>
  <c r="H21" i="13"/>
  <c r="H14" i="14"/>
  <c r="H23" i="15"/>
  <c r="H32" i="15"/>
  <c r="H24" i="19"/>
  <c r="H10" i="20"/>
  <c r="H17" i="20"/>
  <c r="H10" i="22"/>
  <c r="H25" i="25"/>
  <c r="H15" i="26"/>
  <c r="H13" i="28"/>
  <c r="H39" i="28"/>
  <c r="H18" i="31"/>
  <c r="H32" i="31"/>
  <c r="H26" i="32"/>
  <c r="H23" i="3"/>
  <c r="G43" i="4"/>
  <c r="I24" i="4" s="1"/>
  <c r="H13" i="4"/>
  <c r="H24" i="12"/>
  <c r="H11" i="13"/>
  <c r="H19" i="14"/>
  <c r="H30" i="14"/>
  <c r="H44" i="14"/>
  <c r="H29" i="15"/>
  <c r="G40" i="17"/>
  <c r="I19" i="17" s="1"/>
  <c r="H22" i="17"/>
  <c r="H30" i="17"/>
  <c r="G44" i="18"/>
  <c r="I42" i="18" s="1"/>
  <c r="H25" i="18"/>
  <c r="H12" i="19"/>
  <c r="H28" i="19"/>
  <c r="G21" i="20"/>
  <c r="I15" i="20" s="1"/>
  <c r="H24" i="21"/>
  <c r="G44" i="22"/>
  <c r="H22" i="22"/>
  <c r="H12" i="23"/>
  <c r="H12" i="24"/>
  <c r="H30" i="24"/>
  <c r="H35" i="24"/>
  <c r="H38" i="24"/>
  <c r="H46" i="28"/>
  <c r="G33" i="29"/>
  <c r="I10" i="29" s="1"/>
  <c r="H9" i="29"/>
  <c r="H15" i="30"/>
  <c r="H18" i="30"/>
  <c r="G40" i="8"/>
  <c r="E41" i="8" s="1"/>
  <c r="H30" i="30"/>
  <c r="H39" i="30"/>
  <c r="H11" i="33"/>
  <c r="H42" i="33"/>
  <c r="H16" i="34"/>
  <c r="H16" i="38"/>
  <c r="H17" i="41"/>
  <c r="H25" i="41"/>
  <c r="G47" i="6"/>
  <c r="I41" i="6" s="1"/>
  <c r="G49" i="14"/>
  <c r="H16" i="29"/>
  <c r="H22" i="31"/>
  <c r="H31" i="33"/>
  <c r="H38" i="33"/>
  <c r="H14" i="36"/>
  <c r="H14" i="37"/>
  <c r="H33" i="37"/>
  <c r="H13" i="38"/>
  <c r="H10" i="41"/>
  <c r="H17" i="29"/>
  <c r="H37" i="30"/>
  <c r="H13" i="31"/>
  <c r="H28" i="34"/>
  <c r="H32" i="34"/>
  <c r="H24" i="35"/>
  <c r="H10" i="36"/>
  <c r="G35" i="15"/>
  <c r="I21" i="15" s="1"/>
  <c r="H32" i="17"/>
  <c r="H16" i="18"/>
  <c r="H22" i="19"/>
  <c r="H36" i="19"/>
  <c r="H10" i="21"/>
  <c r="H28" i="21"/>
  <c r="H9" i="23"/>
  <c r="H14" i="25"/>
  <c r="H19" i="25"/>
  <c r="H26" i="25"/>
  <c r="H16" i="28"/>
  <c r="H21" i="28"/>
  <c r="H28" i="28"/>
  <c r="H33" i="28"/>
  <c r="H40" i="28"/>
  <c r="H12" i="29"/>
  <c r="H12" i="30"/>
  <c r="H34" i="30"/>
  <c r="H23" i="31"/>
  <c r="H15" i="32"/>
  <c r="H21" i="32"/>
  <c r="H31" i="32"/>
  <c r="H25" i="33"/>
  <c r="H35" i="33"/>
  <c r="H11" i="35"/>
  <c r="H10" i="38"/>
  <c r="H16" i="39"/>
  <c r="H20" i="39"/>
  <c r="H30" i="40"/>
  <c r="H14" i="32"/>
  <c r="H20" i="32"/>
  <c r="H33" i="32"/>
  <c r="H38" i="32"/>
  <c r="H9" i="33"/>
  <c r="H14" i="33"/>
  <c r="H24" i="33"/>
  <c r="H27" i="33"/>
  <c r="H29" i="33"/>
  <c r="H9" i="34"/>
  <c r="H13" i="34"/>
  <c r="H29" i="35"/>
  <c r="H19" i="36"/>
  <c r="H24" i="36"/>
  <c r="H30" i="36"/>
  <c r="H26" i="37"/>
  <c r="H22" i="38"/>
  <c r="H28" i="38"/>
  <c r="H26" i="39"/>
  <c r="H31" i="39"/>
  <c r="H38" i="39"/>
  <c r="H12" i="40"/>
  <c r="G33" i="44"/>
  <c r="D34" i="44" s="1"/>
  <c r="H32" i="44"/>
  <c r="H17" i="39"/>
  <c r="H13" i="40"/>
  <c r="H18" i="41"/>
  <c r="H37" i="41"/>
  <c r="H20" i="45"/>
  <c r="H31" i="40"/>
  <c r="H15" i="42"/>
  <c r="H42" i="43"/>
  <c r="H14" i="44"/>
  <c r="H23" i="44"/>
  <c r="H14" i="46"/>
  <c r="H10" i="34"/>
  <c r="H21" i="34"/>
  <c r="H23" i="34"/>
  <c r="H27" i="34"/>
  <c r="H31" i="34"/>
  <c r="H35" i="34"/>
  <c r="H39" i="34"/>
  <c r="H42" i="34"/>
  <c r="H9" i="35"/>
  <c r="H23" i="35"/>
  <c r="H32" i="35"/>
  <c r="H13" i="36"/>
  <c r="H29" i="39"/>
  <c r="H18" i="40"/>
  <c r="H21" i="40"/>
  <c r="H10" i="44"/>
  <c r="H30" i="44"/>
  <c r="H22" i="45"/>
  <c r="H27" i="47"/>
  <c r="H17" i="34"/>
  <c r="H16" i="35"/>
  <c r="H9" i="38"/>
  <c r="H33" i="38"/>
  <c r="H25" i="39"/>
  <c r="H11" i="40"/>
  <c r="H36" i="40"/>
  <c r="H39" i="40"/>
  <c r="H26" i="42"/>
  <c r="H33" i="42"/>
  <c r="H33" i="45"/>
  <c r="I16" i="46"/>
  <c r="H16" i="46"/>
  <c r="H19" i="39"/>
  <c r="H23" i="39"/>
  <c r="H37" i="39"/>
  <c r="H17" i="40"/>
  <c r="H35" i="40"/>
  <c r="H24" i="41"/>
  <c r="H31" i="41"/>
  <c r="H13" i="42"/>
  <c r="H30" i="42"/>
  <c r="H11" i="43"/>
  <c r="H33" i="43"/>
  <c r="H24" i="44"/>
  <c r="H26" i="44"/>
  <c r="H27" i="45"/>
  <c r="H38" i="45"/>
  <c r="H40" i="45"/>
  <c r="H45" i="45"/>
  <c r="H10" i="46"/>
  <c r="H17" i="48"/>
  <c r="H28" i="48"/>
  <c r="H31" i="49"/>
  <c r="H28" i="50"/>
  <c r="H26" i="52"/>
  <c r="H33" i="56"/>
  <c r="H15" i="60"/>
  <c r="H29" i="62"/>
  <c r="H34" i="62"/>
  <c r="H32" i="46"/>
  <c r="H11" i="48"/>
  <c r="H24" i="48"/>
  <c r="H38" i="51"/>
  <c r="H16" i="57"/>
  <c r="H12" i="73"/>
  <c r="H19" i="46"/>
  <c r="H33" i="46"/>
  <c r="H20" i="47"/>
  <c r="H31" i="47"/>
  <c r="H25" i="48"/>
  <c r="H39" i="48"/>
  <c r="I17" i="46"/>
  <c r="H12" i="47"/>
  <c r="H32" i="47"/>
  <c r="H39" i="47"/>
  <c r="H15" i="48"/>
  <c r="H26" i="48"/>
  <c r="H19" i="49"/>
  <c r="H20" i="50"/>
  <c r="H26" i="50"/>
  <c r="H22" i="54"/>
  <c r="H25" i="42"/>
  <c r="H21" i="43"/>
  <c r="H35" i="43"/>
  <c r="H13" i="44"/>
  <c r="H31" i="44"/>
  <c r="H21" i="45"/>
  <c r="H32" i="45"/>
  <c r="H15" i="46"/>
  <c r="H17" i="46"/>
  <c r="H24" i="46"/>
  <c r="H30" i="46"/>
  <c r="I34" i="46"/>
  <c r="H34" i="46"/>
  <c r="H29" i="47"/>
  <c r="H36" i="47"/>
  <c r="H28" i="53"/>
  <c r="H19" i="55"/>
  <c r="H28" i="56"/>
  <c r="H30" i="66"/>
  <c r="H24" i="70"/>
  <c r="H14" i="48"/>
  <c r="H10" i="49"/>
  <c r="H17" i="49"/>
  <c r="H23" i="49"/>
  <c r="H42" i="49"/>
  <c r="G34" i="50"/>
  <c r="I13" i="50" s="1"/>
  <c r="H12" i="50"/>
  <c r="H24" i="51"/>
  <c r="H32" i="52"/>
  <c r="H16" i="53"/>
  <c r="H34" i="53"/>
  <c r="H12" i="55"/>
  <c r="H30" i="55"/>
  <c r="H28" i="63"/>
  <c r="H33" i="63"/>
  <c r="H12" i="64"/>
  <c r="H27" i="68"/>
  <c r="H44" i="68"/>
  <c r="H17" i="69"/>
  <c r="H30" i="70"/>
  <c r="H40" i="70"/>
  <c r="H23" i="72"/>
  <c r="H31" i="56"/>
  <c r="H12" i="58"/>
  <c r="H26" i="61"/>
  <c r="H15" i="62"/>
  <c r="H10" i="63"/>
  <c r="H12" i="67"/>
  <c r="H17" i="67"/>
  <c r="H23" i="69"/>
  <c r="H33" i="71"/>
  <c r="H38" i="74"/>
  <c r="H22" i="58"/>
  <c r="H11" i="62"/>
  <c r="H22" i="65"/>
  <c r="H25" i="67"/>
  <c r="H33" i="68"/>
  <c r="H40" i="68"/>
  <c r="H32" i="70"/>
  <c r="H31" i="48"/>
  <c r="H38" i="48"/>
  <c r="H40" i="48"/>
  <c r="H47" i="48"/>
  <c r="H9" i="49"/>
  <c r="H16" i="49"/>
  <c r="H18" i="49"/>
  <c r="H20" i="49"/>
  <c r="H30" i="49"/>
  <c r="H19" i="50"/>
  <c r="H25" i="50"/>
  <c r="G34" i="54"/>
  <c r="I17" i="54" s="1"/>
  <c r="H23" i="57"/>
  <c r="H32" i="61"/>
  <c r="H16" i="63"/>
  <c r="H18" i="64"/>
  <c r="H18" i="66"/>
  <c r="H14" i="67"/>
  <c r="H11" i="69"/>
  <c r="H9" i="70"/>
  <c r="H29" i="48"/>
  <c r="H36" i="48"/>
  <c r="H27" i="49"/>
  <c r="H36" i="51"/>
  <c r="H38" i="56"/>
  <c r="H14" i="57"/>
  <c r="H20" i="58"/>
  <c r="H20" i="61"/>
  <c r="H15" i="64"/>
  <c r="H10" i="68"/>
  <c r="H19" i="70"/>
  <c r="H17" i="71"/>
  <c r="H21" i="71"/>
  <c r="H36" i="71"/>
  <c r="H33" i="62"/>
  <c r="H40" i="66"/>
  <c r="H36" i="68"/>
  <c r="H43" i="68"/>
  <c r="H22" i="69"/>
  <c r="H33" i="70"/>
  <c r="H16" i="71"/>
  <c r="H20" i="71"/>
  <c r="H35" i="71"/>
  <c r="H22" i="72"/>
  <c r="H29" i="77"/>
  <c r="H10" i="71"/>
  <c r="H18" i="71"/>
  <c r="H30" i="72"/>
  <c r="H14" i="74"/>
  <c r="H26" i="77"/>
  <c r="H34" i="78"/>
  <c r="H13" i="59"/>
  <c r="H31" i="59"/>
  <c r="H29" i="61"/>
  <c r="H36" i="61"/>
  <c r="H44" i="63"/>
  <c r="H11" i="64"/>
  <c r="H21" i="64"/>
  <c r="H24" i="64"/>
  <c r="H34" i="71"/>
  <c r="H32" i="74"/>
  <c r="H18" i="76"/>
  <c r="H15" i="67"/>
  <c r="H26" i="67"/>
  <c r="H10" i="70"/>
  <c r="H22" i="70"/>
  <c r="H29" i="70"/>
  <c r="H13" i="71"/>
  <c r="H15" i="71"/>
  <c r="H19" i="71"/>
  <c r="H21" i="72"/>
  <c r="H28" i="72"/>
  <c r="H23" i="73"/>
  <c r="H21" i="78"/>
  <c r="H24" i="74"/>
  <c r="H15" i="75"/>
  <c r="H29" i="76"/>
  <c r="H23" i="77"/>
  <c r="H27" i="77"/>
  <c r="H30" i="77"/>
  <c r="H15" i="78"/>
  <c r="H26" i="78"/>
  <c r="H30" i="78"/>
  <c r="H11" i="79"/>
  <c r="H15" i="79"/>
  <c r="H22" i="79"/>
  <c r="H24" i="79"/>
  <c r="H28" i="79"/>
  <c r="H30" i="79"/>
  <c r="H13" i="80"/>
  <c r="H24" i="80"/>
  <c r="G37" i="71"/>
  <c r="I9" i="71" s="1"/>
  <c r="H12" i="71"/>
  <c r="H23" i="71"/>
  <c r="H25" i="71"/>
  <c r="H30" i="71"/>
  <c r="H32" i="71"/>
  <c r="H14" i="72"/>
  <c r="H34" i="72"/>
  <c r="H18" i="74"/>
  <c r="H22" i="74"/>
  <c r="H29" i="74"/>
  <c r="H36" i="74"/>
  <c r="H11" i="76"/>
  <c r="H23" i="76"/>
  <c r="H18" i="77"/>
  <c r="H36" i="77"/>
  <c r="H12" i="78"/>
  <c r="H18" i="79"/>
  <c r="H33" i="79"/>
  <c r="H33" i="80"/>
  <c r="H40" i="80"/>
  <c r="H12" i="81"/>
  <c r="H24" i="81"/>
  <c r="H26" i="81"/>
  <c r="H28" i="81"/>
  <c r="H25" i="80"/>
  <c r="H31" i="80"/>
  <c r="H21" i="81"/>
  <c r="G43" i="77"/>
  <c r="I11" i="77" s="1"/>
  <c r="G42" i="80"/>
  <c r="I41" i="80" s="1"/>
  <c r="G37" i="76"/>
  <c r="I16" i="76" s="1"/>
  <c r="E40" i="26"/>
  <c r="I15" i="22"/>
  <c r="F40" i="26"/>
  <c r="I29" i="14"/>
  <c r="I21" i="22"/>
  <c r="H25" i="2"/>
  <c r="G38" i="2"/>
  <c r="E39" i="2" s="1"/>
  <c r="I33" i="8"/>
  <c r="I29" i="8"/>
  <c r="I23" i="8"/>
  <c r="H15" i="5"/>
  <c r="H22" i="5"/>
  <c r="I22" i="9"/>
  <c r="I10" i="9"/>
  <c r="I17" i="9"/>
  <c r="I11" i="9"/>
  <c r="I12" i="9"/>
  <c r="I19" i="9"/>
  <c r="I16" i="17"/>
  <c r="I26" i="18"/>
  <c r="H9" i="2"/>
  <c r="H15" i="2"/>
  <c r="H21" i="2"/>
  <c r="H27" i="2"/>
  <c r="H33" i="2"/>
  <c r="H12" i="3"/>
  <c r="H18" i="3"/>
  <c r="H24" i="3"/>
  <c r="H30" i="3"/>
  <c r="G33" i="3"/>
  <c r="C34" i="3" s="1"/>
  <c r="H14" i="4"/>
  <c r="H20" i="4"/>
  <c r="H26" i="4"/>
  <c r="H32" i="4"/>
  <c r="H38" i="4"/>
  <c r="H10" i="5"/>
  <c r="H12" i="5"/>
  <c r="I39" i="9"/>
  <c r="I30" i="14"/>
  <c r="I13" i="14"/>
  <c r="I14" i="14"/>
  <c r="H18" i="5"/>
  <c r="H13" i="2"/>
  <c r="H10" i="3"/>
  <c r="H16" i="3"/>
  <c r="H22" i="3"/>
  <c r="H28" i="3"/>
  <c r="H12" i="4"/>
  <c r="H18" i="4"/>
  <c r="H24" i="4"/>
  <c r="H30" i="4"/>
  <c r="H36" i="4"/>
  <c r="H42" i="4"/>
  <c r="G46" i="5"/>
  <c r="I21" i="5" s="1"/>
  <c r="H9" i="5"/>
  <c r="H16" i="5"/>
  <c r="I21" i="14"/>
  <c r="H19" i="2"/>
  <c r="H31" i="2"/>
  <c r="H37" i="2"/>
  <c r="H11" i="5"/>
  <c r="I15" i="6"/>
  <c r="I22" i="6"/>
  <c r="I13" i="6"/>
  <c r="D50" i="14"/>
  <c r="I17" i="15"/>
  <c r="H36" i="6"/>
  <c r="H42" i="6"/>
  <c r="H18" i="7"/>
  <c r="H24" i="7"/>
  <c r="H30" i="7"/>
  <c r="H12" i="8"/>
  <c r="H18" i="8"/>
  <c r="H24" i="8"/>
  <c r="H30" i="8"/>
  <c r="H19" i="9"/>
  <c r="H25" i="9"/>
  <c r="I26" i="9"/>
  <c r="H31" i="9"/>
  <c r="H37" i="9"/>
  <c r="H13" i="10"/>
  <c r="H19" i="10"/>
  <c r="H25" i="10"/>
  <c r="H31" i="10"/>
  <c r="G34" i="10"/>
  <c r="I24" i="10" s="1"/>
  <c r="H14" i="11"/>
  <c r="H20" i="11"/>
  <c r="H26" i="11"/>
  <c r="H32" i="11"/>
  <c r="H38" i="11"/>
  <c r="H44" i="11"/>
  <c r="G47" i="11"/>
  <c r="I24" i="11" s="1"/>
  <c r="H14" i="12"/>
  <c r="H20" i="12"/>
  <c r="H26" i="12"/>
  <c r="H32" i="12"/>
  <c r="G35" i="12"/>
  <c r="I22" i="12" s="1"/>
  <c r="H14" i="13"/>
  <c r="H20" i="13"/>
  <c r="H26" i="13"/>
  <c r="H32" i="13"/>
  <c r="H9" i="14"/>
  <c r="H15" i="14"/>
  <c r="I16" i="14"/>
  <c r="H21" i="14"/>
  <c r="H27" i="14"/>
  <c r="H13" i="16"/>
  <c r="H19" i="16"/>
  <c r="H25" i="16"/>
  <c r="H31" i="16"/>
  <c r="H9" i="17"/>
  <c r="H15" i="17"/>
  <c r="H21" i="17"/>
  <c r="H27" i="17"/>
  <c r="H33" i="17"/>
  <c r="H39" i="17"/>
  <c r="H28" i="18"/>
  <c r="I14" i="22"/>
  <c r="I20" i="22"/>
  <c r="H26" i="22"/>
  <c r="I26" i="22"/>
  <c r="C40" i="24"/>
  <c r="D40" i="26"/>
  <c r="H28" i="5"/>
  <c r="H34" i="5"/>
  <c r="H40" i="5"/>
  <c r="H11" i="6"/>
  <c r="H17" i="6"/>
  <c r="H23" i="6"/>
  <c r="I24" i="6"/>
  <c r="H29" i="6"/>
  <c r="H35" i="6"/>
  <c r="H11" i="8"/>
  <c r="I12" i="8"/>
  <c r="H17" i="8"/>
  <c r="H18" i="10"/>
  <c r="H24" i="10"/>
  <c r="H30" i="10"/>
  <c r="H25" i="11"/>
  <c r="H37" i="11"/>
  <c r="H43" i="11"/>
  <c r="H13" i="13"/>
  <c r="H19" i="13"/>
  <c r="H25" i="13"/>
  <c r="H31" i="13"/>
  <c r="G34" i="13"/>
  <c r="E35" i="13" s="1"/>
  <c r="H18" i="16"/>
  <c r="H24" i="16"/>
  <c r="H30" i="16"/>
  <c r="G33" i="16"/>
  <c r="I21" i="16" s="1"/>
  <c r="H9" i="18"/>
  <c r="H15" i="18"/>
  <c r="I13" i="22"/>
  <c r="I19" i="22"/>
  <c r="I24" i="22"/>
  <c r="H21" i="5"/>
  <c r="H27" i="5"/>
  <c r="H33" i="5"/>
  <c r="H39" i="5"/>
  <c r="H45" i="5"/>
  <c r="I17" i="6"/>
  <c r="H34" i="6"/>
  <c r="H40" i="6"/>
  <c r="H46" i="6"/>
  <c r="H10" i="7"/>
  <c r="H16" i="7"/>
  <c r="H40" i="7"/>
  <c r="H10" i="8"/>
  <c r="H16" i="8"/>
  <c r="H22" i="8"/>
  <c r="H28" i="8"/>
  <c r="H34" i="8"/>
  <c r="H18" i="11"/>
  <c r="H24" i="11"/>
  <c r="H30" i="11"/>
  <c r="H36" i="11"/>
  <c r="H42" i="11"/>
  <c r="H12" i="13"/>
  <c r="H18" i="13"/>
  <c r="H24" i="13"/>
  <c r="H30" i="13"/>
  <c r="H17" i="16"/>
  <c r="H23" i="16"/>
  <c r="H29" i="16"/>
  <c r="H13" i="17"/>
  <c r="H19" i="17"/>
  <c r="H25" i="17"/>
  <c r="H31" i="17"/>
  <c r="H37" i="17"/>
  <c r="H14" i="18"/>
  <c r="H20" i="18"/>
  <c r="H26" i="18"/>
  <c r="H32" i="18"/>
  <c r="H38" i="18"/>
  <c r="H11" i="19"/>
  <c r="H17" i="19"/>
  <c r="H23" i="19"/>
  <c r="H29" i="19"/>
  <c r="H35" i="19"/>
  <c r="H9" i="20"/>
  <c r="H15" i="20"/>
  <c r="H11" i="21"/>
  <c r="H17" i="21"/>
  <c r="H23" i="21"/>
  <c r="H29" i="21"/>
  <c r="H35" i="21"/>
  <c r="H11" i="22"/>
  <c r="I12" i="22"/>
  <c r="H17" i="22"/>
  <c r="H23" i="22"/>
  <c r="I27" i="22"/>
  <c r="C45" i="22"/>
  <c r="H20" i="5"/>
  <c r="H26" i="5"/>
  <c r="H32" i="5"/>
  <c r="H44" i="5"/>
  <c r="H39" i="8"/>
  <c r="H40" i="9"/>
  <c r="H23" i="11"/>
  <c r="H29" i="11"/>
  <c r="H35" i="11"/>
  <c r="H10" i="15"/>
  <c r="H16" i="15"/>
  <c r="H22" i="15"/>
  <c r="H28" i="15"/>
  <c r="H34" i="15"/>
  <c r="H10" i="16"/>
  <c r="H16" i="16"/>
  <c r="H22" i="16"/>
  <c r="G37" i="19"/>
  <c r="I42" i="22"/>
  <c r="I36" i="22"/>
  <c r="I11" i="22"/>
  <c r="I17" i="22"/>
  <c r="I23" i="22"/>
  <c r="I30" i="22"/>
  <c r="D45" i="22"/>
  <c r="H31" i="5"/>
  <c r="H37" i="5"/>
  <c r="H43" i="5"/>
  <c r="H26" i="6"/>
  <c r="H32" i="6"/>
  <c r="H38" i="6"/>
  <c r="H44" i="6"/>
  <c r="H14" i="7"/>
  <c r="H20" i="7"/>
  <c r="H26" i="7"/>
  <c r="H32" i="7"/>
  <c r="H38" i="7"/>
  <c r="H14" i="8"/>
  <c r="H20" i="8"/>
  <c r="H26" i="8"/>
  <c r="H32" i="8"/>
  <c r="H38" i="8"/>
  <c r="H9" i="9"/>
  <c r="H15" i="9"/>
  <c r="H21" i="9"/>
  <c r="H27" i="9"/>
  <c r="H33" i="9"/>
  <c r="H39" i="9"/>
  <c r="H21" i="10"/>
  <c r="H27" i="10"/>
  <c r="H33" i="10"/>
  <c r="H10" i="12"/>
  <c r="H16" i="12"/>
  <c r="H22" i="12"/>
  <c r="H28" i="12"/>
  <c r="H34" i="12"/>
  <c r="H10" i="13"/>
  <c r="H16" i="13"/>
  <c r="H22" i="13"/>
  <c r="H28" i="13"/>
  <c r="H11" i="14"/>
  <c r="H17" i="14"/>
  <c r="I18" i="14"/>
  <c r="H23" i="14"/>
  <c r="H29" i="14"/>
  <c r="H35" i="14"/>
  <c r="I42" i="14"/>
  <c r="H47" i="14"/>
  <c r="H9" i="15"/>
  <c r="H15" i="15"/>
  <c r="H21" i="15"/>
  <c r="H27" i="15"/>
  <c r="H33" i="15"/>
  <c r="H21" i="16"/>
  <c r="H11" i="17"/>
  <c r="H17" i="17"/>
  <c r="H23" i="17"/>
  <c r="H29" i="17"/>
  <c r="H35" i="17"/>
  <c r="H12" i="18"/>
  <c r="H18" i="18"/>
  <c r="H24" i="18"/>
  <c r="H30" i="18"/>
  <c r="H36" i="18"/>
  <c r="H42" i="18"/>
  <c r="I43" i="18"/>
  <c r="H9" i="19"/>
  <c r="H15" i="19"/>
  <c r="H21" i="19"/>
  <c r="H27" i="19"/>
  <c r="H33" i="19"/>
  <c r="H13" i="20"/>
  <c r="I14" i="20"/>
  <c r="H19" i="20"/>
  <c r="H9" i="21"/>
  <c r="H15" i="21"/>
  <c r="H21" i="21"/>
  <c r="H27" i="21"/>
  <c r="H33" i="21"/>
  <c r="H39" i="21"/>
  <c r="H9" i="22"/>
  <c r="I10" i="22"/>
  <c r="H15" i="22"/>
  <c r="I16" i="22"/>
  <c r="H21" i="22"/>
  <c r="I22" i="22"/>
  <c r="I28" i="22"/>
  <c r="H28" i="22"/>
  <c r="I33" i="22"/>
  <c r="I39" i="22"/>
  <c r="E45" i="22"/>
  <c r="I12" i="24"/>
  <c r="I32" i="24"/>
  <c r="I27" i="24"/>
  <c r="I21" i="24"/>
  <c r="I9" i="22"/>
  <c r="F45" i="22"/>
  <c r="I36" i="26"/>
  <c r="I30" i="26"/>
  <c r="I24" i="26"/>
  <c r="I18" i="26"/>
  <c r="I12" i="26"/>
  <c r="I38" i="26"/>
  <c r="I32" i="26"/>
  <c r="I26" i="26"/>
  <c r="I20" i="26"/>
  <c r="I14" i="26"/>
  <c r="I33" i="26"/>
  <c r="I27" i="26"/>
  <c r="I21" i="26"/>
  <c r="I15" i="26"/>
  <c r="I9" i="26"/>
  <c r="C40" i="26"/>
  <c r="H25" i="22"/>
  <c r="H31" i="22"/>
  <c r="I32" i="22"/>
  <c r="H37" i="22"/>
  <c r="I38" i="22"/>
  <c r="H43" i="22"/>
  <c r="H10" i="23"/>
  <c r="H16" i="23"/>
  <c r="H22" i="23"/>
  <c r="H28" i="23"/>
  <c r="H10" i="24"/>
  <c r="I11" i="24"/>
  <c r="H16" i="24"/>
  <c r="H22" i="24"/>
  <c r="H28" i="24"/>
  <c r="I29" i="24"/>
  <c r="H34" i="24"/>
  <c r="H12" i="25"/>
  <c r="H18" i="25"/>
  <c r="H24" i="25"/>
  <c r="H30" i="25"/>
  <c r="H36" i="25"/>
  <c r="H10" i="26"/>
  <c r="I11" i="26"/>
  <c r="H16" i="26"/>
  <c r="I17" i="26"/>
  <c r="H22" i="26"/>
  <c r="I23" i="26"/>
  <c r="H28" i="26"/>
  <c r="I29" i="26"/>
  <c r="H34" i="26"/>
  <c r="I35" i="26"/>
  <c r="H12" i="27"/>
  <c r="H18" i="27"/>
  <c r="H24" i="27"/>
  <c r="H30" i="27"/>
  <c r="G33" i="27"/>
  <c r="I30" i="27" s="1"/>
  <c r="H14" i="28"/>
  <c r="H20" i="28"/>
  <c r="H26" i="28"/>
  <c r="H32" i="28"/>
  <c r="H38" i="28"/>
  <c r="H44" i="28"/>
  <c r="G47" i="28"/>
  <c r="I38" i="28" s="1"/>
  <c r="H14" i="29"/>
  <c r="H18" i="29"/>
  <c r="H22" i="29"/>
  <c r="H29" i="29"/>
  <c r="H13" i="30"/>
  <c r="H17" i="30"/>
  <c r="H20" i="30"/>
  <c r="H24" i="30"/>
  <c r="H31" i="30"/>
  <c r="H35" i="30"/>
  <c r="H38" i="30"/>
  <c r="H42" i="30"/>
  <c r="H10" i="31"/>
  <c r="H14" i="31"/>
  <c r="H17" i="31"/>
  <c r="H21" i="31"/>
  <c r="H27" i="31"/>
  <c r="H12" i="32"/>
  <c r="H17" i="33"/>
  <c r="H19" i="33"/>
  <c r="H23" i="33"/>
  <c r="H26" i="34"/>
  <c r="H30" i="39"/>
  <c r="H35" i="42"/>
  <c r="I25" i="22"/>
  <c r="I31" i="22"/>
  <c r="H36" i="22"/>
  <c r="I37" i="22"/>
  <c r="H42" i="22"/>
  <c r="I43" i="22"/>
  <c r="H15" i="23"/>
  <c r="H21" i="23"/>
  <c r="H27" i="23"/>
  <c r="H9" i="24"/>
  <c r="I16" i="24"/>
  <c r="I28" i="24"/>
  <c r="H29" i="25"/>
  <c r="H35" i="25"/>
  <c r="I10" i="26"/>
  <c r="I16" i="26"/>
  <c r="I22" i="26"/>
  <c r="I28" i="26"/>
  <c r="I34" i="26"/>
  <c r="H23" i="32"/>
  <c r="H25" i="32"/>
  <c r="H40" i="32"/>
  <c r="H26" i="33"/>
  <c r="H30" i="33"/>
  <c r="H34" i="33"/>
  <c r="G35" i="37"/>
  <c r="C36" i="37" s="1"/>
  <c r="H18" i="37"/>
  <c r="G29" i="23"/>
  <c r="I26" i="23" s="1"/>
  <c r="G37" i="25"/>
  <c r="I21" i="25" s="1"/>
  <c r="H28" i="32"/>
  <c r="H10" i="33"/>
  <c r="H37" i="33"/>
  <c r="G33" i="36"/>
  <c r="C34" i="36" s="1"/>
  <c r="H16" i="36"/>
  <c r="I29" i="22"/>
  <c r="H34" i="22"/>
  <c r="I35" i="22"/>
  <c r="H40" i="22"/>
  <c r="H13" i="23"/>
  <c r="H19" i="23"/>
  <c r="H25" i="23"/>
  <c r="H13" i="24"/>
  <c r="H19" i="24"/>
  <c r="H25" i="24"/>
  <c r="H31" i="24"/>
  <c r="H37" i="24"/>
  <c r="H9" i="25"/>
  <c r="H15" i="25"/>
  <c r="H21" i="25"/>
  <c r="H27" i="25"/>
  <c r="H33" i="25"/>
  <c r="H13" i="26"/>
  <c r="H19" i="26"/>
  <c r="H25" i="26"/>
  <c r="H31" i="26"/>
  <c r="H37" i="26"/>
  <c r="H9" i="27"/>
  <c r="H15" i="27"/>
  <c r="H21" i="27"/>
  <c r="H27" i="27"/>
  <c r="H11" i="28"/>
  <c r="H17" i="28"/>
  <c r="H23" i="28"/>
  <c r="H29" i="28"/>
  <c r="H35" i="28"/>
  <c r="H11" i="29"/>
  <c r="H26" i="31"/>
  <c r="H28" i="31"/>
  <c r="H37" i="31"/>
  <c r="H11" i="32"/>
  <c r="H13" i="32"/>
  <c r="H22" i="32"/>
  <c r="H12" i="33"/>
  <c r="H18" i="34"/>
  <c r="H10" i="35"/>
  <c r="H21" i="35"/>
  <c r="H28" i="39"/>
  <c r="I34" i="22"/>
  <c r="I40" i="22"/>
  <c r="I13" i="24"/>
  <c r="I19" i="24"/>
  <c r="I25" i="24"/>
  <c r="I31" i="24"/>
  <c r="I13" i="26"/>
  <c r="I19" i="26"/>
  <c r="I25" i="26"/>
  <c r="I31" i="26"/>
  <c r="I37" i="26"/>
  <c r="I35" i="28"/>
  <c r="H31" i="31"/>
  <c r="G38" i="31"/>
  <c r="I20" i="31" s="1"/>
  <c r="H16" i="32"/>
  <c r="G43" i="33"/>
  <c r="H16" i="33"/>
  <c r="H37" i="35"/>
  <c r="H20" i="37"/>
  <c r="H17" i="38"/>
  <c r="H42" i="38"/>
  <c r="H42" i="39"/>
  <c r="G44" i="30"/>
  <c r="I23" i="30" s="1"/>
  <c r="H25" i="31"/>
  <c r="G42" i="32"/>
  <c r="H10" i="32"/>
  <c r="H34" i="32"/>
  <c r="I17" i="33"/>
  <c r="H19" i="35"/>
  <c r="H18" i="36"/>
  <c r="H34" i="41"/>
  <c r="H21" i="36"/>
  <c r="H23" i="37"/>
  <c r="H14" i="38"/>
  <c r="H23" i="38"/>
  <c r="H9" i="39"/>
  <c r="G43" i="39"/>
  <c r="I40" i="39" s="1"/>
  <c r="H36" i="39"/>
  <c r="G42" i="40"/>
  <c r="I31" i="40" s="1"/>
  <c r="H10" i="40"/>
  <c r="H15" i="41"/>
  <c r="H17" i="42"/>
  <c r="I31" i="50"/>
  <c r="I26" i="50"/>
  <c r="I29" i="50"/>
  <c r="I19" i="50"/>
  <c r="I25" i="50"/>
  <c r="C35" i="50"/>
  <c r="G39" i="35"/>
  <c r="C40" i="35" s="1"/>
  <c r="H13" i="35"/>
  <c r="H26" i="35"/>
  <c r="H28" i="35"/>
  <c r="H31" i="35"/>
  <c r="H23" i="36"/>
  <c r="I28" i="36"/>
  <c r="H25" i="37"/>
  <c r="G43" i="38"/>
  <c r="I11" i="38" s="1"/>
  <c r="H12" i="38"/>
  <c r="H20" i="38"/>
  <c r="H29" i="38"/>
  <c r="I29" i="38"/>
  <c r="H15" i="39"/>
  <c r="H34" i="39"/>
  <c r="H40" i="39"/>
  <c r="H22" i="40"/>
  <c r="H34" i="40"/>
  <c r="H15" i="36"/>
  <c r="H17" i="37"/>
  <c r="H26" i="38"/>
  <c r="H35" i="38"/>
  <c r="H12" i="39"/>
  <c r="H21" i="39"/>
  <c r="H25" i="35"/>
  <c r="D34" i="36"/>
  <c r="H32" i="38"/>
  <c r="I16" i="39"/>
  <c r="H18" i="39"/>
  <c r="H27" i="39"/>
  <c r="G39" i="41"/>
  <c r="I13" i="41" s="1"/>
  <c r="H9" i="41"/>
  <c r="H32" i="41"/>
  <c r="G43" i="34"/>
  <c r="I40" i="34" s="1"/>
  <c r="H9" i="36"/>
  <c r="H27" i="36"/>
  <c r="E34" i="36"/>
  <c r="H11" i="37"/>
  <c r="H29" i="37"/>
  <c r="H11" i="38"/>
  <c r="H38" i="38"/>
  <c r="H24" i="39"/>
  <c r="H33" i="39"/>
  <c r="H16" i="40"/>
  <c r="H28" i="40"/>
  <c r="H40" i="40"/>
  <c r="H21" i="41"/>
  <c r="H32" i="43"/>
  <c r="H10" i="42"/>
  <c r="H28" i="42"/>
  <c r="G44" i="43"/>
  <c r="I14" i="43" s="1"/>
  <c r="H26" i="43"/>
  <c r="H28" i="43"/>
  <c r="H30" i="43"/>
  <c r="H36" i="43"/>
  <c r="H38" i="43"/>
  <c r="I18" i="46"/>
  <c r="I29" i="46"/>
  <c r="E42" i="46"/>
  <c r="I17" i="50"/>
  <c r="F35" i="54"/>
  <c r="G43" i="42"/>
  <c r="H22" i="42"/>
  <c r="H40" i="42"/>
  <c r="F42" i="46"/>
  <c r="I30" i="46"/>
  <c r="I23" i="46"/>
  <c r="I12" i="46"/>
  <c r="D42" i="46"/>
  <c r="I35" i="46"/>
  <c r="I24" i="46"/>
  <c r="I40" i="46"/>
  <c r="I33" i="46"/>
  <c r="I26" i="46"/>
  <c r="I22" i="46"/>
  <c r="I15" i="46"/>
  <c r="H10" i="43"/>
  <c r="H12" i="43"/>
  <c r="H14" i="40"/>
  <c r="H20" i="40"/>
  <c r="H26" i="40"/>
  <c r="H32" i="40"/>
  <c r="H38" i="40"/>
  <c r="H13" i="41"/>
  <c r="H16" i="42"/>
  <c r="H34" i="42"/>
  <c r="H14" i="43"/>
  <c r="H16" i="43"/>
  <c r="H18" i="43"/>
  <c r="H23" i="41"/>
  <c r="H27" i="41"/>
  <c r="H33" i="41"/>
  <c r="H38" i="41"/>
  <c r="H18" i="42"/>
  <c r="H36" i="42"/>
  <c r="H20" i="43"/>
  <c r="H22" i="43"/>
  <c r="H24" i="43"/>
  <c r="H34" i="43"/>
  <c r="H40" i="43"/>
  <c r="I25" i="46"/>
  <c r="H29" i="49"/>
  <c r="H32" i="49"/>
  <c r="H45" i="49"/>
  <c r="H17" i="50"/>
  <c r="I22" i="50"/>
  <c r="H11" i="51"/>
  <c r="H23" i="51"/>
  <c r="H16" i="52"/>
  <c r="H19" i="52"/>
  <c r="H21" i="52"/>
  <c r="H24" i="52"/>
  <c r="H26" i="53"/>
  <c r="H37" i="53"/>
  <c r="H25" i="54"/>
  <c r="H10" i="58"/>
  <c r="H14" i="59"/>
  <c r="H15" i="47"/>
  <c r="H19" i="47"/>
  <c r="H22" i="47"/>
  <c r="H26" i="47"/>
  <c r="H33" i="47"/>
  <c r="H37" i="47"/>
  <c r="H40" i="47"/>
  <c r="H12" i="48"/>
  <c r="H16" i="48"/>
  <c r="H19" i="48"/>
  <c r="H23" i="48"/>
  <c r="H30" i="48"/>
  <c r="H34" i="48"/>
  <c r="H37" i="48"/>
  <c r="H48" i="48"/>
  <c r="H11" i="49"/>
  <c r="H15" i="49"/>
  <c r="H22" i="49"/>
  <c r="H26" i="49"/>
  <c r="H34" i="49"/>
  <c r="H9" i="50"/>
  <c r="I9" i="50"/>
  <c r="H22" i="50"/>
  <c r="H24" i="50"/>
  <c r="H27" i="50"/>
  <c r="I27" i="50"/>
  <c r="H17" i="51"/>
  <c r="H17" i="52"/>
  <c r="G40" i="53"/>
  <c r="I37" i="53" s="1"/>
  <c r="H18" i="53"/>
  <c r="H23" i="53"/>
  <c r="H10" i="55"/>
  <c r="H21" i="55"/>
  <c r="H35" i="55"/>
  <c r="H19" i="56"/>
  <c r="H27" i="57"/>
  <c r="G33" i="59"/>
  <c r="I16" i="59" s="1"/>
  <c r="I10" i="46"/>
  <c r="I13" i="46"/>
  <c r="I14" i="46"/>
  <c r="I21" i="46"/>
  <c r="I28" i="46"/>
  <c r="I31" i="46"/>
  <c r="I32" i="46"/>
  <c r="I39" i="46"/>
  <c r="G49" i="48"/>
  <c r="H44" i="49"/>
  <c r="I16" i="50"/>
  <c r="I24" i="50"/>
  <c r="H37" i="51"/>
  <c r="H9" i="52"/>
  <c r="H12" i="52"/>
  <c r="H19" i="53"/>
  <c r="H10" i="54"/>
  <c r="H21" i="54"/>
  <c r="H32" i="54"/>
  <c r="H32" i="55"/>
  <c r="H16" i="56"/>
  <c r="H35" i="56"/>
  <c r="G45" i="57"/>
  <c r="I13" i="57" s="1"/>
  <c r="H30" i="59"/>
  <c r="H34" i="61"/>
  <c r="H39" i="62"/>
  <c r="H38" i="66"/>
  <c r="H31" i="67"/>
  <c r="H34" i="67"/>
  <c r="C42" i="46"/>
  <c r="H21" i="50"/>
  <c r="I21" i="50"/>
  <c r="H31" i="51"/>
  <c r="H10" i="52"/>
  <c r="H13" i="52"/>
  <c r="G33" i="52"/>
  <c r="I21" i="52" s="1"/>
  <c r="H11" i="53"/>
  <c r="H14" i="53"/>
  <c r="H33" i="53"/>
  <c r="H18" i="54"/>
  <c r="H10" i="57"/>
  <c r="H29" i="57"/>
  <c r="H17" i="59"/>
  <c r="H26" i="59"/>
  <c r="I9" i="46"/>
  <c r="I19" i="46"/>
  <c r="I20" i="46"/>
  <c r="I27" i="46"/>
  <c r="I37" i="46"/>
  <c r="I38" i="46"/>
  <c r="G44" i="47"/>
  <c r="G46" i="49"/>
  <c r="H33" i="49"/>
  <c r="H35" i="49"/>
  <c r="H38" i="49"/>
  <c r="I10" i="50"/>
  <c r="I18" i="50"/>
  <c r="H23" i="50"/>
  <c r="I28" i="50"/>
  <c r="E35" i="50"/>
  <c r="H18" i="51"/>
  <c r="H25" i="51"/>
  <c r="H35" i="51"/>
  <c r="H27" i="52"/>
  <c r="H30" i="52"/>
  <c r="H12" i="53"/>
  <c r="H15" i="53"/>
  <c r="H30" i="53"/>
  <c r="H17" i="55"/>
  <c r="H28" i="55"/>
  <c r="H12" i="56"/>
  <c r="H23" i="56"/>
  <c r="H37" i="56"/>
  <c r="H13" i="57"/>
  <c r="H23" i="61"/>
  <c r="H20" i="62"/>
  <c r="G47" i="45"/>
  <c r="H15" i="50"/>
  <c r="I23" i="50"/>
  <c r="F35" i="50"/>
  <c r="G42" i="51"/>
  <c r="I22" i="51" s="1"/>
  <c r="H19" i="51"/>
  <c r="H29" i="51"/>
  <c r="H23" i="52"/>
  <c r="H28" i="52"/>
  <c r="H31" i="52"/>
  <c r="H14" i="54"/>
  <c r="H28" i="54"/>
  <c r="H14" i="55"/>
  <c r="H25" i="55"/>
  <c r="H9" i="56"/>
  <c r="G43" i="56"/>
  <c r="I21" i="56" s="1"/>
  <c r="H32" i="60"/>
  <c r="G42" i="62"/>
  <c r="I24" i="62" s="1"/>
  <c r="H9" i="62"/>
  <c r="H32" i="64"/>
  <c r="I33" i="50"/>
  <c r="H9" i="51"/>
  <c r="H11" i="52"/>
  <c r="H18" i="52"/>
  <c r="H29" i="52"/>
  <c r="H9" i="53"/>
  <c r="H13" i="53"/>
  <c r="H20" i="53"/>
  <c r="H31" i="53"/>
  <c r="H38" i="53"/>
  <c r="H15" i="54"/>
  <c r="H26" i="54"/>
  <c r="H33" i="54"/>
  <c r="H15" i="55"/>
  <c r="H22" i="55"/>
  <c r="H33" i="55"/>
  <c r="H17" i="56"/>
  <c r="H24" i="56"/>
  <c r="H33" i="57"/>
  <c r="H9" i="59"/>
  <c r="H12" i="59"/>
  <c r="H21" i="59"/>
  <c r="H24" i="59"/>
  <c r="H29" i="59"/>
  <c r="H25" i="60"/>
  <c r="H37" i="61"/>
  <c r="H32" i="63"/>
  <c r="H29" i="56"/>
  <c r="H21" i="57"/>
  <c r="H18" i="58"/>
  <c r="H10" i="59"/>
  <c r="H22" i="59"/>
  <c r="H27" i="59"/>
  <c r="H22" i="60"/>
  <c r="H12" i="61"/>
  <c r="H17" i="62"/>
  <c r="H12" i="63"/>
  <c r="I34" i="56"/>
  <c r="H15" i="57"/>
  <c r="H15" i="59"/>
  <c r="H18" i="59"/>
  <c r="H14" i="60"/>
  <c r="H29" i="60"/>
  <c r="H40" i="64"/>
  <c r="H21" i="53"/>
  <c r="H25" i="53"/>
  <c r="H32" i="53"/>
  <c r="H36" i="53"/>
  <c r="H39" i="53"/>
  <c r="H9" i="54"/>
  <c r="H13" i="54"/>
  <c r="H16" i="54"/>
  <c r="H20" i="54"/>
  <c r="H27" i="54"/>
  <c r="H31" i="54"/>
  <c r="H9" i="55"/>
  <c r="H16" i="55"/>
  <c r="H20" i="55"/>
  <c r="H23" i="55"/>
  <c r="H27" i="55"/>
  <c r="H34" i="55"/>
  <c r="H38" i="55"/>
  <c r="H11" i="56"/>
  <c r="H18" i="56"/>
  <c r="H22" i="56"/>
  <c r="H25" i="56"/>
  <c r="H42" i="56"/>
  <c r="H9" i="57"/>
  <c r="H17" i="57"/>
  <c r="H34" i="57"/>
  <c r="H11" i="59"/>
  <c r="H20" i="59"/>
  <c r="H23" i="59"/>
  <c r="H9" i="61"/>
  <c r="G45" i="61"/>
  <c r="I30" i="61" s="1"/>
  <c r="H19" i="61"/>
  <c r="H30" i="61"/>
  <c r="H13" i="62"/>
  <c r="H24" i="62"/>
  <c r="H14" i="63"/>
  <c r="H30" i="63"/>
  <c r="H37" i="64"/>
  <c r="H13" i="65"/>
  <c r="G39" i="55"/>
  <c r="I28" i="55" s="1"/>
  <c r="H36" i="56"/>
  <c r="H11" i="57"/>
  <c r="H28" i="57"/>
  <c r="H39" i="57"/>
  <c r="H14" i="58"/>
  <c r="H25" i="58"/>
  <c r="H16" i="59"/>
  <c r="H11" i="60"/>
  <c r="H18" i="60"/>
  <c r="H16" i="61"/>
  <c r="H27" i="61"/>
  <c r="H37" i="62"/>
  <c r="H35" i="64"/>
  <c r="H10" i="65"/>
  <c r="G38" i="65"/>
  <c r="I20" i="65" s="1"/>
  <c r="G36" i="67"/>
  <c r="I29" i="67" s="1"/>
  <c r="H9" i="67"/>
  <c r="H17" i="63"/>
  <c r="H35" i="63"/>
  <c r="H13" i="64"/>
  <c r="H33" i="64"/>
  <c r="H24" i="65"/>
  <c r="H9" i="66"/>
  <c r="H23" i="66"/>
  <c r="H27" i="67"/>
  <c r="H28" i="68"/>
  <c r="H20" i="69"/>
  <c r="H10" i="64"/>
  <c r="H19" i="64"/>
  <c r="H25" i="64"/>
  <c r="H28" i="64"/>
  <c r="H35" i="65"/>
  <c r="H20" i="66"/>
  <c r="H31" i="66"/>
  <c r="H34" i="66"/>
  <c r="H18" i="72"/>
  <c r="H13" i="60"/>
  <c r="H17" i="60"/>
  <c r="H20" i="60"/>
  <c r="H24" i="60"/>
  <c r="H31" i="60"/>
  <c r="H35" i="60"/>
  <c r="H11" i="61"/>
  <c r="H36" i="62"/>
  <c r="H11" i="63"/>
  <c r="H29" i="63"/>
  <c r="H42" i="63"/>
  <c r="H16" i="64"/>
  <c r="H26" i="64"/>
  <c r="H29" i="64"/>
  <c r="H20" i="67"/>
  <c r="H23" i="67"/>
  <c r="H12" i="68"/>
  <c r="H23" i="68"/>
  <c r="H12" i="69"/>
  <c r="G36" i="60"/>
  <c r="I23" i="60" s="1"/>
  <c r="H38" i="62"/>
  <c r="H13" i="63"/>
  <c r="H31" i="63"/>
  <c r="G45" i="63"/>
  <c r="I36" i="63" s="1"/>
  <c r="H14" i="64"/>
  <c r="H22" i="64"/>
  <c r="H43" i="64"/>
  <c r="H20" i="65"/>
  <c r="H31" i="65"/>
  <c r="H16" i="66"/>
  <c r="H27" i="66"/>
  <c r="G27" i="58"/>
  <c r="H28" i="59"/>
  <c r="H12" i="60"/>
  <c r="H19" i="60"/>
  <c r="H23" i="60"/>
  <c r="H30" i="60"/>
  <c r="H10" i="61"/>
  <c r="H17" i="61"/>
  <c r="H24" i="61"/>
  <c r="H28" i="61"/>
  <c r="H35" i="61"/>
  <c r="H42" i="61"/>
  <c r="H14" i="62"/>
  <c r="H18" i="62"/>
  <c r="H25" i="62"/>
  <c r="H27" i="62"/>
  <c r="H30" i="62"/>
  <c r="H18" i="63"/>
  <c r="H20" i="63"/>
  <c r="H23" i="63"/>
  <c r="H36" i="63"/>
  <c r="H38" i="63"/>
  <c r="G44" i="64"/>
  <c r="H20" i="64"/>
  <c r="I39" i="64"/>
  <c r="H39" i="64"/>
  <c r="H12" i="65"/>
  <c r="H17" i="65"/>
  <c r="H28" i="65"/>
  <c r="I11" i="66"/>
  <c r="H13" i="66"/>
  <c r="H13" i="67"/>
  <c r="H16" i="67"/>
  <c r="H14" i="68"/>
  <c r="H25" i="68"/>
  <c r="H38" i="68"/>
  <c r="H14" i="69"/>
  <c r="H23" i="70"/>
  <c r="H27" i="64"/>
  <c r="H34" i="64"/>
  <c r="H18" i="65"/>
  <c r="H25" i="65"/>
  <c r="H36" i="65"/>
  <c r="H10" i="66"/>
  <c r="H21" i="66"/>
  <c r="H28" i="66"/>
  <c r="H39" i="66"/>
  <c r="H10" i="67"/>
  <c r="H21" i="67"/>
  <c r="H28" i="67"/>
  <c r="H9" i="68"/>
  <c r="H18" i="68"/>
  <c r="H34" i="68"/>
  <c r="H10" i="69"/>
  <c r="H25" i="69"/>
  <c r="H31" i="69"/>
  <c r="I32" i="71"/>
  <c r="I25" i="71"/>
  <c r="I15" i="71"/>
  <c r="H30" i="68"/>
  <c r="G45" i="68"/>
  <c r="H18" i="69"/>
  <c r="H28" i="69"/>
  <c r="H38" i="70"/>
  <c r="H16" i="73"/>
  <c r="H19" i="68"/>
  <c r="G33" i="69"/>
  <c r="I20" i="69" s="1"/>
  <c r="H9" i="69"/>
  <c r="H24" i="69"/>
  <c r="H30" i="69"/>
  <c r="H32" i="69"/>
  <c r="H20" i="70"/>
  <c r="D38" i="76"/>
  <c r="I17" i="76"/>
  <c r="I33" i="76"/>
  <c r="I23" i="76"/>
  <c r="E38" i="76"/>
  <c r="H19" i="65"/>
  <c r="H23" i="65"/>
  <c r="H26" i="65"/>
  <c r="H30" i="65"/>
  <c r="H37" i="65"/>
  <c r="H11" i="66"/>
  <c r="H15" i="66"/>
  <c r="H22" i="66"/>
  <c r="H26" i="66"/>
  <c r="H29" i="66"/>
  <c r="H37" i="68"/>
  <c r="H13" i="69"/>
  <c r="H21" i="69"/>
  <c r="H12" i="74"/>
  <c r="H13" i="68"/>
  <c r="H16" i="68"/>
  <c r="H24" i="68"/>
  <c r="H29" i="68"/>
  <c r="H19" i="69"/>
  <c r="H27" i="69"/>
  <c r="G45" i="70"/>
  <c r="H27" i="70"/>
  <c r="H34" i="70"/>
  <c r="H27" i="72"/>
  <c r="H43" i="73"/>
  <c r="I11" i="71"/>
  <c r="I30" i="71"/>
  <c r="G45" i="73"/>
  <c r="H28" i="73"/>
  <c r="H32" i="73"/>
  <c r="H16" i="74"/>
  <c r="H27" i="74"/>
  <c r="H10" i="76"/>
  <c r="I26" i="76"/>
  <c r="H26" i="76"/>
  <c r="I24" i="77"/>
  <c r="I12" i="80"/>
  <c r="H18" i="73"/>
  <c r="I17" i="71"/>
  <c r="H24" i="72"/>
  <c r="H24" i="73"/>
  <c r="H36" i="73"/>
  <c r="H20" i="74"/>
  <c r="H30" i="74"/>
  <c r="H18" i="75"/>
  <c r="H28" i="76"/>
  <c r="G35" i="72"/>
  <c r="I18" i="72" s="1"/>
  <c r="I16" i="72"/>
  <c r="H21" i="73"/>
  <c r="H42" i="73"/>
  <c r="H9" i="74"/>
  <c r="G45" i="74"/>
  <c r="I30" i="77"/>
  <c r="I40" i="77"/>
  <c r="I13" i="71"/>
  <c r="I31" i="71"/>
  <c r="H9" i="72"/>
  <c r="H16" i="72"/>
  <c r="I25" i="72"/>
  <c r="H32" i="72"/>
  <c r="H25" i="73"/>
  <c r="H39" i="73"/>
  <c r="H23" i="74"/>
  <c r="H20" i="75"/>
  <c r="H21" i="77"/>
  <c r="H28" i="77"/>
  <c r="H15" i="72"/>
  <c r="H26" i="72"/>
  <c r="H33" i="72"/>
  <c r="H15" i="73"/>
  <c r="H26" i="73"/>
  <c r="H33" i="73"/>
  <c r="H44" i="73"/>
  <c r="E46" i="74"/>
  <c r="H16" i="76"/>
  <c r="H19" i="76"/>
  <c r="H34" i="76"/>
  <c r="H13" i="77"/>
  <c r="H17" i="77"/>
  <c r="H22" i="78"/>
  <c r="I39" i="74"/>
  <c r="H13" i="76"/>
  <c r="H31" i="76"/>
  <c r="I32" i="77"/>
  <c r="H11" i="78"/>
  <c r="H13" i="78"/>
  <c r="H17" i="78"/>
  <c r="H31" i="78"/>
  <c r="G21" i="75"/>
  <c r="E22" i="75" s="1"/>
  <c r="I20" i="76"/>
  <c r="H32" i="78"/>
  <c r="H17" i="75"/>
  <c r="H20" i="76"/>
  <c r="H22" i="76"/>
  <c r="H25" i="76"/>
  <c r="H16" i="77"/>
  <c r="H14" i="78"/>
  <c r="H34" i="74"/>
  <c r="H13" i="75"/>
  <c r="H19" i="75"/>
  <c r="H9" i="76"/>
  <c r="I14" i="76"/>
  <c r="H27" i="76"/>
  <c r="H9" i="77"/>
  <c r="I25" i="77"/>
  <c r="H35" i="77"/>
  <c r="H20" i="78"/>
  <c r="H36" i="76"/>
  <c r="H15" i="77"/>
  <c r="H22" i="77"/>
  <c r="H33" i="77"/>
  <c r="H40" i="77"/>
  <c r="H18" i="78"/>
  <c r="H36" i="78"/>
  <c r="G34" i="79"/>
  <c r="I31" i="79" s="1"/>
  <c r="H21" i="79"/>
  <c r="H23" i="80"/>
  <c r="H19" i="81"/>
  <c r="H27" i="81"/>
  <c r="H13" i="81"/>
  <c r="H20" i="80"/>
  <c r="H10" i="81"/>
  <c r="H15" i="81"/>
  <c r="H23" i="81"/>
  <c r="H29" i="78"/>
  <c r="H35" i="78"/>
  <c r="H14" i="79"/>
  <c r="H20" i="79"/>
  <c r="H32" i="79"/>
  <c r="H9" i="80"/>
  <c r="H14" i="80"/>
  <c r="H22" i="80"/>
  <c r="H35" i="80"/>
  <c r="H38" i="80"/>
  <c r="H17" i="81"/>
  <c r="H16" i="80"/>
  <c r="H27" i="80"/>
  <c r="H32" i="80"/>
  <c r="G33" i="81"/>
  <c r="I25" i="81" s="1"/>
  <c r="H22" i="81"/>
  <c r="H10" i="78"/>
  <c r="H28" i="78"/>
  <c r="G38" i="78"/>
  <c r="F39" i="78" s="1"/>
  <c r="H13" i="79"/>
  <c r="H16" i="79"/>
  <c r="H31" i="79"/>
  <c r="H29" i="80"/>
  <c r="H34" i="80"/>
  <c r="H9" i="81"/>
  <c r="H14" i="81"/>
  <c r="H31" i="81"/>
  <c r="I18" i="59" l="1"/>
  <c r="I32" i="59"/>
  <c r="I30" i="59"/>
  <c r="I14" i="31"/>
  <c r="I10" i="30"/>
  <c r="I34" i="72"/>
  <c r="I21" i="59"/>
  <c r="I39" i="56"/>
  <c r="I42" i="56"/>
  <c r="D44" i="56"/>
  <c r="I18" i="56"/>
  <c r="I15" i="56"/>
  <c r="I11" i="56"/>
  <c r="I40" i="56"/>
  <c r="I11" i="54"/>
  <c r="C35" i="54"/>
  <c r="I12" i="54"/>
  <c r="I21" i="54"/>
  <c r="I23" i="54"/>
  <c r="I27" i="54"/>
  <c r="I24" i="54"/>
  <c r="I28" i="54"/>
  <c r="I18" i="54"/>
  <c r="I19" i="54"/>
  <c r="I22" i="54"/>
  <c r="I9" i="54"/>
  <c r="I13" i="54"/>
  <c r="I14" i="54"/>
  <c r="I16" i="54"/>
  <c r="I33" i="54"/>
  <c r="E35" i="54"/>
  <c r="I10" i="54"/>
  <c r="I25" i="54"/>
  <c r="I15" i="54"/>
  <c r="I29" i="54"/>
  <c r="I26" i="54"/>
  <c r="D35" i="54"/>
  <c r="I20" i="54"/>
  <c r="I31" i="54"/>
  <c r="I30" i="54"/>
  <c r="I32" i="54"/>
  <c r="I25" i="53"/>
  <c r="I15" i="50"/>
  <c r="I14" i="50"/>
  <c r="I29" i="44"/>
  <c r="I25" i="44"/>
  <c r="I13" i="44"/>
  <c r="I23" i="44"/>
  <c r="I14" i="44"/>
  <c r="F34" i="44"/>
  <c r="I11" i="44"/>
  <c r="I12" i="44"/>
  <c r="I26" i="44"/>
  <c r="I30" i="44"/>
  <c r="I31" i="44"/>
  <c r="I24" i="44"/>
  <c r="I17" i="44"/>
  <c r="I22" i="44"/>
  <c r="I32" i="44"/>
  <c r="E40" i="41"/>
  <c r="I19" i="40"/>
  <c r="C43" i="40"/>
  <c r="I27" i="39"/>
  <c r="C34" i="59"/>
  <c r="I39" i="61"/>
  <c r="I11" i="61"/>
  <c r="I40" i="61"/>
  <c r="I25" i="37"/>
  <c r="I23" i="36"/>
  <c r="I9" i="36"/>
  <c r="I21" i="36"/>
  <c r="F34" i="36"/>
  <c r="I33" i="34"/>
  <c r="I17" i="30"/>
  <c r="I42" i="30"/>
  <c r="I15" i="29"/>
  <c r="I27" i="29"/>
  <c r="I11" i="29"/>
  <c r="C34" i="29"/>
  <c r="I22" i="29"/>
  <c r="I17" i="29"/>
  <c r="I18" i="29"/>
  <c r="I29" i="29"/>
  <c r="I26" i="29"/>
  <c r="I21" i="29"/>
  <c r="I16" i="29"/>
  <c r="I34" i="24"/>
  <c r="I10" i="24"/>
  <c r="I19" i="15"/>
  <c r="I25" i="11"/>
  <c r="I14" i="11"/>
  <c r="I18" i="11"/>
  <c r="I31" i="10"/>
  <c r="I19" i="10"/>
  <c r="I13" i="10"/>
  <c r="I36" i="8"/>
  <c r="I22" i="8"/>
  <c r="I28" i="8"/>
  <c r="I39" i="8"/>
  <c r="I34" i="8"/>
  <c r="I25" i="8"/>
  <c r="I27" i="8"/>
  <c r="F48" i="6"/>
  <c r="I20" i="6"/>
  <c r="D44" i="4"/>
  <c r="I17" i="62"/>
  <c r="I15" i="62"/>
  <c r="I31" i="62"/>
  <c r="I30" i="62"/>
  <c r="I25" i="62"/>
  <c r="I18" i="63"/>
  <c r="C39" i="65"/>
  <c r="I22" i="66"/>
  <c r="I40" i="66"/>
  <c r="I31" i="66"/>
  <c r="I20" i="66"/>
  <c r="I27" i="66"/>
  <c r="I32" i="66"/>
  <c r="I9" i="66"/>
  <c r="I14" i="66"/>
  <c r="I33" i="66"/>
  <c r="I13" i="66"/>
  <c r="F42" i="66"/>
  <c r="I29" i="66"/>
  <c r="I25" i="66"/>
  <c r="I24" i="69"/>
  <c r="I10" i="71"/>
  <c r="H37" i="71"/>
  <c r="I29" i="71"/>
  <c r="I22" i="71"/>
  <c r="I36" i="71"/>
  <c r="I24" i="71"/>
  <c r="I19" i="71"/>
  <c r="I33" i="71"/>
  <c r="I21" i="71"/>
  <c r="I26" i="71"/>
  <c r="I23" i="71"/>
  <c r="I14" i="71"/>
  <c r="I28" i="71"/>
  <c r="C38" i="71"/>
  <c r="I35" i="71"/>
  <c r="I12" i="71"/>
  <c r="D38" i="71"/>
  <c r="I18" i="71"/>
  <c r="E38" i="71"/>
  <c r="I19" i="72"/>
  <c r="I30" i="72"/>
  <c r="I27" i="72"/>
  <c r="I10" i="75"/>
  <c r="I34" i="76"/>
  <c r="I21" i="76"/>
  <c r="C38" i="76"/>
  <c r="F38" i="76"/>
  <c r="I32" i="76"/>
  <c r="I25" i="76"/>
  <c r="I31" i="76"/>
  <c r="I19" i="76"/>
  <c r="I27" i="76"/>
  <c r="I10" i="76"/>
  <c r="I18" i="76"/>
  <c r="I12" i="76"/>
  <c r="I22" i="76"/>
  <c r="I28" i="76"/>
  <c r="I24" i="76"/>
  <c r="I36" i="76"/>
  <c r="I30" i="76"/>
  <c r="I13" i="76"/>
  <c r="I9" i="76"/>
  <c r="I11" i="76"/>
  <c r="I15" i="76"/>
  <c r="I35" i="76"/>
  <c r="I20" i="77"/>
  <c r="I18" i="77"/>
  <c r="I37" i="77"/>
  <c r="I19" i="77"/>
  <c r="I21" i="77"/>
  <c r="I10" i="77"/>
  <c r="I29" i="77"/>
  <c r="I27" i="77"/>
  <c r="F44" i="77"/>
  <c r="I39" i="77"/>
  <c r="I14" i="77"/>
  <c r="I33" i="77"/>
  <c r="E44" i="77"/>
  <c r="I34" i="77"/>
  <c r="I9" i="77"/>
  <c r="I36" i="77"/>
  <c r="I12" i="77"/>
  <c r="I35" i="77"/>
  <c r="I28" i="77"/>
  <c r="I13" i="77"/>
  <c r="D44" i="77"/>
  <c r="I42" i="77"/>
  <c r="I17" i="77"/>
  <c r="I26" i="77"/>
  <c r="I38" i="77"/>
  <c r="C44" i="77"/>
  <c r="I16" i="77"/>
  <c r="I23" i="77"/>
  <c r="I22" i="77"/>
  <c r="I25" i="79"/>
  <c r="I32" i="79"/>
  <c r="I20" i="79"/>
  <c r="I9" i="79"/>
  <c r="I16" i="79"/>
  <c r="F35" i="79"/>
  <c r="I13" i="80"/>
  <c r="I9" i="80"/>
  <c r="I32" i="80"/>
  <c r="I37" i="80"/>
  <c r="F43" i="80"/>
  <c r="I25" i="80"/>
  <c r="I23" i="80"/>
  <c r="I35" i="80"/>
  <c r="I22" i="80"/>
  <c r="I30" i="80"/>
  <c r="I33" i="80"/>
  <c r="I18" i="80"/>
  <c r="I26" i="80"/>
  <c r="D43" i="80"/>
  <c r="I21" i="80"/>
  <c r="I17" i="80"/>
  <c r="I31" i="80"/>
  <c r="I40" i="80"/>
  <c r="I16" i="80"/>
  <c r="I27" i="80"/>
  <c r="I20" i="80"/>
  <c r="I14" i="80"/>
  <c r="I24" i="80"/>
  <c r="I11" i="80"/>
  <c r="I28" i="80"/>
  <c r="I39" i="80"/>
  <c r="I15" i="80"/>
  <c r="C43" i="80"/>
  <c r="I36" i="80"/>
  <c r="I19" i="80"/>
  <c r="I38" i="80"/>
  <c r="I29" i="80"/>
  <c r="I34" i="80"/>
  <c r="I10" i="80"/>
  <c r="E43" i="80"/>
  <c r="I11" i="20"/>
  <c r="I34" i="21"/>
  <c r="I22" i="21"/>
  <c r="I10" i="21"/>
  <c r="I24" i="21"/>
  <c r="I13" i="21"/>
  <c r="I23" i="21"/>
  <c r="I39" i="21"/>
  <c r="I15" i="21"/>
  <c r="I36" i="21"/>
  <c r="F42" i="21"/>
  <c r="I40" i="21"/>
  <c r="I28" i="21"/>
  <c r="I16" i="21"/>
  <c r="I19" i="21"/>
  <c r="I29" i="21"/>
  <c r="E42" i="21"/>
  <c r="I20" i="21"/>
  <c r="D42" i="21"/>
  <c r="I32" i="21"/>
  <c r="I31" i="21"/>
  <c r="I18" i="21"/>
  <c r="I25" i="21"/>
  <c r="I30" i="21"/>
  <c r="I35" i="21"/>
  <c r="I21" i="21"/>
  <c r="I33" i="21"/>
  <c r="I38" i="21"/>
  <c r="I26" i="21"/>
  <c r="I14" i="21"/>
  <c r="I37" i="21"/>
  <c r="I11" i="21"/>
  <c r="I9" i="21"/>
  <c r="I27" i="21"/>
  <c r="I12" i="21"/>
  <c r="I17" i="21"/>
  <c r="F22" i="20"/>
  <c r="I12" i="18"/>
  <c r="I34" i="18"/>
  <c r="I31" i="18"/>
  <c r="I25" i="17"/>
  <c r="I17" i="16"/>
  <c r="I18" i="16"/>
  <c r="I30" i="16"/>
  <c r="I19" i="16"/>
  <c r="I10" i="15"/>
  <c r="I25" i="15"/>
  <c r="F36" i="15"/>
  <c r="I31" i="15"/>
  <c r="I27" i="15"/>
  <c r="I22" i="15"/>
  <c r="I24" i="15"/>
  <c r="I9" i="15"/>
  <c r="I26" i="15"/>
  <c r="I30" i="15"/>
  <c r="D36" i="15"/>
  <c r="I34" i="15"/>
  <c r="I20" i="15"/>
  <c r="I13" i="15"/>
  <c r="I11" i="15"/>
  <c r="I33" i="15"/>
  <c r="I12" i="15"/>
  <c r="I23" i="15"/>
  <c r="C36" i="15"/>
  <c r="E36" i="15"/>
  <c r="I28" i="15"/>
  <c r="I16" i="15"/>
  <c r="I32" i="15"/>
  <c r="I14" i="15"/>
  <c r="I18" i="15"/>
  <c r="I29" i="15"/>
  <c r="I15" i="15"/>
  <c r="I36" i="11"/>
  <c r="I38" i="11"/>
  <c r="I33" i="11"/>
  <c r="I37" i="11"/>
  <c r="I44" i="11"/>
  <c r="I26" i="11"/>
  <c r="E42" i="9"/>
  <c r="I40" i="9"/>
  <c r="I13" i="9"/>
  <c r="I16" i="9"/>
  <c r="I38" i="9"/>
  <c r="I14" i="9"/>
  <c r="I36" i="9"/>
  <c r="I33" i="9"/>
  <c r="I30" i="9"/>
  <c r="I35" i="9"/>
  <c r="I9" i="9"/>
  <c r="D42" i="9"/>
  <c r="C42" i="9"/>
  <c r="I25" i="9"/>
  <c r="I18" i="9"/>
  <c r="I23" i="9"/>
  <c r="I28" i="9"/>
  <c r="I27" i="9"/>
  <c r="I31" i="9"/>
  <c r="I32" i="9"/>
  <c r="I20" i="9"/>
  <c r="I21" i="9"/>
  <c r="I37" i="9"/>
  <c r="F42" i="9"/>
  <c r="I24" i="9"/>
  <c r="I29" i="9"/>
  <c r="I34" i="9"/>
  <c r="I18" i="8"/>
  <c r="I31" i="8"/>
  <c r="I13" i="8"/>
  <c r="I11" i="8"/>
  <c r="I16" i="8"/>
  <c r="I21" i="8"/>
  <c r="I30" i="8"/>
  <c r="I19" i="8"/>
  <c r="I38" i="8"/>
  <c r="I35" i="8"/>
  <c r="I9" i="8"/>
  <c r="I24" i="8"/>
  <c r="I37" i="8"/>
  <c r="I14" i="8"/>
  <c r="I10" i="8"/>
  <c r="I15" i="8"/>
  <c r="I26" i="8"/>
  <c r="H41" i="7"/>
  <c r="I40" i="5"/>
  <c r="I35" i="5"/>
  <c r="C47" i="5"/>
  <c r="I39" i="5"/>
  <c r="I34" i="5"/>
  <c r="I29" i="5"/>
  <c r="I27" i="5"/>
  <c r="I32" i="5"/>
  <c r="I44" i="5"/>
  <c r="I25" i="4"/>
  <c r="I20" i="4"/>
  <c r="I13" i="4"/>
  <c r="I10" i="4"/>
  <c r="I37" i="4"/>
  <c r="I9" i="4"/>
  <c r="I40" i="64"/>
  <c r="I41" i="64"/>
  <c r="I17" i="42"/>
  <c r="I41" i="42"/>
  <c r="I9" i="34"/>
  <c r="F44" i="33"/>
  <c r="I41" i="33"/>
  <c r="E48" i="11"/>
  <c r="I41" i="11"/>
  <c r="I43" i="6"/>
  <c r="I32" i="6"/>
  <c r="I16" i="6"/>
  <c r="I9" i="6"/>
  <c r="I14" i="6"/>
  <c r="I31" i="77"/>
  <c r="I41" i="77"/>
  <c r="I27" i="71"/>
  <c r="I43" i="14"/>
  <c r="I41" i="14"/>
  <c r="I18" i="22"/>
  <c r="I41" i="22"/>
  <c r="H41" i="46"/>
  <c r="F48" i="28"/>
  <c r="I41" i="28"/>
  <c r="H41" i="21"/>
  <c r="F41" i="53"/>
  <c r="C41" i="8"/>
  <c r="I21" i="73"/>
  <c r="I41" i="73"/>
  <c r="I26" i="64"/>
  <c r="I27" i="79"/>
  <c r="I14" i="72"/>
  <c r="I26" i="65"/>
  <c r="I12" i="65"/>
  <c r="I22" i="64"/>
  <c r="I38" i="62"/>
  <c r="I19" i="62"/>
  <c r="I27" i="67"/>
  <c r="I13" i="64"/>
  <c r="I30" i="56"/>
  <c r="I10" i="56"/>
  <c r="I36" i="56"/>
  <c r="I37" i="45"/>
  <c r="I41" i="45"/>
  <c r="I12" i="56"/>
  <c r="D35" i="50"/>
  <c r="I20" i="44"/>
  <c r="I18" i="44"/>
  <c r="I15" i="44"/>
  <c r="I36" i="38"/>
  <c r="I35" i="38"/>
  <c r="I24" i="38"/>
  <c r="I14" i="38"/>
  <c r="I12" i="50"/>
  <c r="I32" i="50"/>
  <c r="I29" i="28"/>
  <c r="H43" i="34"/>
  <c r="I29" i="6"/>
  <c r="I11" i="6"/>
  <c r="I42" i="6"/>
  <c r="I19" i="6"/>
  <c r="I28" i="6"/>
  <c r="I21" i="6"/>
  <c r="I11" i="5"/>
  <c r="I41" i="5"/>
  <c r="D48" i="6"/>
  <c r="I17" i="8"/>
  <c r="I32" i="8"/>
  <c r="E41" i="53"/>
  <c r="I18" i="70"/>
  <c r="I41" i="70"/>
  <c r="I20" i="72"/>
  <c r="C34" i="69"/>
  <c r="I10" i="68"/>
  <c r="I41" i="68"/>
  <c r="I32" i="63"/>
  <c r="I41" i="63"/>
  <c r="H41" i="66"/>
  <c r="I37" i="62"/>
  <c r="I25" i="56"/>
  <c r="I20" i="59"/>
  <c r="I28" i="56"/>
  <c r="I31" i="47"/>
  <c r="I41" i="47"/>
  <c r="I45" i="48"/>
  <c r="I41" i="48"/>
  <c r="I20" i="50"/>
  <c r="I11" i="50"/>
  <c r="I10" i="40"/>
  <c r="I41" i="40"/>
  <c r="I25" i="31"/>
  <c r="H41" i="9"/>
  <c r="I30" i="6"/>
  <c r="I12" i="6"/>
  <c r="E48" i="6"/>
  <c r="I25" i="6"/>
  <c r="I34" i="6"/>
  <c r="I27" i="6"/>
  <c r="C48" i="6"/>
  <c r="I20" i="8"/>
  <c r="C41" i="53"/>
  <c r="E41" i="17"/>
  <c r="D41" i="8"/>
  <c r="I31" i="64"/>
  <c r="C46" i="61"/>
  <c r="I41" i="61"/>
  <c r="I12" i="51"/>
  <c r="I41" i="51"/>
  <c r="I19" i="49"/>
  <c r="I41" i="49"/>
  <c r="I25" i="57"/>
  <c r="I41" i="57"/>
  <c r="I16" i="42"/>
  <c r="I24" i="43"/>
  <c r="I41" i="43"/>
  <c r="I15" i="34"/>
  <c r="I41" i="34"/>
  <c r="I17" i="38"/>
  <c r="I41" i="38"/>
  <c r="I42" i="39"/>
  <c r="I41" i="39"/>
  <c r="I40" i="32"/>
  <c r="I41" i="32"/>
  <c r="I31" i="31"/>
  <c r="I45" i="6"/>
  <c r="I23" i="6"/>
  <c r="I37" i="6"/>
  <c r="I44" i="6"/>
  <c r="I31" i="6"/>
  <c r="I40" i="6"/>
  <c r="I33" i="6"/>
  <c r="I26" i="6"/>
  <c r="I20" i="71"/>
  <c r="H33" i="44"/>
  <c r="F41" i="17"/>
  <c r="D41" i="53"/>
  <c r="D41" i="17"/>
  <c r="I27" i="74"/>
  <c r="I41" i="74"/>
  <c r="I22" i="70"/>
  <c r="I19" i="65"/>
  <c r="I43" i="61"/>
  <c r="I35" i="64"/>
  <c r="I39" i="62"/>
  <c r="I41" i="62"/>
  <c r="I22" i="56"/>
  <c r="I41" i="56"/>
  <c r="I30" i="50"/>
  <c r="F45" i="30"/>
  <c r="I41" i="30"/>
  <c r="I44" i="28"/>
  <c r="I35" i="6"/>
  <c r="I36" i="6"/>
  <c r="I18" i="6"/>
  <c r="I38" i="6"/>
  <c r="I10" i="6"/>
  <c r="I46" i="6"/>
  <c r="I39" i="6"/>
  <c r="I29" i="76"/>
  <c r="I25" i="18"/>
  <c r="I41" i="18"/>
  <c r="I12" i="4"/>
  <c r="I41" i="4"/>
  <c r="F41" i="8"/>
  <c r="C41" i="17"/>
  <c r="I36" i="46"/>
  <c r="H38" i="65"/>
  <c r="I31" i="52"/>
  <c r="I15" i="69"/>
  <c r="H45" i="63"/>
  <c r="I40" i="51"/>
  <c r="I13" i="47"/>
  <c r="I15" i="49"/>
  <c r="I9" i="74"/>
  <c r="I37" i="65"/>
  <c r="E43" i="51"/>
  <c r="I23" i="28"/>
  <c r="H43" i="33"/>
  <c r="I20" i="28"/>
  <c r="H21" i="20"/>
  <c r="I21" i="44"/>
  <c r="I9" i="44"/>
  <c r="I16" i="44"/>
  <c r="I13" i="78"/>
  <c r="H44" i="64"/>
  <c r="I10" i="51"/>
  <c r="H49" i="48"/>
  <c r="H43" i="42"/>
  <c r="H38" i="31"/>
  <c r="F46" i="74"/>
  <c r="F47" i="49"/>
  <c r="I39" i="49"/>
  <c r="I26" i="79"/>
  <c r="I14" i="79"/>
  <c r="H45" i="73"/>
  <c r="I11" i="65"/>
  <c r="I44" i="63"/>
  <c r="I26" i="63"/>
  <c r="I25" i="61"/>
  <c r="E36" i="72"/>
  <c r="H36" i="60"/>
  <c r="I22" i="57"/>
  <c r="I22" i="52"/>
  <c r="I30" i="51"/>
  <c r="I34" i="51"/>
  <c r="I20" i="49"/>
  <c r="I11" i="53"/>
  <c r="I37" i="47"/>
  <c r="I16" i="40"/>
  <c r="I15" i="27"/>
  <c r="I15" i="25"/>
  <c r="I25" i="23"/>
  <c r="H47" i="28"/>
  <c r="I14" i="28"/>
  <c r="I35" i="24"/>
  <c r="I17" i="24"/>
  <c r="I33" i="24"/>
  <c r="I18" i="24"/>
  <c r="I12" i="14"/>
  <c r="H33" i="16"/>
  <c r="I32" i="17"/>
  <c r="I14" i="17"/>
  <c r="I19" i="29"/>
  <c r="I24" i="29"/>
  <c r="I23" i="29"/>
  <c r="I33" i="17"/>
  <c r="I15" i="17"/>
  <c r="I18" i="20"/>
  <c r="I35" i="18"/>
  <c r="I23" i="18"/>
  <c r="I34" i="14"/>
  <c r="I20" i="10"/>
  <c r="I27" i="14"/>
  <c r="I19" i="20"/>
  <c r="H43" i="4"/>
  <c r="I20" i="2"/>
  <c r="I17" i="20"/>
  <c r="I23" i="14"/>
  <c r="I20" i="14"/>
  <c r="I19" i="14"/>
  <c r="I36" i="14"/>
  <c r="I36" i="18"/>
  <c r="I40" i="18"/>
  <c r="I32" i="18"/>
  <c r="I37" i="18"/>
  <c r="I22" i="17"/>
  <c r="I31" i="17"/>
  <c r="E45" i="18"/>
  <c r="E50" i="14"/>
  <c r="I36" i="2"/>
  <c r="I24" i="2"/>
  <c r="I12" i="2"/>
  <c r="I37" i="2"/>
  <c r="I16" i="4"/>
  <c r="I15" i="4"/>
  <c r="I26" i="4"/>
  <c r="I30" i="4"/>
  <c r="I21" i="18"/>
  <c r="I15" i="14"/>
  <c r="I27" i="44"/>
  <c r="I28" i="44"/>
  <c r="F38" i="71"/>
  <c r="I16" i="71"/>
  <c r="H47" i="45"/>
  <c r="H44" i="47"/>
  <c r="H42" i="40"/>
  <c r="I19" i="69"/>
  <c r="I24" i="65"/>
  <c r="I35" i="63"/>
  <c r="I36" i="51"/>
  <c r="I29" i="51"/>
  <c r="I39" i="47"/>
  <c r="I21" i="45"/>
  <c r="I40" i="45"/>
  <c r="H33" i="81"/>
  <c r="I38" i="74"/>
  <c r="H34" i="79"/>
  <c r="I17" i="79"/>
  <c r="I23" i="79"/>
  <c r="I33" i="74"/>
  <c r="I42" i="73"/>
  <c r="I31" i="73"/>
  <c r="I30" i="65"/>
  <c r="I13" i="69"/>
  <c r="I16" i="65"/>
  <c r="I23" i="65"/>
  <c r="I18" i="69"/>
  <c r="I22" i="65"/>
  <c r="I23" i="63"/>
  <c r="I24" i="60"/>
  <c r="I11" i="63"/>
  <c r="I35" i="65"/>
  <c r="E34" i="69"/>
  <c r="I24" i="51"/>
  <c r="F44" i="56"/>
  <c r="D45" i="64"/>
  <c r="I45" i="49"/>
  <c r="I27" i="52"/>
  <c r="I35" i="51"/>
  <c r="I32" i="47"/>
  <c r="I14" i="45"/>
  <c r="I18" i="51"/>
  <c r="I33" i="47"/>
  <c r="I11" i="51"/>
  <c r="I23" i="42"/>
  <c r="I19" i="44"/>
  <c r="I21" i="39"/>
  <c r="I10" i="39"/>
  <c r="I29" i="33"/>
  <c r="H39" i="35"/>
  <c r="I37" i="24"/>
  <c r="H33" i="29"/>
  <c r="I32" i="31"/>
  <c r="E34" i="29"/>
  <c r="I14" i="29"/>
  <c r="I24" i="27"/>
  <c r="I22" i="24"/>
  <c r="H39" i="26"/>
  <c r="F34" i="29"/>
  <c r="I14" i="24"/>
  <c r="I24" i="24"/>
  <c r="I20" i="20"/>
  <c r="I13" i="29"/>
  <c r="I28" i="29"/>
  <c r="I30" i="29"/>
  <c r="I46" i="14"/>
  <c r="I22" i="14"/>
  <c r="D45" i="18"/>
  <c r="I32" i="2"/>
  <c r="C45" i="18"/>
  <c r="I17" i="3"/>
  <c r="I14" i="2"/>
  <c r="I10" i="20"/>
  <c r="I9" i="14"/>
  <c r="I26" i="14"/>
  <c r="I25" i="14"/>
  <c r="I10" i="18"/>
  <c r="I33" i="18"/>
  <c r="I38" i="18"/>
  <c r="I35" i="17"/>
  <c r="I28" i="17"/>
  <c r="I37" i="17"/>
  <c r="I30" i="18"/>
  <c r="I11" i="14"/>
  <c r="I35" i="4"/>
  <c r="I23" i="4"/>
  <c r="I11" i="4"/>
  <c r="I31" i="2"/>
  <c r="I22" i="4"/>
  <c r="I21" i="4"/>
  <c r="I32" i="4"/>
  <c r="C44" i="4"/>
  <c r="I18" i="18"/>
  <c r="I22" i="47"/>
  <c r="H27" i="58"/>
  <c r="H45" i="74"/>
  <c r="H44" i="43"/>
  <c r="I25" i="69"/>
  <c r="I43" i="47"/>
  <c r="I34" i="74"/>
  <c r="C46" i="74"/>
  <c r="I28" i="79"/>
  <c r="I10" i="79"/>
  <c r="H38" i="78"/>
  <c r="I13" i="79"/>
  <c r="H21" i="75"/>
  <c r="I21" i="69"/>
  <c r="I29" i="65"/>
  <c r="I34" i="65"/>
  <c r="H45" i="70"/>
  <c r="I31" i="63"/>
  <c r="I27" i="69"/>
  <c r="I29" i="64"/>
  <c r="I20" i="64"/>
  <c r="I23" i="67"/>
  <c r="I20" i="67"/>
  <c r="I24" i="63"/>
  <c r="E37" i="60"/>
  <c r="C43" i="51"/>
  <c r="I35" i="49"/>
  <c r="I11" i="48"/>
  <c r="I22" i="45"/>
  <c r="H46" i="49"/>
  <c r="H43" i="38"/>
  <c r="H35" i="37"/>
  <c r="I30" i="38"/>
  <c r="C44" i="38"/>
  <c r="H44" i="30"/>
  <c r="I23" i="24"/>
  <c r="I9" i="24"/>
  <c r="I20" i="24"/>
  <c r="I30" i="24"/>
  <c r="I24" i="14"/>
  <c r="H35" i="12"/>
  <c r="I26" i="17"/>
  <c r="I25" i="29"/>
  <c r="I20" i="29"/>
  <c r="I27" i="17"/>
  <c r="I9" i="17"/>
  <c r="I17" i="18"/>
  <c r="I27" i="18"/>
  <c r="I24" i="17"/>
  <c r="I31" i="4"/>
  <c r="I19" i="4"/>
  <c r="I29" i="3"/>
  <c r="I16" i="20"/>
  <c r="D22" i="20"/>
  <c r="I33" i="14"/>
  <c r="I32" i="14"/>
  <c r="I31" i="14"/>
  <c r="I16" i="18"/>
  <c r="I39" i="18"/>
  <c r="I13" i="18"/>
  <c r="I17" i="17"/>
  <c r="I34" i="17"/>
  <c r="I18" i="17"/>
  <c r="I30" i="17"/>
  <c r="F44" i="4"/>
  <c r="I28" i="4"/>
  <c r="I27" i="4"/>
  <c r="I38" i="4"/>
  <c r="C34" i="44"/>
  <c r="I23" i="17"/>
  <c r="E40" i="24"/>
  <c r="D40" i="24"/>
  <c r="F50" i="14"/>
  <c r="I9" i="29"/>
  <c r="H29" i="23"/>
  <c r="I15" i="24"/>
  <c r="I26" i="24"/>
  <c r="I36" i="24"/>
  <c r="I48" i="14"/>
  <c r="H34" i="13"/>
  <c r="D34" i="29"/>
  <c r="I9" i="18"/>
  <c r="H40" i="8"/>
  <c r="I32" i="29"/>
  <c r="I31" i="29"/>
  <c r="H47" i="6"/>
  <c r="I12" i="20"/>
  <c r="I29" i="18"/>
  <c r="I40" i="14"/>
  <c r="I28" i="14"/>
  <c r="I10" i="14"/>
  <c r="H34" i="10"/>
  <c r="I24" i="18"/>
  <c r="C50" i="14"/>
  <c r="I9" i="20"/>
  <c r="I13" i="20"/>
  <c r="I39" i="14"/>
  <c r="I38" i="14"/>
  <c r="I37" i="14"/>
  <c r="C22" i="20"/>
  <c r="I22" i="18"/>
  <c r="I14" i="18"/>
  <c r="I19" i="18"/>
  <c r="I12" i="17"/>
  <c r="I13" i="17"/>
  <c r="I36" i="17"/>
  <c r="I11" i="17"/>
  <c r="I30" i="2"/>
  <c r="I18" i="2"/>
  <c r="I36" i="4"/>
  <c r="I34" i="4"/>
  <c r="I33" i="4"/>
  <c r="I14" i="4"/>
  <c r="I10" i="44"/>
  <c r="I38" i="24"/>
  <c r="I15" i="77"/>
  <c r="I34" i="71"/>
  <c r="I17" i="14"/>
  <c r="I47" i="14"/>
  <c r="D48" i="28"/>
  <c r="I38" i="17"/>
  <c r="I20" i="17"/>
  <c r="I12" i="29"/>
  <c r="I39" i="17"/>
  <c r="I21" i="17"/>
  <c r="I11" i="18"/>
  <c r="H47" i="11"/>
  <c r="I29" i="17"/>
  <c r="I35" i="14"/>
  <c r="H33" i="3"/>
  <c r="E22" i="20"/>
  <c r="I15" i="18"/>
  <c r="I45" i="14"/>
  <c r="I44" i="14"/>
  <c r="F45" i="18"/>
  <c r="I28" i="18"/>
  <c r="I20" i="18"/>
  <c r="I10" i="17"/>
  <c r="I29" i="4"/>
  <c r="I17" i="4"/>
  <c r="I42" i="4"/>
  <c r="I18" i="4"/>
  <c r="I40" i="4"/>
  <c r="I39" i="4"/>
  <c r="E44" i="4"/>
  <c r="E34" i="44"/>
  <c r="I19" i="75"/>
  <c r="E46" i="70"/>
  <c r="I40" i="70"/>
  <c r="I11" i="70"/>
  <c r="I9" i="70"/>
  <c r="C46" i="68"/>
  <c r="I32" i="81"/>
  <c r="I20" i="75"/>
  <c r="I15" i="70"/>
  <c r="F22" i="75"/>
  <c r="I31" i="72"/>
  <c r="I32" i="67"/>
  <c r="I23" i="78"/>
  <c r="I17" i="81"/>
  <c r="I12" i="72"/>
  <c r="I20" i="73"/>
  <c r="I36" i="70"/>
  <c r="I37" i="68"/>
  <c r="I29" i="68"/>
  <c r="D36" i="72"/>
  <c r="I34" i="68"/>
  <c r="I36" i="61"/>
  <c r="I27" i="61"/>
  <c r="D34" i="59"/>
  <c r="E46" i="61"/>
  <c r="I27" i="59"/>
  <c r="I9" i="62"/>
  <c r="I28" i="49"/>
  <c r="I17" i="59"/>
  <c r="F45" i="47"/>
  <c r="I34" i="61"/>
  <c r="I9" i="52"/>
  <c r="I15" i="47"/>
  <c r="I18" i="53"/>
  <c r="I14" i="59"/>
  <c r="I26" i="49"/>
  <c r="D47" i="49"/>
  <c r="I30" i="41"/>
  <c r="I11" i="37"/>
  <c r="I32" i="35"/>
  <c r="D36" i="37"/>
  <c r="I12" i="37"/>
  <c r="I10" i="36"/>
  <c r="I34" i="39"/>
  <c r="I11" i="28"/>
  <c r="I21" i="31"/>
  <c r="I26" i="28"/>
  <c r="I22" i="23"/>
  <c r="I28" i="25"/>
  <c r="I45" i="5"/>
  <c r="I24" i="16"/>
  <c r="I19" i="13"/>
  <c r="I31" i="16"/>
  <c r="I20" i="11"/>
  <c r="I25" i="10"/>
  <c r="I45" i="11"/>
  <c r="D35" i="10"/>
  <c r="I23" i="3"/>
  <c r="I11" i="3"/>
  <c r="C22" i="75"/>
  <c r="I11" i="75"/>
  <c r="I21" i="72"/>
  <c r="I21" i="70"/>
  <c r="I16" i="68"/>
  <c r="F46" i="70"/>
  <c r="I29" i="61"/>
  <c r="E34" i="59"/>
  <c r="I22" i="61"/>
  <c r="I23" i="59"/>
  <c r="I11" i="59"/>
  <c r="I24" i="53"/>
  <c r="I36" i="53"/>
  <c r="I23" i="52"/>
  <c r="I30" i="53"/>
  <c r="I12" i="53"/>
  <c r="I26" i="59"/>
  <c r="I21" i="53"/>
  <c r="I24" i="52"/>
  <c r="I16" i="52"/>
  <c r="I34" i="42"/>
  <c r="I33" i="41"/>
  <c r="I18" i="42"/>
  <c r="I23" i="41"/>
  <c r="I12" i="41"/>
  <c r="I21" i="41"/>
  <c r="I29" i="37"/>
  <c r="I24" i="37"/>
  <c r="I30" i="37"/>
  <c r="I21" i="34"/>
  <c r="I15" i="41"/>
  <c r="I19" i="23"/>
  <c r="F36" i="37"/>
  <c r="I38" i="30"/>
  <c r="I17" i="13"/>
  <c r="I31" i="13"/>
  <c r="I9" i="16"/>
  <c r="I18" i="5"/>
  <c r="I9" i="5"/>
  <c r="I29" i="53"/>
  <c r="I15" i="59"/>
  <c r="I29" i="59"/>
  <c r="I9" i="59"/>
  <c r="I35" i="53"/>
  <c r="I23" i="56"/>
  <c r="I12" i="52"/>
  <c r="F43" i="51"/>
  <c r="I14" i="49"/>
  <c r="I25" i="47"/>
  <c r="I27" i="43"/>
  <c r="I19" i="56"/>
  <c r="I29" i="42"/>
  <c r="I33" i="39"/>
  <c r="I22" i="39"/>
  <c r="E44" i="42"/>
  <c r="E44" i="39"/>
  <c r="I36" i="39"/>
  <c r="I19" i="41"/>
  <c r="I35" i="30"/>
  <c r="I14" i="23"/>
  <c r="I27" i="70"/>
  <c r="I17" i="75"/>
  <c r="I18" i="75"/>
  <c r="I25" i="68"/>
  <c r="I13" i="68"/>
  <c r="I23" i="68"/>
  <c r="I33" i="70"/>
  <c r="I39" i="70"/>
  <c r="I16" i="70"/>
  <c r="I34" i="70"/>
  <c r="I12" i="68"/>
  <c r="I17" i="53"/>
  <c r="I39" i="53"/>
  <c r="I14" i="53"/>
  <c r="I23" i="53"/>
  <c r="I27" i="41"/>
  <c r="I38" i="41"/>
  <c r="I9" i="41"/>
  <c r="I31" i="35"/>
  <c r="I19" i="35"/>
  <c r="I20" i="37"/>
  <c r="I18" i="37"/>
  <c r="I23" i="23"/>
  <c r="I25" i="13"/>
  <c r="I32" i="10"/>
  <c r="D47" i="5"/>
  <c r="C48" i="11"/>
  <c r="I14" i="68"/>
  <c r="C35" i="79"/>
  <c r="I13" i="72"/>
  <c r="I29" i="70"/>
  <c r="I40" i="68"/>
  <c r="I30" i="70"/>
  <c r="I23" i="70"/>
  <c r="I38" i="68"/>
  <c r="I21" i="61"/>
  <c r="I18" i="61"/>
  <c r="I32" i="53"/>
  <c r="F46" i="61"/>
  <c r="I19" i="61"/>
  <c r="I25" i="60"/>
  <c r="I21" i="47"/>
  <c r="I33" i="53"/>
  <c r="I40" i="47"/>
  <c r="I26" i="42"/>
  <c r="I18" i="41"/>
  <c r="I39" i="39"/>
  <c r="E36" i="37"/>
  <c r="I27" i="36"/>
  <c r="I32" i="41"/>
  <c r="I22" i="36"/>
  <c r="I17" i="37"/>
  <c r="I15" i="36"/>
  <c r="C44" i="39"/>
  <c r="I15" i="39"/>
  <c r="I23" i="37"/>
  <c r="I18" i="36"/>
  <c r="I17" i="28"/>
  <c r="I29" i="30"/>
  <c r="I16" i="36"/>
  <c r="E44" i="38"/>
  <c r="I13" i="30"/>
  <c r="I32" i="28"/>
  <c r="I24" i="25"/>
  <c r="I10" i="23"/>
  <c r="I19" i="25"/>
  <c r="I22" i="16"/>
  <c r="I23" i="16"/>
  <c r="I42" i="11"/>
  <c r="I30" i="11"/>
  <c r="I33" i="5"/>
  <c r="I43" i="11"/>
  <c r="I31" i="11"/>
  <c r="I28" i="5"/>
  <c r="I32" i="11"/>
  <c r="I20" i="16"/>
  <c r="I27" i="11"/>
  <c r="I15" i="11"/>
  <c r="I43" i="5"/>
  <c r="I26" i="58"/>
  <c r="I22" i="58"/>
  <c r="I17" i="58"/>
  <c r="I23" i="58"/>
  <c r="I12" i="58"/>
  <c r="E28" i="58"/>
  <c r="I18" i="58"/>
  <c r="I15" i="58"/>
  <c r="C28" i="58"/>
  <c r="I24" i="58"/>
  <c r="I11" i="58"/>
  <c r="E37" i="67"/>
  <c r="D37" i="67"/>
  <c r="I30" i="67"/>
  <c r="I19" i="67"/>
  <c r="I12" i="67"/>
  <c r="I24" i="67"/>
  <c r="I18" i="67"/>
  <c r="I21" i="67"/>
  <c r="I28" i="67"/>
  <c r="I35" i="67"/>
  <c r="I10" i="67"/>
  <c r="I17" i="67"/>
  <c r="I14" i="57"/>
  <c r="I9" i="55"/>
  <c r="H45" i="61"/>
  <c r="I9" i="58"/>
  <c r="I20" i="57"/>
  <c r="H34" i="54"/>
  <c r="I26" i="57"/>
  <c r="I40" i="57"/>
  <c r="I11" i="57"/>
  <c r="I22" i="62"/>
  <c r="I28" i="62"/>
  <c r="I26" i="62"/>
  <c r="I23" i="62"/>
  <c r="I16" i="62"/>
  <c r="F43" i="62"/>
  <c r="I34" i="62"/>
  <c r="I29" i="62"/>
  <c r="I10" i="62"/>
  <c r="I40" i="62"/>
  <c r="I27" i="62"/>
  <c r="I21" i="62"/>
  <c r="I14" i="62"/>
  <c r="I35" i="62"/>
  <c r="I17" i="55"/>
  <c r="I46" i="48"/>
  <c r="I29" i="57"/>
  <c r="I10" i="57"/>
  <c r="I31" i="67"/>
  <c r="I23" i="48"/>
  <c r="E45" i="43"/>
  <c r="I9" i="43"/>
  <c r="I9" i="48"/>
  <c r="I30" i="47"/>
  <c r="I10" i="58"/>
  <c r="I26" i="53"/>
  <c r="I23" i="51"/>
  <c r="I32" i="49"/>
  <c r="I28" i="45"/>
  <c r="I10" i="47"/>
  <c r="D45" i="47"/>
  <c r="I39" i="42"/>
  <c r="I33" i="42"/>
  <c r="I27" i="42"/>
  <c r="I21" i="42"/>
  <c r="I15" i="42"/>
  <c r="I9" i="42"/>
  <c r="I42" i="42"/>
  <c r="I37" i="42"/>
  <c r="I24" i="42"/>
  <c r="I19" i="42"/>
  <c r="I40" i="42"/>
  <c r="I32" i="42"/>
  <c r="I22" i="42"/>
  <c r="I14" i="42"/>
  <c r="I30" i="42"/>
  <c r="I25" i="42"/>
  <c r="I12" i="42"/>
  <c r="I31" i="42"/>
  <c r="I13" i="42"/>
  <c r="I20" i="42"/>
  <c r="I10" i="42"/>
  <c r="I38" i="42"/>
  <c r="I28" i="42"/>
  <c r="F44" i="42"/>
  <c r="I43" i="48"/>
  <c r="I37" i="40"/>
  <c r="I25" i="40"/>
  <c r="I13" i="40"/>
  <c r="I22" i="43"/>
  <c r="I38" i="34"/>
  <c r="I31" i="34"/>
  <c r="I20" i="34"/>
  <c r="I13" i="34"/>
  <c r="I42" i="34"/>
  <c r="I35" i="34"/>
  <c r="I28" i="34"/>
  <c r="I24" i="34"/>
  <c r="I17" i="34"/>
  <c r="I10" i="34"/>
  <c r="I32" i="34"/>
  <c r="I25" i="34"/>
  <c r="I14" i="34"/>
  <c r="I37" i="34"/>
  <c r="I16" i="34"/>
  <c r="I34" i="34"/>
  <c r="I23" i="34"/>
  <c r="I12" i="34"/>
  <c r="I30" i="34"/>
  <c r="D44" i="34"/>
  <c r="I19" i="34"/>
  <c r="I25" i="35"/>
  <c r="C45" i="47"/>
  <c r="I26" i="40"/>
  <c r="I37" i="39"/>
  <c r="I31" i="39"/>
  <c r="I25" i="39"/>
  <c r="I19" i="39"/>
  <c r="I13" i="39"/>
  <c r="I29" i="39"/>
  <c r="I18" i="39"/>
  <c r="I14" i="39"/>
  <c r="I23" i="39"/>
  <c r="I12" i="39"/>
  <c r="I38" i="39"/>
  <c r="I17" i="39"/>
  <c r="I32" i="39"/>
  <c r="I11" i="39"/>
  <c r="F44" i="39"/>
  <c r="I26" i="39"/>
  <c r="I20" i="39"/>
  <c r="I24" i="39"/>
  <c r="D44" i="39"/>
  <c r="I35" i="39"/>
  <c r="I26" i="35"/>
  <c r="E44" i="34"/>
  <c r="F44" i="38"/>
  <c r="E43" i="32"/>
  <c r="I10" i="31"/>
  <c r="I24" i="30"/>
  <c r="I46" i="28"/>
  <c r="I40" i="28"/>
  <c r="I34" i="28"/>
  <c r="I28" i="28"/>
  <c r="I22" i="28"/>
  <c r="I16" i="28"/>
  <c r="I10" i="28"/>
  <c r="I42" i="28"/>
  <c r="I36" i="28"/>
  <c r="I30" i="28"/>
  <c r="I24" i="28"/>
  <c r="I18" i="28"/>
  <c r="I12" i="28"/>
  <c r="I43" i="28"/>
  <c r="I37" i="28"/>
  <c r="I31" i="28"/>
  <c r="I25" i="28"/>
  <c r="I19" i="28"/>
  <c r="I13" i="28"/>
  <c r="I39" i="28"/>
  <c r="I21" i="28"/>
  <c r="I13" i="33"/>
  <c r="D30" i="23"/>
  <c r="H37" i="19"/>
  <c r="I39" i="7"/>
  <c r="I33" i="7"/>
  <c r="I27" i="7"/>
  <c r="I21" i="7"/>
  <c r="I15" i="7"/>
  <c r="I9" i="7"/>
  <c r="I40" i="7"/>
  <c r="I34" i="7"/>
  <c r="I28" i="7"/>
  <c r="I22" i="7"/>
  <c r="I16" i="7"/>
  <c r="I10" i="7"/>
  <c r="I35" i="7"/>
  <c r="I29" i="7"/>
  <c r="I23" i="7"/>
  <c r="I17" i="7"/>
  <c r="I11" i="7"/>
  <c r="I36" i="7"/>
  <c r="I12" i="7"/>
  <c r="C39" i="31"/>
  <c r="D34" i="27"/>
  <c r="I20" i="13"/>
  <c r="I33" i="13"/>
  <c r="I15" i="13"/>
  <c r="I19" i="7"/>
  <c r="D48" i="11"/>
  <c r="I18" i="7"/>
  <c r="E34" i="16"/>
  <c r="D36" i="12"/>
  <c r="C35" i="10"/>
  <c r="I31" i="5"/>
  <c r="H46" i="5"/>
  <c r="C36" i="12"/>
  <c r="I16" i="5"/>
  <c r="I23" i="13"/>
  <c r="E35" i="10"/>
  <c r="I26" i="2"/>
  <c r="I16" i="3"/>
  <c r="I12" i="81"/>
  <c r="I30" i="81"/>
  <c r="I18" i="81"/>
  <c r="I21" i="81"/>
  <c r="I27" i="81"/>
  <c r="I24" i="81"/>
  <c r="I16" i="81"/>
  <c r="D34" i="81"/>
  <c r="I28" i="78"/>
  <c r="F46" i="73"/>
  <c r="I29" i="73"/>
  <c r="I23" i="73"/>
  <c r="D46" i="73"/>
  <c r="I33" i="73"/>
  <c r="I17" i="73"/>
  <c r="I44" i="73"/>
  <c r="I24" i="73"/>
  <c r="I15" i="73"/>
  <c r="I40" i="73"/>
  <c r="I26" i="73"/>
  <c r="I11" i="73"/>
  <c r="I32" i="73"/>
  <c r="I28" i="73"/>
  <c r="I22" i="73"/>
  <c r="I35" i="73"/>
  <c r="I39" i="73"/>
  <c r="E46" i="73"/>
  <c r="H33" i="69"/>
  <c r="H45" i="68"/>
  <c r="I11" i="81"/>
  <c r="I24" i="78"/>
  <c r="I20" i="78"/>
  <c r="I14" i="78"/>
  <c r="I10" i="78"/>
  <c r="I10" i="73"/>
  <c r="I36" i="73"/>
  <c r="I15" i="67"/>
  <c r="I26" i="67"/>
  <c r="I31" i="60"/>
  <c r="I13" i="60"/>
  <c r="I14" i="64"/>
  <c r="I10" i="60"/>
  <c r="F37" i="67"/>
  <c r="I25" i="64"/>
  <c r="D43" i="62"/>
  <c r="I35" i="60"/>
  <c r="I37" i="66"/>
  <c r="I30" i="66"/>
  <c r="I12" i="66"/>
  <c r="I24" i="66"/>
  <c r="I36" i="66"/>
  <c r="I18" i="66"/>
  <c r="D42" i="66"/>
  <c r="I35" i="66"/>
  <c r="I21" i="66"/>
  <c r="I10" i="66"/>
  <c r="I39" i="66"/>
  <c r="I17" i="66"/>
  <c r="I28" i="66"/>
  <c r="I9" i="67"/>
  <c r="I27" i="65"/>
  <c r="I9" i="65"/>
  <c r="F39" i="65"/>
  <c r="I21" i="65"/>
  <c r="I33" i="65"/>
  <c r="I15" i="65"/>
  <c r="D39" i="65"/>
  <c r="I36" i="65"/>
  <c r="I25" i="65"/>
  <c r="I14" i="65"/>
  <c r="I18" i="65"/>
  <c r="I32" i="65"/>
  <c r="D28" i="58"/>
  <c r="I27" i="55"/>
  <c r="I37" i="64"/>
  <c r="C43" i="62"/>
  <c r="D37" i="60"/>
  <c r="C46" i="57"/>
  <c r="I14" i="60"/>
  <c r="C46" i="63"/>
  <c r="I32" i="57"/>
  <c r="E46" i="57"/>
  <c r="I37" i="55"/>
  <c r="H42" i="51"/>
  <c r="I32" i="64"/>
  <c r="I14" i="55"/>
  <c r="I20" i="62"/>
  <c r="I18" i="48"/>
  <c r="I20" i="52"/>
  <c r="I32" i="52"/>
  <c r="I14" i="52"/>
  <c r="I26" i="52"/>
  <c r="F34" i="52"/>
  <c r="I18" i="52"/>
  <c r="I25" i="52"/>
  <c r="I29" i="52"/>
  <c r="I17" i="52"/>
  <c r="I11" i="52"/>
  <c r="I10" i="52"/>
  <c r="I38" i="66"/>
  <c r="I40" i="48"/>
  <c r="I22" i="48"/>
  <c r="I39" i="43"/>
  <c r="I35" i="55"/>
  <c r="E40" i="55"/>
  <c r="I18" i="43"/>
  <c r="F45" i="43"/>
  <c r="I10" i="45"/>
  <c r="I40" i="40"/>
  <c r="H33" i="36"/>
  <c r="I35" i="33"/>
  <c r="I34" i="40"/>
  <c r="I35" i="35"/>
  <c r="I30" i="35"/>
  <c r="I22" i="35"/>
  <c r="I17" i="35"/>
  <c r="I12" i="35"/>
  <c r="I33" i="35"/>
  <c r="I15" i="35"/>
  <c r="I9" i="35"/>
  <c r="I36" i="35"/>
  <c r="I23" i="35"/>
  <c r="I18" i="35"/>
  <c r="E40" i="35"/>
  <c r="I34" i="35"/>
  <c r="I29" i="35"/>
  <c r="I24" i="35"/>
  <c r="I16" i="35"/>
  <c r="I27" i="35"/>
  <c r="D40" i="35"/>
  <c r="I11" i="35"/>
  <c r="I14" i="40"/>
  <c r="H43" i="39"/>
  <c r="I20" i="43"/>
  <c r="I29" i="32"/>
  <c r="H42" i="32"/>
  <c r="I27" i="27"/>
  <c r="I10" i="33"/>
  <c r="H37" i="25"/>
  <c r="I10" i="35"/>
  <c r="E44" i="33"/>
  <c r="I37" i="33"/>
  <c r="I28" i="32"/>
  <c r="I32" i="25"/>
  <c r="I26" i="25"/>
  <c r="I20" i="25"/>
  <c r="I14" i="25"/>
  <c r="I22" i="25"/>
  <c r="I16" i="25"/>
  <c r="I10" i="25"/>
  <c r="I35" i="25"/>
  <c r="I29" i="25"/>
  <c r="I23" i="25"/>
  <c r="I17" i="25"/>
  <c r="I11" i="25"/>
  <c r="I26" i="33"/>
  <c r="I30" i="25"/>
  <c r="E48" i="45"/>
  <c r="I30" i="39"/>
  <c r="I28" i="30"/>
  <c r="I19" i="27"/>
  <c r="I31" i="25"/>
  <c r="I13" i="25"/>
  <c r="I17" i="23"/>
  <c r="C43" i="32"/>
  <c r="F38" i="25"/>
  <c r="D45" i="30"/>
  <c r="I35" i="19"/>
  <c r="I29" i="19"/>
  <c r="I23" i="19"/>
  <c r="I17" i="19"/>
  <c r="I11" i="19"/>
  <c r="I36" i="19"/>
  <c r="I30" i="19"/>
  <c r="I24" i="19"/>
  <c r="I18" i="19"/>
  <c r="I12" i="19"/>
  <c r="I31" i="19"/>
  <c r="I25" i="19"/>
  <c r="I19" i="19"/>
  <c r="I13" i="19"/>
  <c r="C38" i="25"/>
  <c r="I27" i="31"/>
  <c r="I34" i="25"/>
  <c r="I21" i="12"/>
  <c r="I37" i="7"/>
  <c r="I32" i="12"/>
  <c r="C38" i="19"/>
  <c r="I26" i="12"/>
  <c r="F42" i="7"/>
  <c r="I34" i="12"/>
  <c r="I19" i="11"/>
  <c r="D42" i="7"/>
  <c r="I22" i="5"/>
  <c r="I10" i="5"/>
  <c r="F36" i="12"/>
  <c r="I21" i="10"/>
  <c r="I21" i="3"/>
  <c r="I9" i="3"/>
  <c r="I20" i="81"/>
  <c r="I28" i="81"/>
  <c r="I22" i="81"/>
  <c r="I25" i="78"/>
  <c r="I26" i="81"/>
  <c r="I14" i="81"/>
  <c r="I15" i="81"/>
  <c r="H37" i="76"/>
  <c r="I37" i="73"/>
  <c r="D22" i="75"/>
  <c r="I14" i="75"/>
  <c r="I15" i="75"/>
  <c r="I12" i="75"/>
  <c r="I16" i="75"/>
  <c r="I9" i="75"/>
  <c r="I21" i="74"/>
  <c r="I15" i="74"/>
  <c r="I12" i="73"/>
  <c r="I23" i="74"/>
  <c r="I27" i="73"/>
  <c r="I20" i="74"/>
  <c r="I13" i="73"/>
  <c r="I18" i="73"/>
  <c r="I14" i="73"/>
  <c r="I33" i="67"/>
  <c r="I14" i="67"/>
  <c r="I38" i="64"/>
  <c r="I19" i="66"/>
  <c r="I12" i="70"/>
  <c r="I29" i="69"/>
  <c r="I11" i="69"/>
  <c r="I17" i="69"/>
  <c r="D34" i="69"/>
  <c r="I32" i="69"/>
  <c r="I30" i="69"/>
  <c r="I26" i="69"/>
  <c r="I9" i="69"/>
  <c r="I28" i="69"/>
  <c r="I22" i="69"/>
  <c r="F34" i="69"/>
  <c r="I23" i="69"/>
  <c r="I16" i="69"/>
  <c r="I10" i="69"/>
  <c r="I26" i="66"/>
  <c r="I16" i="73"/>
  <c r="I27" i="68"/>
  <c r="E46" i="68"/>
  <c r="D46" i="68"/>
  <c r="I43" i="68"/>
  <c r="I32" i="68"/>
  <c r="I22" i="68"/>
  <c r="I19" i="68"/>
  <c r="I11" i="68"/>
  <c r="I33" i="68"/>
  <c r="I30" i="68"/>
  <c r="I36" i="68"/>
  <c r="I20" i="68"/>
  <c r="I15" i="68"/>
  <c r="I21" i="68"/>
  <c r="I42" i="68"/>
  <c r="I18" i="68"/>
  <c r="I44" i="68"/>
  <c r="I39" i="68"/>
  <c r="I31" i="68"/>
  <c r="I9" i="68"/>
  <c r="I17" i="68"/>
  <c r="I26" i="68"/>
  <c r="I14" i="69"/>
  <c r="I16" i="67"/>
  <c r="I28" i="65"/>
  <c r="I11" i="62"/>
  <c r="I34" i="60"/>
  <c r="I24" i="68"/>
  <c r="I31" i="65"/>
  <c r="I16" i="64"/>
  <c r="I33" i="62"/>
  <c r="I18" i="62"/>
  <c r="F46" i="68"/>
  <c r="E39" i="65"/>
  <c r="I36" i="62"/>
  <c r="I28" i="60"/>
  <c r="E42" i="66"/>
  <c r="I17" i="60"/>
  <c r="E45" i="64"/>
  <c r="D46" i="61"/>
  <c r="I20" i="58"/>
  <c r="F46" i="63"/>
  <c r="I16" i="61"/>
  <c r="I9" i="57"/>
  <c r="I26" i="55"/>
  <c r="I13" i="65"/>
  <c r="I30" i="63"/>
  <c r="I32" i="62"/>
  <c r="I13" i="62"/>
  <c r="I9" i="61"/>
  <c r="I37" i="57"/>
  <c r="I15" i="57"/>
  <c r="F40" i="55"/>
  <c r="I25" i="63"/>
  <c r="I38" i="55"/>
  <c r="I22" i="60"/>
  <c r="C42" i="66"/>
  <c r="I37" i="61"/>
  <c r="H33" i="59"/>
  <c r="I44" i="57"/>
  <c r="I19" i="55"/>
  <c r="I15" i="52"/>
  <c r="I28" i="51"/>
  <c r="H42" i="62"/>
  <c r="I32" i="60"/>
  <c r="C44" i="56"/>
  <c r="I31" i="56"/>
  <c r="I29" i="56"/>
  <c r="I26" i="56"/>
  <c r="I32" i="56"/>
  <c r="I20" i="56"/>
  <c r="I14" i="56"/>
  <c r="I17" i="56"/>
  <c r="I27" i="56"/>
  <c r="I38" i="56"/>
  <c r="E44" i="56"/>
  <c r="I24" i="56"/>
  <c r="I13" i="56"/>
  <c r="F28" i="58"/>
  <c r="I37" i="56"/>
  <c r="I10" i="49"/>
  <c r="I36" i="48"/>
  <c r="I14" i="47"/>
  <c r="I39" i="45"/>
  <c r="H33" i="52"/>
  <c r="I44" i="49"/>
  <c r="I11" i="49"/>
  <c r="I37" i="48"/>
  <c r="I19" i="48"/>
  <c r="I33" i="45"/>
  <c r="I15" i="45"/>
  <c r="I33" i="43"/>
  <c r="I25" i="59"/>
  <c r="F34" i="59"/>
  <c r="I19" i="59"/>
  <c r="I31" i="59"/>
  <c r="I13" i="59"/>
  <c r="I28" i="59"/>
  <c r="I22" i="59"/>
  <c r="I10" i="59"/>
  <c r="I24" i="59"/>
  <c r="I12" i="59"/>
  <c r="I12" i="47"/>
  <c r="I19" i="47"/>
  <c r="I16" i="43"/>
  <c r="I11" i="42"/>
  <c r="I36" i="43"/>
  <c r="I32" i="43"/>
  <c r="I37" i="41"/>
  <c r="I31" i="41"/>
  <c r="I36" i="41"/>
  <c r="I28" i="41"/>
  <c r="I24" i="41"/>
  <c r="I20" i="41"/>
  <c r="I14" i="41"/>
  <c r="F40" i="41"/>
  <c r="I25" i="41"/>
  <c r="I29" i="41"/>
  <c r="I22" i="41"/>
  <c r="I16" i="41"/>
  <c r="I10" i="41"/>
  <c r="C40" i="41"/>
  <c r="I11" i="41"/>
  <c r="I35" i="41"/>
  <c r="I17" i="41"/>
  <c r="I26" i="41"/>
  <c r="I27" i="34"/>
  <c r="F40" i="35"/>
  <c r="I20" i="35"/>
  <c r="I18" i="38"/>
  <c r="I39" i="34"/>
  <c r="I23" i="38"/>
  <c r="I12" i="38"/>
  <c r="I10" i="32"/>
  <c r="I42" i="38"/>
  <c r="I37" i="35"/>
  <c r="I22" i="34"/>
  <c r="I16" i="33"/>
  <c r="I16" i="32"/>
  <c r="I21" i="27"/>
  <c r="I9" i="25"/>
  <c r="I21" i="35"/>
  <c r="F39" i="31"/>
  <c r="I11" i="30"/>
  <c r="H33" i="27"/>
  <c r="I17" i="36"/>
  <c r="I30" i="36"/>
  <c r="I25" i="36"/>
  <c r="I20" i="36"/>
  <c r="I12" i="36"/>
  <c r="I31" i="36"/>
  <c r="I26" i="36"/>
  <c r="I13" i="36"/>
  <c r="I29" i="36"/>
  <c r="I11" i="36"/>
  <c r="I32" i="36"/>
  <c r="I24" i="36"/>
  <c r="I19" i="36"/>
  <c r="I14" i="36"/>
  <c r="I11" i="32"/>
  <c r="I24" i="23"/>
  <c r="I18" i="23"/>
  <c r="I12" i="23"/>
  <c r="I27" i="23"/>
  <c r="I21" i="23"/>
  <c r="I15" i="23"/>
  <c r="I9" i="23"/>
  <c r="I26" i="34"/>
  <c r="I20" i="30"/>
  <c r="I46" i="45"/>
  <c r="I45" i="28"/>
  <c r="I27" i="28"/>
  <c r="I9" i="28"/>
  <c r="E30" i="23"/>
  <c r="E38" i="25"/>
  <c r="I28" i="19"/>
  <c r="I16" i="19"/>
  <c r="E48" i="28"/>
  <c r="I11" i="13"/>
  <c r="I30" i="13"/>
  <c r="I24" i="13"/>
  <c r="I18" i="13"/>
  <c r="I12" i="13"/>
  <c r="I9" i="13"/>
  <c r="I26" i="13"/>
  <c r="I26" i="19"/>
  <c r="I14" i="19"/>
  <c r="H40" i="17"/>
  <c r="I21" i="13"/>
  <c r="I25" i="7"/>
  <c r="E38" i="19"/>
  <c r="F34" i="16"/>
  <c r="I29" i="13"/>
  <c r="D38" i="19"/>
  <c r="I10" i="12"/>
  <c r="I25" i="5"/>
  <c r="I19" i="5"/>
  <c r="I13" i="5"/>
  <c r="I38" i="5"/>
  <c r="I26" i="5"/>
  <c r="I20" i="5"/>
  <c r="I23" i="5"/>
  <c r="I42" i="5"/>
  <c r="I36" i="5"/>
  <c r="I30" i="5"/>
  <c r="I24" i="5"/>
  <c r="I14" i="5"/>
  <c r="I12" i="5"/>
  <c r="I17" i="5"/>
  <c r="I9" i="19"/>
  <c r="I20" i="7"/>
  <c r="C34" i="16"/>
  <c r="I20" i="12"/>
  <c r="I30" i="3"/>
  <c r="I18" i="3"/>
  <c r="I31" i="3"/>
  <c r="I25" i="3"/>
  <c r="I19" i="3"/>
  <c r="I13" i="3"/>
  <c r="I32" i="3"/>
  <c r="I26" i="3"/>
  <c r="I20" i="3"/>
  <c r="I14" i="3"/>
  <c r="I24" i="3"/>
  <c r="I12" i="3"/>
  <c r="I16" i="13"/>
  <c r="F35" i="10"/>
  <c r="I38" i="7"/>
  <c r="I18" i="10"/>
  <c r="E47" i="5"/>
  <c r="D39" i="2"/>
  <c r="I34" i="2"/>
  <c r="I28" i="2"/>
  <c r="I22" i="2"/>
  <c r="I16" i="2"/>
  <c r="I10" i="2"/>
  <c r="I35" i="2"/>
  <c r="I29" i="2"/>
  <c r="I23" i="2"/>
  <c r="I17" i="2"/>
  <c r="I11" i="2"/>
  <c r="I33" i="2"/>
  <c r="I27" i="2"/>
  <c r="I21" i="2"/>
  <c r="I15" i="2"/>
  <c r="I9" i="2"/>
  <c r="D34" i="3"/>
  <c r="F39" i="2"/>
  <c r="I37" i="78"/>
  <c r="I34" i="78"/>
  <c r="I19" i="78"/>
  <c r="I16" i="78"/>
  <c r="I26" i="78"/>
  <c r="E39" i="78"/>
  <c r="I30" i="78"/>
  <c r="I27" i="78"/>
  <c r="I18" i="78"/>
  <c r="I36" i="78"/>
  <c r="I21" i="78"/>
  <c r="I9" i="78"/>
  <c r="I15" i="78"/>
  <c r="I12" i="78"/>
  <c r="I33" i="78"/>
  <c r="D39" i="78"/>
  <c r="I19" i="73"/>
  <c r="I17" i="78"/>
  <c r="I9" i="81"/>
  <c r="I43" i="73"/>
  <c r="I19" i="58"/>
  <c r="I16" i="58"/>
  <c r="I24" i="55"/>
  <c r="I36" i="55"/>
  <c r="I18" i="55"/>
  <c r="I30" i="55"/>
  <c r="I12" i="55"/>
  <c r="I33" i="55"/>
  <c r="I22" i="55"/>
  <c r="I11" i="55"/>
  <c r="I15" i="55"/>
  <c r="I29" i="55"/>
  <c r="I25" i="58"/>
  <c r="I20" i="55"/>
  <c r="H43" i="56"/>
  <c r="I23" i="55"/>
  <c r="I34" i="67"/>
  <c r="F46" i="57"/>
  <c r="I42" i="57"/>
  <c r="D46" i="57"/>
  <c r="I23" i="57"/>
  <c r="I12" i="57"/>
  <c r="I43" i="57"/>
  <c r="I21" i="57"/>
  <c r="I18" i="57"/>
  <c r="I35" i="57"/>
  <c r="I24" i="57"/>
  <c r="I36" i="57"/>
  <c r="I33" i="57"/>
  <c r="I19" i="57"/>
  <c r="I30" i="57"/>
  <c r="I32" i="55"/>
  <c r="E50" i="48"/>
  <c r="I39" i="48"/>
  <c r="I32" i="48"/>
  <c r="I21" i="48"/>
  <c r="I14" i="48"/>
  <c r="C50" i="48"/>
  <c r="I44" i="48"/>
  <c r="I33" i="48"/>
  <c r="I26" i="48"/>
  <c r="I15" i="48"/>
  <c r="I38" i="48"/>
  <c r="I20" i="48"/>
  <c r="F50" i="48"/>
  <c r="I42" i="48"/>
  <c r="I35" i="48"/>
  <c r="I31" i="48"/>
  <c r="I24" i="48"/>
  <c r="I17" i="48"/>
  <c r="I13" i="48"/>
  <c r="I39" i="57"/>
  <c r="I10" i="55"/>
  <c r="I42" i="43"/>
  <c r="I37" i="43"/>
  <c r="I31" i="43"/>
  <c r="I25" i="43"/>
  <c r="I19" i="43"/>
  <c r="I13" i="43"/>
  <c r="I35" i="43"/>
  <c r="I29" i="43"/>
  <c r="I23" i="43"/>
  <c r="I17" i="43"/>
  <c r="I11" i="43"/>
  <c r="I43" i="43"/>
  <c r="I12" i="43"/>
  <c r="I10" i="43"/>
  <c r="I40" i="43"/>
  <c r="I30" i="43"/>
  <c r="I28" i="43"/>
  <c r="I26" i="43"/>
  <c r="I38" i="43"/>
  <c r="I34" i="43"/>
  <c r="C40" i="55"/>
  <c r="I39" i="40"/>
  <c r="I33" i="40"/>
  <c r="I27" i="40"/>
  <c r="I21" i="40"/>
  <c r="I15" i="40"/>
  <c r="I9" i="40"/>
  <c r="I35" i="40"/>
  <c r="I29" i="40"/>
  <c r="I23" i="40"/>
  <c r="I17" i="40"/>
  <c r="I11" i="40"/>
  <c r="I30" i="40"/>
  <c r="I18" i="40"/>
  <c r="I36" i="40"/>
  <c r="I24" i="40"/>
  <c r="I12" i="40"/>
  <c r="I39" i="32"/>
  <c r="I33" i="32"/>
  <c r="F43" i="32"/>
  <c r="I36" i="32"/>
  <c r="I27" i="32"/>
  <c r="I24" i="32"/>
  <c r="D43" i="32"/>
  <c r="I32" i="32"/>
  <c r="I30" i="32"/>
  <c r="I19" i="32"/>
  <c r="I37" i="32"/>
  <c r="I25" i="32"/>
  <c r="I14" i="32"/>
  <c r="I9" i="32"/>
  <c r="I20" i="32"/>
  <c r="I15" i="32"/>
  <c r="I38" i="32"/>
  <c r="I31" i="32"/>
  <c r="I26" i="32"/>
  <c r="I21" i="32"/>
  <c r="I36" i="33"/>
  <c r="I32" i="33"/>
  <c r="I25" i="33"/>
  <c r="I40" i="33"/>
  <c r="I33" i="33"/>
  <c r="I22" i="33"/>
  <c r="I15" i="33"/>
  <c r="I27" i="33"/>
  <c r="I9" i="33"/>
  <c r="I42" i="33"/>
  <c r="I38" i="33"/>
  <c r="I31" i="33"/>
  <c r="I18" i="33"/>
  <c r="I24" i="33"/>
  <c r="I20" i="33"/>
  <c r="I14" i="33"/>
  <c r="I39" i="33"/>
  <c r="I28" i="33"/>
  <c r="I21" i="33"/>
  <c r="I13" i="32"/>
  <c r="D44" i="33"/>
  <c r="I30" i="33"/>
  <c r="H39" i="24"/>
  <c r="I23" i="33"/>
  <c r="I23" i="32"/>
  <c r="I32" i="27"/>
  <c r="I26" i="27"/>
  <c r="I20" i="27"/>
  <c r="I14" i="27"/>
  <c r="I28" i="27"/>
  <c r="I22" i="27"/>
  <c r="I16" i="27"/>
  <c r="I10" i="27"/>
  <c r="I29" i="27"/>
  <c r="I23" i="27"/>
  <c r="I17" i="27"/>
  <c r="I11" i="27"/>
  <c r="I25" i="27"/>
  <c r="F34" i="27"/>
  <c r="F30" i="23"/>
  <c r="I29" i="12"/>
  <c r="I23" i="12"/>
  <c r="I17" i="12"/>
  <c r="I11" i="12"/>
  <c r="I30" i="12"/>
  <c r="I24" i="12"/>
  <c r="I18" i="12"/>
  <c r="I12" i="12"/>
  <c r="I31" i="12"/>
  <c r="I25" i="12"/>
  <c r="I19" i="12"/>
  <c r="I13" i="12"/>
  <c r="I27" i="12"/>
  <c r="I9" i="12"/>
  <c r="I21" i="19"/>
  <c r="I22" i="13"/>
  <c r="I15" i="19"/>
  <c r="I26" i="7"/>
  <c r="D34" i="16"/>
  <c r="I23" i="11"/>
  <c r="I14" i="7"/>
  <c r="I28" i="12"/>
  <c r="I27" i="10"/>
  <c r="I30" i="7"/>
  <c r="E34" i="3"/>
  <c r="I28" i="3"/>
  <c r="I25" i="2"/>
  <c r="I23" i="81"/>
  <c r="I10" i="81"/>
  <c r="I35" i="78"/>
  <c r="I19" i="81"/>
  <c r="E35" i="79"/>
  <c r="I22" i="79"/>
  <c r="I19" i="79"/>
  <c r="D35" i="79"/>
  <c r="I29" i="79"/>
  <c r="I11" i="79"/>
  <c r="I33" i="79"/>
  <c r="I30" i="79"/>
  <c r="I15" i="79"/>
  <c r="I12" i="79"/>
  <c r="I24" i="79"/>
  <c r="I21" i="79"/>
  <c r="I18" i="79"/>
  <c r="I11" i="78"/>
  <c r="I13" i="75"/>
  <c r="H35" i="72"/>
  <c r="I23" i="72"/>
  <c r="I28" i="72"/>
  <c r="I26" i="72"/>
  <c r="I24" i="72"/>
  <c r="F36" i="72"/>
  <c r="I33" i="72"/>
  <c r="I17" i="72"/>
  <c r="I10" i="72"/>
  <c r="I29" i="72"/>
  <c r="I22" i="72"/>
  <c r="I15" i="72"/>
  <c r="I11" i="72"/>
  <c r="I32" i="72"/>
  <c r="I9" i="72"/>
  <c r="I30" i="74"/>
  <c r="D46" i="74"/>
  <c r="C36" i="72"/>
  <c r="I9" i="73"/>
  <c r="I43" i="70"/>
  <c r="I32" i="70"/>
  <c r="I25" i="70"/>
  <c r="I14" i="70"/>
  <c r="I42" i="70"/>
  <c r="I37" i="70"/>
  <c r="I20" i="70"/>
  <c r="I17" i="70"/>
  <c r="I10" i="70"/>
  <c r="I38" i="70"/>
  <c r="I35" i="70"/>
  <c r="I28" i="70"/>
  <c r="I26" i="70"/>
  <c r="I13" i="70"/>
  <c r="I24" i="70"/>
  <c r="I19" i="70"/>
  <c r="C46" i="70"/>
  <c r="I44" i="70"/>
  <c r="I31" i="70"/>
  <c r="I15" i="66"/>
  <c r="C37" i="67"/>
  <c r="I35" i="68"/>
  <c r="C46" i="73"/>
  <c r="I31" i="69"/>
  <c r="I25" i="67"/>
  <c r="I17" i="65"/>
  <c r="I13" i="63"/>
  <c r="I16" i="60"/>
  <c r="I13" i="58"/>
  <c r="I11" i="67"/>
  <c r="I16" i="66"/>
  <c r="I43" i="64"/>
  <c r="I28" i="61"/>
  <c r="I10" i="61"/>
  <c r="I12" i="69"/>
  <c r="I34" i="66"/>
  <c r="I28" i="64"/>
  <c r="I19" i="64"/>
  <c r="I42" i="63"/>
  <c r="I12" i="62"/>
  <c r="D46" i="70"/>
  <c r="I28" i="68"/>
  <c r="I17" i="57"/>
  <c r="I16" i="55"/>
  <c r="I43" i="63"/>
  <c r="I14" i="63"/>
  <c r="I14" i="58"/>
  <c r="H45" i="57"/>
  <c r="I13" i="55"/>
  <c r="H40" i="53"/>
  <c r="D40" i="55"/>
  <c r="C34" i="52"/>
  <c r="I28" i="52"/>
  <c r="I38" i="51"/>
  <c r="I32" i="51"/>
  <c r="I26" i="51"/>
  <c r="I20" i="51"/>
  <c r="I27" i="51"/>
  <c r="I25" i="51"/>
  <c r="I33" i="51"/>
  <c r="I39" i="51"/>
  <c r="I37" i="51"/>
  <c r="I14" i="51"/>
  <c r="I15" i="51"/>
  <c r="I21" i="51"/>
  <c r="I13" i="51"/>
  <c r="I9" i="51"/>
  <c r="I30" i="52"/>
  <c r="I13" i="52"/>
  <c r="I31" i="51"/>
  <c r="I43" i="49"/>
  <c r="I30" i="49"/>
  <c r="I24" i="49"/>
  <c r="I13" i="49"/>
  <c r="E47" i="49"/>
  <c r="I36" i="49"/>
  <c r="I31" i="49"/>
  <c r="I25" i="49"/>
  <c r="I18" i="49"/>
  <c r="I42" i="49"/>
  <c r="I37" i="49"/>
  <c r="I12" i="49"/>
  <c r="I40" i="49"/>
  <c r="I27" i="49"/>
  <c r="I23" i="49"/>
  <c r="I16" i="49"/>
  <c r="I9" i="49"/>
  <c r="I29" i="48"/>
  <c r="I10" i="48"/>
  <c r="I32" i="45"/>
  <c r="I13" i="45"/>
  <c r="I38" i="57"/>
  <c r="I35" i="56"/>
  <c r="I34" i="49"/>
  <c r="I22" i="49"/>
  <c r="I48" i="48"/>
  <c r="I30" i="48"/>
  <c r="I12" i="48"/>
  <c r="I44" i="45"/>
  <c r="I26" i="45"/>
  <c r="I21" i="43"/>
  <c r="I27" i="57"/>
  <c r="I22" i="53"/>
  <c r="I34" i="53"/>
  <c r="I16" i="53"/>
  <c r="I28" i="53"/>
  <c r="I10" i="53"/>
  <c r="I20" i="53"/>
  <c r="I15" i="53"/>
  <c r="I19" i="53"/>
  <c r="I38" i="53"/>
  <c r="I27" i="53"/>
  <c r="I9" i="53"/>
  <c r="I13" i="53"/>
  <c r="I31" i="53"/>
  <c r="I17" i="51"/>
  <c r="I29" i="49"/>
  <c r="I27" i="48"/>
  <c r="I34" i="48"/>
  <c r="I25" i="48"/>
  <c r="C47" i="49"/>
  <c r="I17" i="49"/>
  <c r="D43" i="51"/>
  <c r="I19" i="51"/>
  <c r="C44" i="42"/>
  <c r="H39" i="41"/>
  <c r="I32" i="40"/>
  <c r="D45" i="43"/>
  <c r="I38" i="35"/>
  <c r="I11" i="33"/>
  <c r="I13" i="35"/>
  <c r="F43" i="40"/>
  <c r="I9" i="39"/>
  <c r="I34" i="41"/>
  <c r="I43" i="30"/>
  <c r="I36" i="30"/>
  <c r="I32" i="30"/>
  <c r="I25" i="30"/>
  <c r="I18" i="30"/>
  <c r="I14" i="30"/>
  <c r="I40" i="30"/>
  <c r="I33" i="30"/>
  <c r="I22" i="30"/>
  <c r="I15" i="30"/>
  <c r="I37" i="30"/>
  <c r="I30" i="30"/>
  <c r="I26" i="30"/>
  <c r="I19" i="30"/>
  <c r="I12" i="30"/>
  <c r="E45" i="30"/>
  <c r="I34" i="30"/>
  <c r="I27" i="30"/>
  <c r="I16" i="30"/>
  <c r="I9" i="30"/>
  <c r="C45" i="30"/>
  <c r="I39" i="30"/>
  <c r="I21" i="30"/>
  <c r="F44" i="34"/>
  <c r="I28" i="31"/>
  <c r="I9" i="27"/>
  <c r="I33" i="25"/>
  <c r="I13" i="23"/>
  <c r="I28" i="39"/>
  <c r="I29" i="34"/>
  <c r="I12" i="33"/>
  <c r="I37" i="31"/>
  <c r="E43" i="40"/>
  <c r="I18" i="34"/>
  <c r="E39" i="31"/>
  <c r="C44" i="34"/>
  <c r="I34" i="33"/>
  <c r="I35" i="32"/>
  <c r="I31" i="30"/>
  <c r="I18" i="27"/>
  <c r="I18" i="25"/>
  <c r="I28" i="23"/>
  <c r="I16" i="23"/>
  <c r="I33" i="28"/>
  <c r="I15" i="28"/>
  <c r="H44" i="22"/>
  <c r="I12" i="32"/>
  <c r="D38" i="25"/>
  <c r="I13" i="13"/>
  <c r="H44" i="18"/>
  <c r="I27" i="16"/>
  <c r="I28" i="16"/>
  <c r="I16" i="16"/>
  <c r="I10" i="16"/>
  <c r="I29" i="16"/>
  <c r="I11" i="16"/>
  <c r="I12" i="16"/>
  <c r="I32" i="16"/>
  <c r="I26" i="16"/>
  <c r="I25" i="16"/>
  <c r="I32" i="13"/>
  <c r="I14" i="13"/>
  <c r="I18" i="32"/>
  <c r="I20" i="23"/>
  <c r="I27" i="13"/>
  <c r="I46" i="11"/>
  <c r="I40" i="11"/>
  <c r="I34" i="11"/>
  <c r="I28" i="11"/>
  <c r="I22" i="11"/>
  <c r="I16" i="11"/>
  <c r="I10" i="11"/>
  <c r="I17" i="11"/>
  <c r="I11" i="11"/>
  <c r="I12" i="11"/>
  <c r="I39" i="11"/>
  <c r="I21" i="11"/>
  <c r="I9" i="11"/>
  <c r="I26" i="10"/>
  <c r="I14" i="10"/>
  <c r="I31" i="7"/>
  <c r="I13" i="7"/>
  <c r="E36" i="12"/>
  <c r="D35" i="13"/>
  <c r="I35" i="11"/>
  <c r="C35" i="13"/>
  <c r="I33" i="10"/>
  <c r="I33" i="19"/>
  <c r="I13" i="16"/>
  <c r="I14" i="12"/>
  <c r="F47" i="5"/>
  <c r="F38" i="19"/>
  <c r="I29" i="11"/>
  <c r="C42" i="7"/>
  <c r="I27" i="3"/>
  <c r="I15" i="3"/>
  <c r="I10" i="3"/>
  <c r="I13" i="2"/>
  <c r="H42" i="80"/>
  <c r="F34" i="81"/>
  <c r="I31" i="81"/>
  <c r="C39" i="78"/>
  <c r="I34" i="73"/>
  <c r="C34" i="81"/>
  <c r="E34" i="81"/>
  <c r="I13" i="81"/>
  <c r="I29" i="78"/>
  <c r="I29" i="81"/>
  <c r="H43" i="77"/>
  <c r="I32" i="78"/>
  <c r="I31" i="78"/>
  <c r="I22" i="78"/>
  <c r="I30" i="73"/>
  <c r="I25" i="73"/>
  <c r="I31" i="74"/>
  <c r="I13" i="74"/>
  <c r="I42" i="74"/>
  <c r="I35" i="74"/>
  <c r="I43" i="74"/>
  <c r="I40" i="74"/>
  <c r="I36" i="74"/>
  <c r="I29" i="74"/>
  <c r="I22" i="74"/>
  <c r="I18" i="74"/>
  <c r="I11" i="74"/>
  <c r="I28" i="74"/>
  <c r="I17" i="74"/>
  <c r="I44" i="74"/>
  <c r="I32" i="74"/>
  <c r="I26" i="74"/>
  <c r="I24" i="74"/>
  <c r="I37" i="74"/>
  <c r="I10" i="74"/>
  <c r="I14" i="74"/>
  <c r="I25" i="74"/>
  <c r="I19" i="74"/>
  <c r="I38" i="73"/>
  <c r="I16" i="74"/>
  <c r="I22" i="67"/>
  <c r="I12" i="74"/>
  <c r="I13" i="67"/>
  <c r="I36" i="64"/>
  <c r="I30" i="64"/>
  <c r="I17" i="64"/>
  <c r="I11" i="64"/>
  <c r="I42" i="64"/>
  <c r="I24" i="64"/>
  <c r="I18" i="64"/>
  <c r="F45" i="64"/>
  <c r="I34" i="64"/>
  <c r="I12" i="64"/>
  <c r="C45" i="64"/>
  <c r="I21" i="64"/>
  <c r="I10" i="64"/>
  <c r="I33" i="64"/>
  <c r="I15" i="64"/>
  <c r="I23" i="64"/>
  <c r="I9" i="64"/>
  <c r="I27" i="64"/>
  <c r="D46" i="63"/>
  <c r="I39" i="63"/>
  <c r="I34" i="63"/>
  <c r="I21" i="63"/>
  <c r="I16" i="63"/>
  <c r="I37" i="63"/>
  <c r="I19" i="63"/>
  <c r="I40" i="63"/>
  <c r="I27" i="63"/>
  <c r="I22" i="63"/>
  <c r="I9" i="63"/>
  <c r="I38" i="63"/>
  <c r="I10" i="63"/>
  <c r="I33" i="63"/>
  <c r="I20" i="63"/>
  <c r="E46" i="63"/>
  <c r="I28" i="63"/>
  <c r="I15" i="63"/>
  <c r="I27" i="60"/>
  <c r="I9" i="60"/>
  <c r="I21" i="60"/>
  <c r="I33" i="60"/>
  <c r="I15" i="60"/>
  <c r="I30" i="60"/>
  <c r="I26" i="60"/>
  <c r="C37" i="60"/>
  <c r="I19" i="60"/>
  <c r="I12" i="60"/>
  <c r="I20" i="60"/>
  <c r="I29" i="63"/>
  <c r="E43" i="62"/>
  <c r="F37" i="60"/>
  <c r="I17" i="63"/>
  <c r="H36" i="67"/>
  <c r="I10" i="65"/>
  <c r="I18" i="60"/>
  <c r="I11" i="60"/>
  <c r="I31" i="57"/>
  <c r="I34" i="55"/>
  <c r="I32" i="61"/>
  <c r="I14" i="61"/>
  <c r="I44" i="61"/>
  <c r="I33" i="61"/>
  <c r="I26" i="61"/>
  <c r="I15" i="61"/>
  <c r="I38" i="61"/>
  <c r="I20" i="61"/>
  <c r="I42" i="61"/>
  <c r="I13" i="61"/>
  <c r="I35" i="61"/>
  <c r="I24" i="61"/>
  <c r="I31" i="61"/>
  <c r="I17" i="61"/>
  <c r="I28" i="57"/>
  <c r="I31" i="55"/>
  <c r="H39" i="55"/>
  <c r="I29" i="60"/>
  <c r="I34" i="57"/>
  <c r="I12" i="63"/>
  <c r="I12" i="61"/>
  <c r="I21" i="58"/>
  <c r="I16" i="57"/>
  <c r="I33" i="56"/>
  <c r="D34" i="52"/>
  <c r="I16" i="51"/>
  <c r="I9" i="56"/>
  <c r="I25" i="55"/>
  <c r="I42" i="45"/>
  <c r="I35" i="45"/>
  <c r="I24" i="45"/>
  <c r="I17" i="45"/>
  <c r="I45" i="45"/>
  <c r="I38" i="45"/>
  <c r="I34" i="45"/>
  <c r="I27" i="45"/>
  <c r="I20" i="45"/>
  <c r="I16" i="45"/>
  <c r="I9" i="45"/>
  <c r="I29" i="45"/>
  <c r="F48" i="45"/>
  <c r="I18" i="45"/>
  <c r="D48" i="45"/>
  <c r="I30" i="45"/>
  <c r="I11" i="45"/>
  <c r="I23" i="45"/>
  <c r="I36" i="45"/>
  <c r="I12" i="45"/>
  <c r="I23" i="61"/>
  <c r="I38" i="49"/>
  <c r="I21" i="49"/>
  <c r="I47" i="48"/>
  <c r="I28" i="48"/>
  <c r="I42" i="47"/>
  <c r="I35" i="47"/>
  <c r="I24" i="47"/>
  <c r="I17" i="47"/>
  <c r="I36" i="47"/>
  <c r="I29" i="47"/>
  <c r="I18" i="47"/>
  <c r="I11" i="47"/>
  <c r="I23" i="47"/>
  <c r="I38" i="47"/>
  <c r="I34" i="47"/>
  <c r="I27" i="47"/>
  <c r="I20" i="47"/>
  <c r="I16" i="47"/>
  <c r="I9" i="47"/>
  <c r="I31" i="45"/>
  <c r="I33" i="49"/>
  <c r="I16" i="56"/>
  <c r="I26" i="47"/>
  <c r="I43" i="45"/>
  <c r="I25" i="45"/>
  <c r="I15" i="43"/>
  <c r="I21" i="55"/>
  <c r="E34" i="52"/>
  <c r="H34" i="50"/>
  <c r="I19" i="52"/>
  <c r="I16" i="48"/>
  <c r="I19" i="45"/>
  <c r="C48" i="45"/>
  <c r="I28" i="47"/>
  <c r="E45" i="47"/>
  <c r="I36" i="42"/>
  <c r="D43" i="40"/>
  <c r="I28" i="40"/>
  <c r="I14" i="35"/>
  <c r="I20" i="40"/>
  <c r="D44" i="42"/>
  <c r="I28" i="35"/>
  <c r="C45" i="43"/>
  <c r="I22" i="40"/>
  <c r="I39" i="38"/>
  <c r="I33" i="38"/>
  <c r="I27" i="38"/>
  <c r="I21" i="38"/>
  <c r="I15" i="38"/>
  <c r="I32" i="38"/>
  <c r="I28" i="38"/>
  <c r="I37" i="38"/>
  <c r="I26" i="38"/>
  <c r="I22" i="38"/>
  <c r="I9" i="38"/>
  <c r="I31" i="38"/>
  <c r="I20" i="38"/>
  <c r="I16" i="38"/>
  <c r="I25" i="38"/>
  <c r="I10" i="38"/>
  <c r="I40" i="38"/>
  <c r="I19" i="38"/>
  <c r="I38" i="38"/>
  <c r="I13" i="38"/>
  <c r="I34" i="38"/>
  <c r="D50" i="48"/>
  <c r="D40" i="41"/>
  <c r="I38" i="40"/>
  <c r="I34" i="32"/>
  <c r="I11" i="34"/>
  <c r="I22" i="31"/>
  <c r="I15" i="31"/>
  <c r="I11" i="31"/>
  <c r="I19" i="31"/>
  <c r="I12" i="31"/>
  <c r="I34" i="31"/>
  <c r="I23" i="31"/>
  <c r="I16" i="31"/>
  <c r="I9" i="31"/>
  <c r="I29" i="31"/>
  <c r="I24" i="31"/>
  <c r="I13" i="31"/>
  <c r="I35" i="31"/>
  <c r="I30" i="31"/>
  <c r="I36" i="31"/>
  <c r="I18" i="31"/>
  <c r="I27" i="25"/>
  <c r="I22" i="32"/>
  <c r="I26" i="31"/>
  <c r="I19" i="37"/>
  <c r="I32" i="37"/>
  <c r="I27" i="37"/>
  <c r="I22" i="37"/>
  <c r="I14" i="37"/>
  <c r="I9" i="37"/>
  <c r="I33" i="37"/>
  <c r="I28" i="37"/>
  <c r="I15" i="37"/>
  <c r="I10" i="37"/>
  <c r="I31" i="37"/>
  <c r="I13" i="37"/>
  <c r="I34" i="37"/>
  <c r="I26" i="37"/>
  <c r="I21" i="37"/>
  <c r="I16" i="37"/>
  <c r="I36" i="34"/>
  <c r="I17" i="32"/>
  <c r="I17" i="31"/>
  <c r="I12" i="27"/>
  <c r="I36" i="25"/>
  <c r="I12" i="25"/>
  <c r="I35" i="42"/>
  <c r="D44" i="38"/>
  <c r="C44" i="33"/>
  <c r="I19" i="33"/>
  <c r="I31" i="27"/>
  <c r="I13" i="27"/>
  <c r="I25" i="25"/>
  <c r="I11" i="23"/>
  <c r="I33" i="31"/>
  <c r="I34" i="19"/>
  <c r="I22" i="19"/>
  <c r="I10" i="19"/>
  <c r="H35" i="15"/>
  <c r="D39" i="31"/>
  <c r="C30" i="23"/>
  <c r="E34" i="27"/>
  <c r="C48" i="28"/>
  <c r="C34" i="27"/>
  <c r="I32" i="19"/>
  <c r="I20" i="19"/>
  <c r="I14" i="16"/>
  <c r="H49" i="14"/>
  <c r="I33" i="12"/>
  <c r="I15" i="12"/>
  <c r="I15" i="10"/>
  <c r="I9" i="10"/>
  <c r="I28" i="10"/>
  <c r="I22" i="10"/>
  <c r="I16" i="10"/>
  <c r="I10" i="10"/>
  <c r="I29" i="10"/>
  <c r="I23" i="10"/>
  <c r="I17" i="10"/>
  <c r="I11" i="10"/>
  <c r="I12" i="10"/>
  <c r="I16" i="12"/>
  <c r="I32" i="7"/>
  <c r="I28" i="13"/>
  <c r="I10" i="13"/>
  <c r="I30" i="10"/>
  <c r="E42" i="7"/>
  <c r="H38" i="2"/>
  <c r="F48" i="11"/>
  <c r="I37" i="5"/>
  <c r="I15" i="5"/>
  <c r="I27" i="19"/>
  <c r="I15" i="16"/>
  <c r="F35" i="13"/>
  <c r="I13" i="11"/>
  <c r="I24" i="7"/>
  <c r="F34" i="3"/>
  <c r="I19" i="2"/>
  <c r="I22" i="3"/>
  <c r="C39" i="2"/>
</calcChain>
</file>

<file path=xl/sharedStrings.xml><?xml version="1.0" encoding="utf-8"?>
<sst xmlns="http://schemas.openxmlformats.org/spreadsheetml/2006/main" count="7570" uniqueCount="264">
  <si>
    <t>PRODUTTORE</t>
  </si>
  <si>
    <t>COMUNE DI AMARO</t>
  </si>
  <si>
    <t>PERIODO</t>
  </si>
  <si>
    <t>01/01/2023 - 30/06/2023</t>
  </si>
  <si>
    <t>ABITANTI</t>
  </si>
  <si>
    <t>KG/PERIODO</t>
  </si>
  <si>
    <t>GRUPPO RIFIUTI</t>
  </si>
  <si>
    <t>RIFIUTO</t>
  </si>
  <si>
    <t>DOMICILIARE</t>
  </si>
  <si>
    <t>STRADALE</t>
  </si>
  <si>
    <t>CDR</t>
  </si>
  <si>
    <t>ALTRO</t>
  </si>
  <si>
    <t>TOTALE</t>
  </si>
  <si>
    <t>KG/AB/PERIODO</t>
  </si>
  <si>
    <t>% TOTALE</t>
  </si>
  <si>
    <t>Altri rifiuti urbani</t>
  </si>
  <si>
    <t>170603 - * Altri materiali isolanti</t>
  </si>
  <si>
    <t>170802 - Mater. da costruz. a base di gesso</t>
  </si>
  <si>
    <t>160216 - Toner</t>
  </si>
  <si>
    <t>Rifiuti urbani differenziati</t>
  </si>
  <si>
    <t>150106 - Multimateriale Plastica + lattine</t>
  </si>
  <si>
    <t>150107 - Imballaggi in vetro</t>
  </si>
  <si>
    <t>160103 - Pneumatici</t>
  </si>
  <si>
    <t>170904 - Inerti</t>
  </si>
  <si>
    <t>200101 - Carta e cartone</t>
  </si>
  <si>
    <t>200108 - Umido</t>
  </si>
  <si>
    <t>200110 - Abbigliamento</t>
  </si>
  <si>
    <t>200111 - Prodotti tessili</t>
  </si>
  <si>
    <t>200121 - * RAEE R5 (Lampade fluorescenti)</t>
  </si>
  <si>
    <t>200123 - * RAEE R1 (Frigoriferi)</t>
  </si>
  <si>
    <t>200125 - Oli vegetali</t>
  </si>
  <si>
    <t>200126 - * Oli pericolosi</t>
  </si>
  <si>
    <t>200127 - * Pitture e vernici pericolose</t>
  </si>
  <si>
    <t>200133 - * Pile portatili</t>
  </si>
  <si>
    <t>200135 - * RAEE R3 (TV e monitor)</t>
  </si>
  <si>
    <t>200136 - RAEE R2 (Lavatrici)</t>
  </si>
  <si>
    <t>200138 - Legno</t>
  </si>
  <si>
    <t>200139 - Plastiche dure</t>
  </si>
  <si>
    <t>200140 - Metallo</t>
  </si>
  <si>
    <t>200201 - Verde</t>
  </si>
  <si>
    <t>200136 - RAEE R4 (Piccoli elettrodomestici)</t>
  </si>
  <si>
    <t>150111 - * Bombolette spray</t>
  </si>
  <si>
    <t>200132 - Medicinali scaduti</t>
  </si>
  <si>
    <t>Rifiuti urbani non differenziati</t>
  </si>
  <si>
    <t>200301 - R.S.U. Secco residuo</t>
  </si>
  <si>
    <t>200307 - Ingombranti</t>
  </si>
  <si>
    <t>200303 - Residui della pulizia stradale</t>
  </si>
  <si>
    <t>* rifiuti pericolosi</t>
  </si>
  <si>
    <t>RIFIUTI URBANI DIFFERENZIATI</t>
  </si>
  <si>
    <t>RIFIUTI URBANI NON DIFFERENZIATI</t>
  </si>
  <si>
    <t>ALTRI RIFIUTI URBANI</t>
  </si>
  <si>
    <t>2022 A&amp;T 2000</t>
  </si>
  <si>
    <t>PERCENTUALE RACCOLTA DIFFERENZIATA (ARPA)</t>
  </si>
  <si>
    <t>PERCENTUALE RACCOLTA DIFFERENZIATA (A&amp;T 2000)</t>
  </si>
  <si>
    <t>COMUNE DI AMARO**</t>
  </si>
  <si>
    <t>A&amp;T 2000 **</t>
  </si>
  <si>
    <t>SECCO RESIDUO</t>
  </si>
  <si>
    <t>ORGANICO</t>
  </si>
  <si>
    <t>RIF. DIFF.</t>
  </si>
  <si>
    <t>RIF. NON DIFF.</t>
  </si>
  <si>
    <t>COMUNE DI AMPEZZO</t>
  </si>
  <si>
    <t>COMUNE DI AMPEZZO**</t>
  </si>
  <si>
    <t>COMUNE DI ARTA TERME</t>
  </si>
  <si>
    <t>170604 - Materiali isolanti</t>
  </si>
  <si>
    <t>080318 - Toner</t>
  </si>
  <si>
    <t>150101 - imballaggi in carta e cartone</t>
  </si>
  <si>
    <t>200102 - Lastre di vetro</t>
  </si>
  <si>
    <t>200133 - * Batterie al piombo</t>
  </si>
  <si>
    <t>COMUNE DI ARTA TERME**</t>
  </si>
  <si>
    <t>COMUNE DI ARTEGNA</t>
  </si>
  <si>
    <t>150102 - Imballaggi in plastica</t>
  </si>
  <si>
    <t>200304 - fanghi</t>
  </si>
  <si>
    <t>170302 - Miscele bituminose</t>
  </si>
  <si>
    <t>COMUNE DI ARTEGNA**</t>
  </si>
  <si>
    <t>COMUNE DI BASILIANO</t>
  </si>
  <si>
    <t>170204 - Vetro, plastica e legno pericolosi</t>
  </si>
  <si>
    <t>150110 - * Imballaggi per pitture e vernici</t>
  </si>
  <si>
    <t>170301 - Miscele bituminose contenenti catrame di carbone</t>
  </si>
  <si>
    <t>170101 - Cemento</t>
  </si>
  <si>
    <t>130802 - Olio minerale</t>
  </si>
  <si>
    <t>COMUNE DI BASILIANO**</t>
  </si>
  <si>
    <t>COMUNE DI BERTIOLO</t>
  </si>
  <si>
    <t>COMUNE DI BERTIOLO**</t>
  </si>
  <si>
    <t>COMUNE DI BORDANO</t>
  </si>
  <si>
    <t>COMUNE DI BORDANO**</t>
  </si>
  <si>
    <t>COMUNE DI BUTTRIO</t>
  </si>
  <si>
    <t>COMUNE DI BUTTRIO**</t>
  </si>
  <si>
    <t>COMUNE DI CAMINO AL TAGLIAMENTO</t>
  </si>
  <si>
    <t>COMUNE DI CAMINO AL TAGLIAMENTO**</t>
  </si>
  <si>
    <t>COMUNE DI CAMPOFORMIDO</t>
  </si>
  <si>
    <t>200306 - Pulizia fognature</t>
  </si>
  <si>
    <t>170201 - LEgno</t>
  </si>
  <si>
    <t>COMUNE DI CAMPOFORMIDO**</t>
  </si>
  <si>
    <t>COMUNE DI CAVAZZO CARNICO</t>
  </si>
  <si>
    <t>COMUNE DI CAVAZZO CARNICO**</t>
  </si>
  <si>
    <t>COMUNE DI CERCIVENTO</t>
  </si>
  <si>
    <t>COMUNE DI CERCIVENTO**</t>
  </si>
  <si>
    <t>COMUNE DI CODROIPO</t>
  </si>
  <si>
    <t>160708 - rifiuti contenenti olio</t>
  </si>
  <si>
    <t>170503 - Terre e rocce, contenenti sostanze pericolose</t>
  </si>
  <si>
    <t>160305 - * Rifiuti organici pericolosi</t>
  </si>
  <si>
    <t>COMUNE DI CODROIPO**</t>
  </si>
  <si>
    <t>COMUNE DI COLLOREDO DI MONTE ALBANO</t>
  </si>
  <si>
    <t>150104 - Imballaggi metallici (lattine)</t>
  </si>
  <si>
    <t>COMUNE DI COLLOREDO DI MONTE ALBANO**</t>
  </si>
  <si>
    <t>COMUNE DI COMEGLIANS</t>
  </si>
  <si>
    <t>COMUNE DI COMEGLIANS**</t>
  </si>
  <si>
    <t>COMUNE DI CORNO DI ROSAZZO</t>
  </si>
  <si>
    <t>COMUNE DI CORNO DI ROSAZZO**</t>
  </si>
  <si>
    <t>COMUNE DI COSEANO</t>
  </si>
  <si>
    <t>200203 - Altri rifiuti non compostabili</t>
  </si>
  <si>
    <t>200134 - * Pile portatili</t>
  </si>
  <si>
    <t>170903 - * Altri rifiuti inerti</t>
  </si>
  <si>
    <t>COMUNE DI COSEANO**</t>
  </si>
  <si>
    <t>COMUNE DI DIGNANO</t>
  </si>
  <si>
    <t>COMUNE DI DIGNANO**</t>
  </si>
  <si>
    <t>COMUNE DI DOGNA</t>
  </si>
  <si>
    <t>COMUNE DI DOGNA**</t>
  </si>
  <si>
    <t>COMUNE DI ENEMONZO</t>
  </si>
  <si>
    <t>190802 - Rifiuti dell'eliminazione della sabbia</t>
  </si>
  <si>
    <t>COMUNE DI ENEMONZO**</t>
  </si>
  <si>
    <t>COMUNE DI FAGAGNA</t>
  </si>
  <si>
    <t>170203 - Plastica</t>
  </si>
  <si>
    <t>170107 - Inerti</t>
  </si>
  <si>
    <t>COMUNE DI FAGAGNA**</t>
  </si>
  <si>
    <t>COMUNE DI FLAIBANO</t>
  </si>
  <si>
    <t>COMUNE DI FLAIBANO**</t>
  </si>
  <si>
    <t>COMUNE DI FORGARIA NEL FRIULI</t>
  </si>
  <si>
    <t>170405 - Ferro e acciaio</t>
  </si>
  <si>
    <t>COMUNE DI FORGARIA NEL FRIULI**</t>
  </si>
  <si>
    <t>COMUNE DI FORNI AVOLTRI</t>
  </si>
  <si>
    <t xml:space="preserve">160211 - Apparecchiature fuori uso, contenenti clorofluorocarburi, HCFC, HFC   </t>
  </si>
  <si>
    <t>130205 - scarti olio minerale</t>
  </si>
  <si>
    <t>160104 - Veicoli fuori uso</t>
  </si>
  <si>
    <t>COMUNE DI FORNI AVOLTRI**</t>
  </si>
  <si>
    <t>COMUNE DI FORNI DI SOPRA</t>
  </si>
  <si>
    <t>COMUNE DI FORNI DI SOPRA**</t>
  </si>
  <si>
    <t>COMUNE DI FORNI DI SOTTO</t>
  </si>
  <si>
    <t>COMUNE DI FORNI DI SOTTO**</t>
  </si>
  <si>
    <t>COMUNE DI GEMONA DEL FRIULI</t>
  </si>
  <si>
    <t>COMUNE DI GEMONA DEL FRIULI**</t>
  </si>
  <si>
    <t>COMUNE DI LAUCO</t>
  </si>
  <si>
    <t>COMUNE DI LAUCO**</t>
  </si>
  <si>
    <t>COMUNE DI LESTIZZA</t>
  </si>
  <si>
    <t>COMUNE DI LESTIZZA**</t>
  </si>
  <si>
    <t>COMUNE DI LUSEVERA</t>
  </si>
  <si>
    <t xml:space="preserve">170605 - Materiali costruzione con amianto       </t>
  </si>
  <si>
    <t>COMUNE DI LUSEVERA**</t>
  </si>
  <si>
    <t>COMUNE DI MAGNANO IN RIVIERA</t>
  </si>
  <si>
    <t>160213 - apparecchiature fuori uso, contenenti componenti pericolosi (2) diversi da quelli di cui alle voci 16 02 09 e 16 02 12</t>
  </si>
  <si>
    <t>COMUNE DI MAGNANO IN RIVIERA**</t>
  </si>
  <si>
    <t>COMUNE DI MAJANO</t>
  </si>
  <si>
    <t>COMUNE DI MAJANO**</t>
  </si>
  <si>
    <t>COMUNE DI MARTIGNACCO</t>
  </si>
  <si>
    <t>COMUNE DI MARTIGNACCO**</t>
  </si>
  <si>
    <t>COMUNE DI MOGGIO UDINESE</t>
  </si>
  <si>
    <t>COMUNE DI MOGGIO UDINESE**</t>
  </si>
  <si>
    <t>COMUNE DI MOIMACCO</t>
  </si>
  <si>
    <t>COMUNE DI MOIMACCO**</t>
  </si>
  <si>
    <t>COMUNE DI MONTENARS</t>
  </si>
  <si>
    <t>COMUNE DI MONTENARS**</t>
  </si>
  <si>
    <t>COMUNE DI MORTEGLIANO</t>
  </si>
  <si>
    <t>150203 - assorbenti,mat.filtranti,stracci</t>
  </si>
  <si>
    <t>COMUNE DI MORTEGLIANO**</t>
  </si>
  <si>
    <t>COMUNE DI MORUZZO</t>
  </si>
  <si>
    <t>COMUNE DI MORUZZO**</t>
  </si>
  <si>
    <t>COMUNE DI NIMIS</t>
  </si>
  <si>
    <t>COMUNE DI NIMIS**</t>
  </si>
  <si>
    <t>COMUNE DI OSOPPO</t>
  </si>
  <si>
    <t>COMUNE DI OSOPPO**</t>
  </si>
  <si>
    <t>COMUNE DI OVARO</t>
  </si>
  <si>
    <t>COMUNE DI OVARO**</t>
  </si>
  <si>
    <t>COMUNE DI PAGNACCO</t>
  </si>
  <si>
    <t>COMUNE DI PAGNACCO**</t>
  </si>
  <si>
    <t>COMUNE DI PALUZZA</t>
  </si>
  <si>
    <t>COMUNE DI PALUZZA**</t>
  </si>
  <si>
    <t>COMUNE DI PASIAN DI PRATO</t>
  </si>
  <si>
    <t>160304 - Rifiuti inorganici</t>
  </si>
  <si>
    <t>160306 - Rifiuti organici diversi da quelli di cui alla voce 160305</t>
  </si>
  <si>
    <t>COMUNE DI PASIAN DI PRATO**</t>
  </si>
  <si>
    <t>COMUNE DI PAULARO</t>
  </si>
  <si>
    <t>COMUNE DI PAULARO**</t>
  </si>
  <si>
    <t>COMUNE DI PAVIA DI UDINE</t>
  </si>
  <si>
    <t>170504 - Terre e rocce</t>
  </si>
  <si>
    <t>COMUNE DI PAVIA DI UDINE**</t>
  </si>
  <si>
    <t>COMUNE DI POZZUOLO DEL FRIULI</t>
  </si>
  <si>
    <t>COMUNE DI POZZUOLO DEL FRIULI**</t>
  </si>
  <si>
    <t>COMUNE DI PRADAMANO</t>
  </si>
  <si>
    <t>COMUNE DI PRADAMANO**</t>
  </si>
  <si>
    <t>COMUNE DI PRATO CARNICO</t>
  </si>
  <si>
    <t>COMUNE DI PRATO CARNICO**</t>
  </si>
  <si>
    <t>COMUNE DI PREMARIACCO</t>
  </si>
  <si>
    <t>COMUNE DI PREMARIACCO**</t>
  </si>
  <si>
    <t>COMUNE DI PREONE</t>
  </si>
  <si>
    <t>COMUNE DI PREONE**</t>
  </si>
  <si>
    <t>COMUNE DI RAGOGNA</t>
  </si>
  <si>
    <t>COMUNE DI RAGOGNA**</t>
  </si>
  <si>
    <t>COMUNE DI RAVASCLETTO</t>
  </si>
  <si>
    <t>COMUNE DI RAVASCLETTO**</t>
  </si>
  <si>
    <t>COMUNE DI RAVEO</t>
  </si>
  <si>
    <t>COMUNE DI RAVEO**</t>
  </si>
  <si>
    <t>COMUNE DI REANA DEL ROJALE</t>
  </si>
  <si>
    <t>COMUNE DI REANA DEL ROJALE**</t>
  </si>
  <si>
    <t>COMUNE DI REMANZACCO</t>
  </si>
  <si>
    <t>COMUNE DI REMANZACCO**</t>
  </si>
  <si>
    <t>COMUNE DI RESIUTTA</t>
  </si>
  <si>
    <t>COMUNE DI RESIUTTA**</t>
  </si>
  <si>
    <t>COMUNE DI RIGOLATO</t>
  </si>
  <si>
    <t>COMUNE DI RIGOLATO**</t>
  </si>
  <si>
    <t>COMUNE DI RIVE D'ARCANO</t>
  </si>
  <si>
    <t>COMUNE DI RIVE D'ARCANO**</t>
  </si>
  <si>
    <t>COMUNE DI RIVIGNANO TEOR</t>
  </si>
  <si>
    <t>COMUNE DI RIVIGNANO TEOR**</t>
  </si>
  <si>
    <t>COMUNE DI SAN DANIELE DEL FRIULI</t>
  </si>
  <si>
    <t>COMUNE DI SAN DANIELE DEL FRIULI**</t>
  </si>
  <si>
    <t>COMUNE DI SAN DORLIGO DELLA VALLE</t>
  </si>
  <si>
    <t>COMUNE DI SAN DORLIGO DELLA VALLE**</t>
  </si>
  <si>
    <t>COMUNE DI SAN GIOVANNI AL NATISONE</t>
  </si>
  <si>
    <t>COMUNE DI SAN GIOVANNI AL NATISONE**</t>
  </si>
  <si>
    <t>COMUNE DI SAN VITO DI FAGAGNA</t>
  </si>
  <si>
    <t>COMUNE DI SAN VITO DI FAGAGNA**</t>
  </si>
  <si>
    <t>COMUNE DI SAPPADA</t>
  </si>
  <si>
    <t>COMUNE DI SAPPADA**</t>
  </si>
  <si>
    <t>COMUNE DI SAURIS</t>
  </si>
  <si>
    <t>COMUNE DI SAURIS**</t>
  </si>
  <si>
    <t>COMUNE DI SEDEGLIANO</t>
  </si>
  <si>
    <t>COMUNE DI SEDEGLIANO**</t>
  </si>
  <si>
    <t>COMUNE DI SOCCHIEVE</t>
  </si>
  <si>
    <t>COMUNE DI SOCCHIEVE**</t>
  </si>
  <si>
    <t>COMUNE DI SUTRIO</t>
  </si>
  <si>
    <t>COMUNE DI SUTRIO**</t>
  </si>
  <si>
    <t>COMUNE DI TAIPANA</t>
  </si>
  <si>
    <t>COMUNE DI TAIPANA**</t>
  </si>
  <si>
    <t>COMUNE DI TARCENTO</t>
  </si>
  <si>
    <t>COMUNE DI TARCENTO**</t>
  </si>
  <si>
    <t>COMUNE DI TOLMEZZO</t>
  </si>
  <si>
    <t>COMUNE DI TOLMEZZO**</t>
  </si>
  <si>
    <t>COMUNE DI TRASAGHIS</t>
  </si>
  <si>
    <t>COMUNE DI TRASAGHIS**</t>
  </si>
  <si>
    <t>COMUNE DI TREPPO GRANDE</t>
  </si>
  <si>
    <t>COMUNE DI TREPPO GRANDE**</t>
  </si>
  <si>
    <t>COMUNE DI TREPPO LIGOSULLO</t>
  </si>
  <si>
    <t>COMUNE DI TREPPO LIGOSULLO**</t>
  </si>
  <si>
    <t>COMUNE DI VARMO</t>
  </si>
  <si>
    <t>COMUNE DI VARMO**</t>
  </si>
  <si>
    <t>COMUNE DI VENZONE</t>
  </si>
  <si>
    <t>COMUNE DI VENZONE**</t>
  </si>
  <si>
    <t>COMUNE DI VERZEGNIS</t>
  </si>
  <si>
    <t>COMUNE DI VERZEGNIS**</t>
  </si>
  <si>
    <t>COMUNE DI VILLA SANTINA</t>
  </si>
  <si>
    <t>COMUNE DI VILLA SANTINA**</t>
  </si>
  <si>
    <t>COMUNE DI ZUGLIO</t>
  </si>
  <si>
    <t>COMUNE DI ZUGLIO**</t>
  </si>
  <si>
    <t>TOTALE KG</t>
  </si>
  <si>
    <t>TARIC **</t>
  </si>
  <si>
    <t>DIFFERENZIALI PRINCIPALI PARAMETRI (KG/ABITANTI/PERIODO)</t>
  </si>
  <si>
    <t>DIFFERENZIALI PRINCIPALI PARAMETRI (KG/AB/PERIODO)</t>
  </si>
  <si>
    <t>TARIC**</t>
  </si>
  <si>
    <t>COMUNE DI ________**</t>
  </si>
  <si>
    <t>LEGENDA</t>
  </si>
  <si>
    <t>media degli ultimi 5 anni del Comune</t>
  </si>
  <si>
    <t>media degli ultimi 5 annidi tutti i Comuni del bacino di A&amp;T 2000</t>
  </si>
  <si>
    <t>media degli ultimi 5 anni dei Comuni dove si applica la TARIC</t>
  </si>
  <si>
    <t>DIFFERENZIALI PRINCIPALI PARAMETRI (KG/ABITANTI/PERIODO) INDICATI IN BASSO NEL FOGLIO DI CIASCUN 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</si>
</sst>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</font>
    <font>
      <b/>
      <sz val="1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0" fontId="5" fillId="0" borderId="0" xfId="0" applyFont="1"/>
    <xf numFmtId="9" fontId="0" fillId="0" borderId="0" xfId="1" applyFont="1"/>
    <xf numFmtId="9" fontId="3" fillId="0" borderId="0" xfId="1" applyFont="1"/>
    <xf numFmtId="3" fontId="3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1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164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9" fontId="3" fillId="0" borderId="0" xfId="0" applyNumberFormat="1" applyFont="1"/>
    <xf numFmtId="10" fontId="0" fillId="0" borderId="0" xfId="1" applyNumberFormat="1" applyFont="1"/>
    <xf numFmtId="4" fontId="0" fillId="0" borderId="0" xfId="0" applyNumberFormat="1"/>
    <xf numFmtId="4" fontId="3" fillId="0" borderId="0" xfId="0" applyNumberFormat="1" applyFont="1"/>
    <xf numFmtId="164" fontId="1" fillId="0" borderId="0" xfId="1" applyNumberFormat="1" applyFont="1"/>
    <xf numFmtId="1" fontId="0" fillId="0" borderId="0" xfId="0" applyNumberFormat="1"/>
    <xf numFmtId="0" fontId="3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1" xfId="0" applyFont="1" applyBorder="1"/>
    <xf numFmtId="0" fontId="3" fillId="2" borderId="0" xfId="0" applyFont="1" applyFill="1" applyAlignment="1">
      <alignment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1</xdr:row>
      <xdr:rowOff>8602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0955472-CB95-7839-CB05-5B8B39C29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450" cy="808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A16" sqref="A16"/>
    </sheetView>
  </sheetViews>
  <sheetFormatPr defaultRowHeight="15" x14ac:dyDescent="0.25"/>
  <cols>
    <col min="1" max="1" width="56.85546875" customWidth="1"/>
    <col min="2" max="2" width="59.140625" bestFit="1" customWidth="1"/>
  </cols>
  <sheetData>
    <row r="1" spans="1:3" ht="63" customHeight="1" x14ac:dyDescent="0.25"/>
    <row r="2" spans="1:3" ht="18.75" x14ac:dyDescent="0.3">
      <c r="A2" s="25" t="s">
        <v>259</v>
      </c>
    </row>
    <row r="3" spans="1:3" ht="23.25" customHeight="1" x14ac:dyDescent="0.25">
      <c r="A3" s="27" t="s">
        <v>263</v>
      </c>
      <c r="B3" s="27"/>
      <c r="C3" s="3"/>
    </row>
    <row r="4" spans="1:3" x14ac:dyDescent="0.25">
      <c r="A4" s="23" t="s">
        <v>258</v>
      </c>
      <c r="B4" s="24" t="s">
        <v>260</v>
      </c>
    </row>
    <row r="5" spans="1:3" x14ac:dyDescent="0.25">
      <c r="A5" s="23" t="s">
        <v>55</v>
      </c>
      <c r="B5" s="26" t="s">
        <v>261</v>
      </c>
    </row>
    <row r="6" spans="1:3" x14ac:dyDescent="0.25">
      <c r="A6" s="23" t="s">
        <v>254</v>
      </c>
      <c r="B6" s="26" t="s">
        <v>262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49"/>
  <sheetViews>
    <sheetView topLeftCell="A33" workbookViewId="0">
      <selection activeCell="G46" sqref="G46:G49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38.140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87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1544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26540</v>
      </c>
      <c r="D9" s="10"/>
      <c r="E9" s="10"/>
      <c r="F9" s="10"/>
      <c r="G9" s="10">
        <f t="shared" ref="G9:G33" si="0">SUM(C9:F9)</f>
        <v>26540</v>
      </c>
      <c r="H9">
        <f t="shared" ref="H9:H33" si="1">ROUND(G9/1544,2)</f>
        <v>17.190000000000001</v>
      </c>
      <c r="I9" s="14">
        <f t="shared" ref="I9:I33" si="2">ROUND(G9/$G$34,3)</f>
        <v>8.8999999999999996E-2</v>
      </c>
    </row>
    <row r="10" spans="1:9" x14ac:dyDescent="0.25">
      <c r="A10" t="s">
        <v>19</v>
      </c>
      <c r="B10" t="s">
        <v>21</v>
      </c>
      <c r="C10" s="10">
        <v>31020</v>
      </c>
      <c r="D10" s="10"/>
      <c r="E10" s="10"/>
      <c r="F10" s="10"/>
      <c r="G10" s="10">
        <f t="shared" si="0"/>
        <v>31020</v>
      </c>
      <c r="H10">
        <f t="shared" si="1"/>
        <v>20.09</v>
      </c>
      <c r="I10" s="14">
        <f t="shared" si="2"/>
        <v>0.104</v>
      </c>
    </row>
    <row r="11" spans="1:9" x14ac:dyDescent="0.25">
      <c r="A11" t="s">
        <v>19</v>
      </c>
      <c r="B11" t="s">
        <v>24</v>
      </c>
      <c r="C11" s="10">
        <v>31900</v>
      </c>
      <c r="D11" s="10"/>
      <c r="E11" s="10"/>
      <c r="F11" s="10"/>
      <c r="G11" s="10">
        <f t="shared" si="0"/>
        <v>31900</v>
      </c>
      <c r="H11">
        <f t="shared" si="1"/>
        <v>20.66</v>
      </c>
      <c r="I11" s="14">
        <f t="shared" si="2"/>
        <v>0.107</v>
      </c>
    </row>
    <row r="12" spans="1:9" x14ac:dyDescent="0.25">
      <c r="A12" t="s">
        <v>19</v>
      </c>
      <c r="B12" t="s">
        <v>66</v>
      </c>
      <c r="C12" s="10"/>
      <c r="D12" s="10"/>
      <c r="E12" s="10">
        <v>805</v>
      </c>
      <c r="F12" s="10"/>
      <c r="G12" s="10">
        <f t="shared" si="0"/>
        <v>805</v>
      </c>
      <c r="H12">
        <f t="shared" si="1"/>
        <v>0.52</v>
      </c>
      <c r="I12" s="14">
        <f t="shared" si="2"/>
        <v>3.0000000000000001E-3</v>
      </c>
    </row>
    <row r="13" spans="1:9" x14ac:dyDescent="0.25">
      <c r="A13" t="s">
        <v>19</v>
      </c>
      <c r="B13" t="s">
        <v>25</v>
      </c>
      <c r="C13" s="10">
        <v>70040</v>
      </c>
      <c r="D13" s="10"/>
      <c r="E13" s="10"/>
      <c r="F13" s="10">
        <v>300</v>
      </c>
      <c r="G13" s="10">
        <f t="shared" si="0"/>
        <v>70340</v>
      </c>
      <c r="H13">
        <f t="shared" si="1"/>
        <v>45.56</v>
      </c>
      <c r="I13" s="14">
        <f t="shared" si="2"/>
        <v>0.23499999999999999</v>
      </c>
    </row>
    <row r="14" spans="1:9" x14ac:dyDescent="0.25">
      <c r="A14" t="s">
        <v>19</v>
      </c>
      <c r="B14" t="s">
        <v>26</v>
      </c>
      <c r="C14" s="10"/>
      <c r="D14" s="10"/>
      <c r="E14" s="10">
        <v>37</v>
      </c>
      <c r="F14" s="10"/>
      <c r="G14" s="10">
        <f t="shared" si="0"/>
        <v>37</v>
      </c>
      <c r="H14">
        <f t="shared" si="1"/>
        <v>0.02</v>
      </c>
      <c r="I14" s="14">
        <f t="shared" si="2"/>
        <v>0</v>
      </c>
    </row>
    <row r="15" spans="1:9" x14ac:dyDescent="0.25">
      <c r="A15" t="s">
        <v>19</v>
      </c>
      <c r="B15" t="s">
        <v>27</v>
      </c>
      <c r="C15" s="10"/>
      <c r="D15" s="10"/>
      <c r="E15" s="10">
        <v>20</v>
      </c>
      <c r="F15" s="10"/>
      <c r="G15" s="10">
        <f t="shared" si="0"/>
        <v>20</v>
      </c>
      <c r="H15">
        <f t="shared" si="1"/>
        <v>0.01</v>
      </c>
      <c r="I15" s="14">
        <f t="shared" si="2"/>
        <v>0</v>
      </c>
    </row>
    <row r="16" spans="1:9" x14ac:dyDescent="0.25">
      <c r="A16" t="s">
        <v>19</v>
      </c>
      <c r="B16" t="s">
        <v>28</v>
      </c>
      <c r="C16" s="10"/>
      <c r="D16" s="10"/>
      <c r="E16" s="10">
        <v>68</v>
      </c>
      <c r="F16" s="10"/>
      <c r="G16" s="10">
        <f t="shared" si="0"/>
        <v>68</v>
      </c>
      <c r="H16">
        <f t="shared" si="1"/>
        <v>0.04</v>
      </c>
      <c r="I16" s="14">
        <f t="shared" si="2"/>
        <v>0</v>
      </c>
    </row>
    <row r="17" spans="1:9" x14ac:dyDescent="0.25">
      <c r="A17" t="s">
        <v>19</v>
      </c>
      <c r="B17" t="s">
        <v>29</v>
      </c>
      <c r="C17" s="10"/>
      <c r="D17" s="10"/>
      <c r="E17" s="10">
        <v>670</v>
      </c>
      <c r="F17" s="10"/>
      <c r="G17" s="10">
        <f t="shared" si="0"/>
        <v>670</v>
      </c>
      <c r="H17">
        <f t="shared" si="1"/>
        <v>0.43</v>
      </c>
      <c r="I17" s="14">
        <f t="shared" si="2"/>
        <v>2E-3</v>
      </c>
    </row>
    <row r="18" spans="1:9" x14ac:dyDescent="0.25">
      <c r="A18" t="s">
        <v>19</v>
      </c>
      <c r="B18" t="s">
        <v>30</v>
      </c>
      <c r="C18" s="10"/>
      <c r="D18" s="10"/>
      <c r="E18" s="10">
        <v>320</v>
      </c>
      <c r="F18" s="10"/>
      <c r="G18" s="10">
        <f t="shared" si="0"/>
        <v>320</v>
      </c>
      <c r="H18">
        <f t="shared" si="1"/>
        <v>0.21</v>
      </c>
      <c r="I18" s="14">
        <f t="shared" si="2"/>
        <v>1E-3</v>
      </c>
    </row>
    <row r="19" spans="1:9" x14ac:dyDescent="0.25">
      <c r="A19" t="s">
        <v>19</v>
      </c>
      <c r="B19" t="s">
        <v>42</v>
      </c>
      <c r="C19" s="10"/>
      <c r="D19" s="10">
        <v>118</v>
      </c>
      <c r="E19" s="10"/>
      <c r="F19" s="10"/>
      <c r="G19" s="10">
        <f t="shared" si="0"/>
        <v>118</v>
      </c>
      <c r="H19">
        <f t="shared" si="1"/>
        <v>0.08</v>
      </c>
      <c r="I19" s="14">
        <f t="shared" si="2"/>
        <v>0</v>
      </c>
    </row>
    <row r="20" spans="1:9" x14ac:dyDescent="0.25">
      <c r="A20" t="s">
        <v>19</v>
      </c>
      <c r="B20" t="s">
        <v>34</v>
      </c>
      <c r="C20" s="10"/>
      <c r="D20" s="10"/>
      <c r="E20" s="10">
        <v>440</v>
      </c>
      <c r="F20" s="10"/>
      <c r="G20" s="10">
        <f t="shared" si="0"/>
        <v>440</v>
      </c>
      <c r="H20">
        <f t="shared" si="1"/>
        <v>0.28000000000000003</v>
      </c>
      <c r="I20" s="14">
        <f t="shared" si="2"/>
        <v>1E-3</v>
      </c>
    </row>
    <row r="21" spans="1:9" x14ac:dyDescent="0.25">
      <c r="A21" t="s">
        <v>19</v>
      </c>
      <c r="B21" t="s">
        <v>35</v>
      </c>
      <c r="C21" s="10"/>
      <c r="D21" s="10"/>
      <c r="E21" s="10">
        <v>700</v>
      </c>
      <c r="F21" s="10"/>
      <c r="G21" s="10">
        <f t="shared" si="0"/>
        <v>700</v>
      </c>
      <c r="H21">
        <f t="shared" si="1"/>
        <v>0.45</v>
      </c>
      <c r="I21" s="14">
        <f t="shared" si="2"/>
        <v>2E-3</v>
      </c>
    </row>
    <row r="22" spans="1:9" x14ac:dyDescent="0.25">
      <c r="A22" t="s">
        <v>19</v>
      </c>
      <c r="B22" t="s">
        <v>40</v>
      </c>
      <c r="C22" s="10"/>
      <c r="D22" s="10"/>
      <c r="E22" s="10">
        <v>1580</v>
      </c>
      <c r="F22" s="10"/>
      <c r="G22" s="10">
        <f t="shared" si="0"/>
        <v>1580</v>
      </c>
      <c r="H22">
        <f t="shared" si="1"/>
        <v>1.02</v>
      </c>
      <c r="I22" s="14">
        <f t="shared" si="2"/>
        <v>5.0000000000000001E-3</v>
      </c>
    </row>
    <row r="23" spans="1:9" x14ac:dyDescent="0.25">
      <c r="A23" t="s">
        <v>19</v>
      </c>
      <c r="B23" t="s">
        <v>36</v>
      </c>
      <c r="C23" s="10"/>
      <c r="D23" s="10"/>
      <c r="E23" s="10">
        <v>13610</v>
      </c>
      <c r="F23" s="10"/>
      <c r="G23" s="10">
        <f t="shared" si="0"/>
        <v>13610</v>
      </c>
      <c r="H23">
        <f t="shared" si="1"/>
        <v>8.81</v>
      </c>
      <c r="I23" s="14">
        <f t="shared" si="2"/>
        <v>4.5999999999999999E-2</v>
      </c>
    </row>
    <row r="24" spans="1:9" x14ac:dyDescent="0.25">
      <c r="A24" t="s">
        <v>19</v>
      </c>
      <c r="B24" t="s">
        <v>37</v>
      </c>
      <c r="C24" s="10"/>
      <c r="D24" s="10"/>
      <c r="E24" s="10">
        <v>755</v>
      </c>
      <c r="F24" s="10"/>
      <c r="G24" s="10">
        <f t="shared" si="0"/>
        <v>755</v>
      </c>
      <c r="H24">
        <f t="shared" si="1"/>
        <v>0.49</v>
      </c>
      <c r="I24" s="14">
        <f t="shared" si="2"/>
        <v>3.0000000000000001E-3</v>
      </c>
    </row>
    <row r="25" spans="1:9" x14ac:dyDescent="0.25">
      <c r="A25" t="s">
        <v>19</v>
      </c>
      <c r="B25" t="s">
        <v>38</v>
      </c>
      <c r="C25" s="10"/>
      <c r="D25" s="10"/>
      <c r="E25" s="10">
        <v>2560</v>
      </c>
      <c r="F25" s="10"/>
      <c r="G25" s="10">
        <f t="shared" si="0"/>
        <v>2560</v>
      </c>
      <c r="H25">
        <f t="shared" si="1"/>
        <v>1.66</v>
      </c>
      <c r="I25" s="14">
        <f t="shared" si="2"/>
        <v>8.9999999999999993E-3</v>
      </c>
    </row>
    <row r="26" spans="1:9" x14ac:dyDescent="0.25">
      <c r="A26" t="s">
        <v>19</v>
      </c>
      <c r="B26" t="s">
        <v>39</v>
      </c>
      <c r="C26" s="10"/>
      <c r="D26" s="10"/>
      <c r="E26" s="10">
        <v>23260</v>
      </c>
      <c r="F26" s="10"/>
      <c r="G26" s="10">
        <f t="shared" si="0"/>
        <v>23260</v>
      </c>
      <c r="H26">
        <f t="shared" si="1"/>
        <v>15.06</v>
      </c>
      <c r="I26" s="14">
        <f t="shared" si="2"/>
        <v>7.8E-2</v>
      </c>
    </row>
    <row r="27" spans="1:9" x14ac:dyDescent="0.25">
      <c r="A27" t="s">
        <v>19</v>
      </c>
      <c r="B27" t="s">
        <v>33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67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76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19</v>
      </c>
      <c r="B30" t="s">
        <v>22</v>
      </c>
      <c r="C30" s="10"/>
      <c r="D30" s="10"/>
      <c r="E30" s="10"/>
      <c r="F30" s="10"/>
      <c r="G30" s="10">
        <f t="shared" si="0"/>
        <v>0</v>
      </c>
      <c r="H30">
        <f t="shared" si="1"/>
        <v>0</v>
      </c>
      <c r="I30" s="14">
        <f t="shared" si="2"/>
        <v>0</v>
      </c>
    </row>
    <row r="31" spans="1:9" x14ac:dyDescent="0.25">
      <c r="A31" t="s">
        <v>43</v>
      </c>
      <c r="B31" t="s">
        <v>44</v>
      </c>
      <c r="C31" s="10">
        <v>72700</v>
      </c>
      <c r="D31" s="10"/>
      <c r="E31" s="10"/>
      <c r="F31" s="10"/>
      <c r="G31" s="10">
        <f t="shared" si="0"/>
        <v>72700</v>
      </c>
      <c r="H31">
        <f t="shared" si="1"/>
        <v>47.09</v>
      </c>
      <c r="I31" s="14">
        <f t="shared" si="2"/>
        <v>0.24299999999999999</v>
      </c>
    </row>
    <row r="32" spans="1:9" x14ac:dyDescent="0.25">
      <c r="A32" t="s">
        <v>43</v>
      </c>
      <c r="B32" t="s">
        <v>46</v>
      </c>
      <c r="C32" s="10"/>
      <c r="D32" s="10"/>
      <c r="E32" s="10"/>
      <c r="F32" s="10">
        <v>15220</v>
      </c>
      <c r="G32" s="10">
        <f t="shared" si="0"/>
        <v>15220</v>
      </c>
      <c r="H32">
        <f t="shared" si="1"/>
        <v>9.86</v>
      </c>
      <c r="I32" s="14">
        <f t="shared" si="2"/>
        <v>5.0999999999999997E-2</v>
      </c>
    </row>
    <row r="33" spans="1:9" x14ac:dyDescent="0.25">
      <c r="A33" t="s">
        <v>43</v>
      </c>
      <c r="B33" t="s">
        <v>45</v>
      </c>
      <c r="C33" s="10"/>
      <c r="D33" s="10"/>
      <c r="E33" s="10">
        <v>6180</v>
      </c>
      <c r="F33" s="10"/>
      <c r="G33" s="10">
        <f t="shared" si="0"/>
        <v>6180</v>
      </c>
      <c r="H33">
        <f t="shared" si="1"/>
        <v>4</v>
      </c>
      <c r="I33" s="14">
        <f t="shared" si="2"/>
        <v>2.1000000000000001E-2</v>
      </c>
    </row>
    <row r="34" spans="1:9" x14ac:dyDescent="0.25">
      <c r="A34" s="3" t="s">
        <v>253</v>
      </c>
      <c r="B34" s="3"/>
      <c r="C34" s="8">
        <f t="shared" ref="C34:H34" si="3">SUM(C8:C33)</f>
        <v>232200</v>
      </c>
      <c r="D34" s="8">
        <f t="shared" si="3"/>
        <v>118</v>
      </c>
      <c r="E34" s="8">
        <f t="shared" si="3"/>
        <v>51005</v>
      </c>
      <c r="F34" s="8">
        <f t="shared" si="3"/>
        <v>15520</v>
      </c>
      <c r="G34" s="8">
        <f t="shared" si="3"/>
        <v>298843</v>
      </c>
      <c r="H34" s="3">
        <f t="shared" si="3"/>
        <v>193.53000000000003</v>
      </c>
    </row>
    <row r="35" spans="1:9" x14ac:dyDescent="0.25">
      <c r="A35" s="3" t="s">
        <v>14</v>
      </c>
      <c r="B35" s="3"/>
      <c r="C35" s="13">
        <f>ROUND(C34/G34,2)</f>
        <v>0.78</v>
      </c>
      <c r="D35" s="13">
        <f>ROUND(D34/G34,2)</f>
        <v>0</v>
      </c>
      <c r="E35" s="13">
        <f>ROUND(E34/G34,2)</f>
        <v>0.17</v>
      </c>
      <c r="F35" s="13">
        <f>ROUND(F34/G34,2)</f>
        <v>0.05</v>
      </c>
      <c r="G35" s="3"/>
      <c r="H35" s="3"/>
    </row>
    <row r="36" spans="1:9" x14ac:dyDescent="0.25">
      <c r="A36" s="3" t="s">
        <v>47</v>
      </c>
      <c r="B36" s="3"/>
      <c r="C36" s="3"/>
      <c r="D36" s="3"/>
      <c r="E36" s="3"/>
      <c r="F36" s="3"/>
      <c r="G36" s="3"/>
      <c r="H36" s="3"/>
    </row>
    <row r="37" spans="1:9" x14ac:dyDescent="0.25">
      <c r="A37" s="3" t="s">
        <v>48</v>
      </c>
      <c r="B37" s="3"/>
      <c r="C37" s="8">
        <v>159500</v>
      </c>
      <c r="D37" s="8">
        <v>118</v>
      </c>
      <c r="E37" s="8">
        <v>44825</v>
      </c>
      <c r="F37" s="8">
        <v>300</v>
      </c>
      <c r="G37" s="8">
        <f>SUM(C37:F37)</f>
        <v>204743</v>
      </c>
      <c r="H37" s="3">
        <f>ROUND(G37/1544,2)</f>
        <v>132.61000000000001</v>
      </c>
    </row>
    <row r="38" spans="1:9" x14ac:dyDescent="0.25">
      <c r="A38" s="3" t="s">
        <v>49</v>
      </c>
      <c r="B38" s="3"/>
      <c r="C38" s="8">
        <v>72700</v>
      </c>
      <c r="D38" s="8">
        <v>0</v>
      </c>
      <c r="E38" s="8">
        <v>6180</v>
      </c>
      <c r="F38" s="8">
        <v>15220</v>
      </c>
      <c r="G38" s="8">
        <f>SUM(C38:F38)</f>
        <v>94100</v>
      </c>
      <c r="H38" s="3">
        <f>ROUND(G38/1544,2)</f>
        <v>60.95</v>
      </c>
    </row>
    <row r="39" spans="1:9" x14ac:dyDescent="0.25">
      <c r="A39" s="3" t="s">
        <v>50</v>
      </c>
      <c r="B39" s="3"/>
      <c r="C39" s="3"/>
      <c r="D39" s="3"/>
      <c r="E39" s="3"/>
      <c r="F39" s="3"/>
      <c r="G39" s="3">
        <f>SUM(C39:F39)</f>
        <v>0</v>
      </c>
      <c r="H39" s="3">
        <f>ROUND(G39/1544,2)</f>
        <v>0</v>
      </c>
    </row>
    <row r="40" spans="1:9" x14ac:dyDescent="0.25">
      <c r="A40" s="3"/>
      <c r="B40" s="3"/>
      <c r="C40" s="3"/>
      <c r="D40" s="3"/>
      <c r="E40" s="3"/>
      <c r="F40" s="3"/>
      <c r="G40" s="3"/>
      <c r="H40" s="3"/>
    </row>
    <row r="41" spans="1:9" x14ac:dyDescent="0.25">
      <c r="A41" s="3"/>
      <c r="B41" s="3"/>
      <c r="C41" s="3" t="s">
        <v>2</v>
      </c>
      <c r="D41" s="3">
        <v>2022</v>
      </c>
      <c r="E41" s="3" t="s">
        <v>51</v>
      </c>
      <c r="F41" s="3"/>
      <c r="G41" s="3"/>
      <c r="H41" s="3"/>
    </row>
    <row r="42" spans="1:9" x14ac:dyDescent="0.25">
      <c r="A42" s="3" t="s">
        <v>52</v>
      </c>
      <c r="B42" s="3"/>
      <c r="C42" s="13">
        <v>0.75670000000000004</v>
      </c>
      <c r="D42" s="13">
        <v>0.73150000000000004</v>
      </c>
      <c r="E42" s="13">
        <v>0.77659999999999996</v>
      </c>
      <c r="F42" s="3"/>
      <c r="G42" s="3"/>
      <c r="H42" s="3"/>
    </row>
    <row r="43" spans="1:9" x14ac:dyDescent="0.25">
      <c r="A43" s="3" t="s">
        <v>53</v>
      </c>
      <c r="B43" s="3"/>
      <c r="C43" s="13">
        <v>0.74709999999999999</v>
      </c>
      <c r="D43" s="13">
        <v>0.72130000000000005</v>
      </c>
      <c r="E43" s="13">
        <v>0.75900000000000001</v>
      </c>
      <c r="F43" s="3"/>
      <c r="G43" s="3"/>
      <c r="H43" s="3"/>
    </row>
    <row r="44" spans="1:9" x14ac:dyDescent="0.25">
      <c r="A44" s="3"/>
      <c r="B44" s="3"/>
      <c r="C44" s="3"/>
      <c r="D44" s="3"/>
      <c r="E44" s="3"/>
      <c r="F44" s="3"/>
      <c r="G44" s="3"/>
      <c r="H44" s="3"/>
    </row>
    <row r="45" spans="1:9" x14ac:dyDescent="0.25">
      <c r="A45" s="5" t="s">
        <v>256</v>
      </c>
      <c r="B45" s="3"/>
      <c r="C45" s="3" t="s">
        <v>2</v>
      </c>
      <c r="D45" s="3" t="s">
        <v>88</v>
      </c>
      <c r="E45" s="3" t="s">
        <v>55</v>
      </c>
      <c r="F45" s="3" t="s">
        <v>254</v>
      </c>
      <c r="G45" s="3"/>
      <c r="H45" s="3"/>
    </row>
    <row r="46" spans="1:9" x14ac:dyDescent="0.25">
      <c r="A46" s="3" t="s">
        <v>56</v>
      </c>
      <c r="B46" s="3"/>
      <c r="C46" s="3"/>
      <c r="D46" s="3">
        <v>88.58</v>
      </c>
      <c r="E46" s="3">
        <v>81.5</v>
      </c>
      <c r="F46" s="3">
        <v>50.61</v>
      </c>
      <c r="G46" s="3"/>
      <c r="H46" s="3"/>
    </row>
    <row r="47" spans="1:9" x14ac:dyDescent="0.25">
      <c r="A47" s="3" t="s">
        <v>57</v>
      </c>
      <c r="B47" s="3"/>
      <c r="C47" s="3"/>
      <c r="D47" s="3">
        <v>95.15</v>
      </c>
      <c r="E47" s="3">
        <v>58.24</v>
      </c>
      <c r="F47" s="3">
        <v>57.37</v>
      </c>
      <c r="G47" s="3"/>
      <c r="H47" s="3"/>
    </row>
    <row r="48" spans="1:9" x14ac:dyDescent="0.25">
      <c r="A48" s="3" t="s">
        <v>58</v>
      </c>
      <c r="B48" s="3"/>
      <c r="C48" s="3"/>
      <c r="D48" s="3">
        <v>262.8</v>
      </c>
      <c r="E48" s="3">
        <v>261.52999999999997</v>
      </c>
      <c r="F48" s="3">
        <v>249.57</v>
      </c>
      <c r="G48" s="3"/>
      <c r="H48" s="3"/>
    </row>
    <row r="49" spans="1:8" x14ac:dyDescent="0.25">
      <c r="A49" s="3" t="s">
        <v>59</v>
      </c>
      <c r="B49" s="3"/>
      <c r="C49" s="3"/>
      <c r="D49" s="3">
        <v>109.17</v>
      </c>
      <c r="E49" s="3">
        <v>103.11</v>
      </c>
      <c r="F49" s="3">
        <v>71.400000000000006</v>
      </c>
      <c r="G49" s="3"/>
      <c r="H4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62"/>
  <sheetViews>
    <sheetView topLeftCell="A33" workbookViewId="0">
      <selection activeCell="G59" sqref="G59:G62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5703125" bestFit="1" customWidth="1"/>
    <col min="4" max="4" width="29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89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7862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20</v>
      </c>
      <c r="G9" s="10">
        <f t="shared" ref="G9:G46" si="0">SUM(C9:F9)</f>
        <v>20</v>
      </c>
      <c r="H9">
        <f t="shared" ref="H9:H46" si="1">ROUND(G9/7862,2)</f>
        <v>0</v>
      </c>
      <c r="I9" s="14">
        <f t="shared" ref="I9:I40" si="2">ROUND(G9/$G$47,3)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1130</v>
      </c>
      <c r="G10" s="10">
        <f t="shared" si="0"/>
        <v>1130</v>
      </c>
      <c r="H10">
        <f t="shared" si="1"/>
        <v>0.14000000000000001</v>
      </c>
      <c r="I10" s="14">
        <f t="shared" si="2"/>
        <v>1E-3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63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85</v>
      </c>
      <c r="F13" s="10"/>
      <c r="G13" s="10">
        <f t="shared" si="0"/>
        <v>85</v>
      </c>
      <c r="H13">
        <f t="shared" si="1"/>
        <v>0.01</v>
      </c>
      <c r="I13" s="14">
        <f t="shared" si="2"/>
        <v>0</v>
      </c>
    </row>
    <row r="14" spans="1:9" x14ac:dyDescent="0.25">
      <c r="A14" t="s">
        <v>19</v>
      </c>
      <c r="B14" t="s">
        <v>70</v>
      </c>
      <c r="C14" s="10"/>
      <c r="D14" s="10"/>
      <c r="E14" s="10"/>
      <c r="F14" s="10">
        <v>12320</v>
      </c>
      <c r="G14" s="10">
        <f t="shared" si="0"/>
        <v>12320</v>
      </c>
      <c r="H14">
        <f t="shared" si="1"/>
        <v>1.57</v>
      </c>
      <c r="I14" s="14">
        <f t="shared" si="2"/>
        <v>8.9999999999999993E-3</v>
      </c>
    </row>
    <row r="15" spans="1:9" x14ac:dyDescent="0.25">
      <c r="A15" t="s">
        <v>19</v>
      </c>
      <c r="B15" t="s">
        <v>20</v>
      </c>
      <c r="C15" s="10">
        <v>120050</v>
      </c>
      <c r="D15" s="10"/>
      <c r="E15" s="10">
        <v>4110</v>
      </c>
      <c r="F15" s="10">
        <v>70</v>
      </c>
      <c r="G15" s="10">
        <f t="shared" si="0"/>
        <v>124230</v>
      </c>
      <c r="H15">
        <f t="shared" si="1"/>
        <v>15.8</v>
      </c>
      <c r="I15" s="14">
        <f t="shared" si="2"/>
        <v>9.2999999999999999E-2</v>
      </c>
    </row>
    <row r="16" spans="1:9" x14ac:dyDescent="0.25">
      <c r="A16" t="s">
        <v>19</v>
      </c>
      <c r="B16" t="s">
        <v>21</v>
      </c>
      <c r="C16" s="10">
        <v>138760</v>
      </c>
      <c r="D16" s="10"/>
      <c r="E16" s="10"/>
      <c r="F16" s="10"/>
      <c r="G16" s="10">
        <f t="shared" si="0"/>
        <v>138760</v>
      </c>
      <c r="H16">
        <f t="shared" si="1"/>
        <v>17.649999999999999</v>
      </c>
      <c r="I16" s="14">
        <f t="shared" si="2"/>
        <v>0.10299999999999999</v>
      </c>
    </row>
    <row r="17" spans="1:9" x14ac:dyDescent="0.25">
      <c r="A17" t="s">
        <v>19</v>
      </c>
      <c r="B17" t="s">
        <v>41</v>
      </c>
      <c r="C17" s="10"/>
      <c r="D17" s="10"/>
      <c r="E17" s="10">
        <v>140</v>
      </c>
      <c r="F17" s="10"/>
      <c r="G17" s="10">
        <f t="shared" si="0"/>
        <v>140</v>
      </c>
      <c r="H17">
        <f t="shared" si="1"/>
        <v>0.02</v>
      </c>
      <c r="I17" s="14">
        <f t="shared" si="2"/>
        <v>0</v>
      </c>
    </row>
    <row r="18" spans="1:9" x14ac:dyDescent="0.25">
      <c r="A18" t="s">
        <v>19</v>
      </c>
      <c r="B18" t="s">
        <v>22</v>
      </c>
      <c r="C18" s="10"/>
      <c r="D18" s="10"/>
      <c r="E18" s="10">
        <v>2100</v>
      </c>
      <c r="F18" s="10"/>
      <c r="G18" s="10">
        <f t="shared" si="0"/>
        <v>2100</v>
      </c>
      <c r="H18">
        <f t="shared" si="1"/>
        <v>0.27</v>
      </c>
      <c r="I18" s="14">
        <f t="shared" si="2"/>
        <v>2E-3</v>
      </c>
    </row>
    <row r="19" spans="1:9" x14ac:dyDescent="0.25">
      <c r="A19" t="s">
        <v>19</v>
      </c>
      <c r="B19" t="s">
        <v>77</v>
      </c>
      <c r="C19" s="10"/>
      <c r="D19" s="10"/>
      <c r="E19" s="10"/>
      <c r="F19" s="10">
        <v>160</v>
      </c>
      <c r="G19" s="10">
        <f t="shared" si="0"/>
        <v>160</v>
      </c>
      <c r="H19">
        <f t="shared" si="1"/>
        <v>0.02</v>
      </c>
      <c r="I19" s="14">
        <f t="shared" si="2"/>
        <v>0</v>
      </c>
    </row>
    <row r="20" spans="1:9" x14ac:dyDescent="0.25">
      <c r="A20" t="s">
        <v>19</v>
      </c>
      <c r="B20" t="s">
        <v>23</v>
      </c>
      <c r="C20" s="10"/>
      <c r="D20" s="10"/>
      <c r="E20" s="10">
        <v>32780</v>
      </c>
      <c r="F20" s="10"/>
      <c r="G20" s="10">
        <f t="shared" si="0"/>
        <v>32780</v>
      </c>
      <c r="H20">
        <f t="shared" si="1"/>
        <v>4.17</v>
      </c>
      <c r="I20" s="14">
        <f t="shared" si="2"/>
        <v>2.4E-2</v>
      </c>
    </row>
    <row r="21" spans="1:9" x14ac:dyDescent="0.25">
      <c r="A21" t="s">
        <v>19</v>
      </c>
      <c r="B21" t="s">
        <v>24</v>
      </c>
      <c r="C21" s="10">
        <v>179270</v>
      </c>
      <c r="D21" s="10"/>
      <c r="E21" s="10">
        <v>11060</v>
      </c>
      <c r="F21" s="10">
        <v>50</v>
      </c>
      <c r="G21" s="10">
        <f t="shared" si="0"/>
        <v>190380</v>
      </c>
      <c r="H21">
        <f t="shared" si="1"/>
        <v>24.22</v>
      </c>
      <c r="I21" s="14">
        <f t="shared" si="2"/>
        <v>0.14199999999999999</v>
      </c>
    </row>
    <row r="22" spans="1:9" x14ac:dyDescent="0.25">
      <c r="A22" t="s">
        <v>19</v>
      </c>
      <c r="B22" t="s">
        <v>66</v>
      </c>
      <c r="C22" s="10"/>
      <c r="D22" s="10"/>
      <c r="E22" s="10">
        <v>2670</v>
      </c>
      <c r="F22" s="10"/>
      <c r="G22" s="10">
        <f t="shared" si="0"/>
        <v>2670</v>
      </c>
      <c r="H22">
        <f t="shared" si="1"/>
        <v>0.34</v>
      </c>
      <c r="I22" s="14">
        <f t="shared" si="2"/>
        <v>2E-3</v>
      </c>
    </row>
    <row r="23" spans="1:9" x14ac:dyDescent="0.25">
      <c r="A23" t="s">
        <v>19</v>
      </c>
      <c r="B23" t="s">
        <v>25</v>
      </c>
      <c r="C23" s="10">
        <v>263860</v>
      </c>
      <c r="D23" s="10"/>
      <c r="E23" s="10"/>
      <c r="F23" s="10">
        <v>100</v>
      </c>
      <c r="G23" s="10">
        <f t="shared" si="0"/>
        <v>263960</v>
      </c>
      <c r="H23">
        <f t="shared" si="1"/>
        <v>33.57</v>
      </c>
      <c r="I23" s="14">
        <f t="shared" si="2"/>
        <v>0.19700000000000001</v>
      </c>
    </row>
    <row r="24" spans="1:9" x14ac:dyDescent="0.25">
      <c r="A24" t="s">
        <v>19</v>
      </c>
      <c r="B24" t="s">
        <v>26</v>
      </c>
      <c r="C24" s="10"/>
      <c r="D24" s="10"/>
      <c r="E24" s="10">
        <v>1449</v>
      </c>
      <c r="F24" s="10"/>
      <c r="G24" s="10">
        <f t="shared" si="0"/>
        <v>1449</v>
      </c>
      <c r="H24">
        <f t="shared" si="1"/>
        <v>0.18</v>
      </c>
      <c r="I24" s="14">
        <f t="shared" si="2"/>
        <v>1E-3</v>
      </c>
    </row>
    <row r="25" spans="1:9" x14ac:dyDescent="0.25">
      <c r="A25" t="s">
        <v>19</v>
      </c>
      <c r="B25" t="s">
        <v>27</v>
      </c>
      <c r="C25" s="10"/>
      <c r="D25" s="10"/>
      <c r="E25" s="10">
        <v>1217</v>
      </c>
      <c r="F25" s="10"/>
      <c r="G25" s="10">
        <f t="shared" si="0"/>
        <v>1217</v>
      </c>
      <c r="H25">
        <f t="shared" si="1"/>
        <v>0.15</v>
      </c>
      <c r="I25" s="14">
        <f t="shared" si="2"/>
        <v>1E-3</v>
      </c>
    </row>
    <row r="26" spans="1:9" x14ac:dyDescent="0.25">
      <c r="A26" t="s">
        <v>19</v>
      </c>
      <c r="B26" t="s">
        <v>28</v>
      </c>
      <c r="C26" s="10"/>
      <c r="D26" s="10"/>
      <c r="E26" s="10">
        <v>129</v>
      </c>
      <c r="F26" s="10"/>
      <c r="G26" s="10">
        <f t="shared" si="0"/>
        <v>129</v>
      </c>
      <c r="H26">
        <f t="shared" si="1"/>
        <v>0.02</v>
      </c>
      <c r="I26" s="14">
        <f t="shared" si="2"/>
        <v>0</v>
      </c>
    </row>
    <row r="27" spans="1:9" x14ac:dyDescent="0.25">
      <c r="A27" t="s">
        <v>19</v>
      </c>
      <c r="B27" t="s">
        <v>29</v>
      </c>
      <c r="C27" s="10"/>
      <c r="D27" s="10"/>
      <c r="E27" s="10">
        <v>3330</v>
      </c>
      <c r="F27" s="10"/>
      <c r="G27" s="10">
        <f t="shared" si="0"/>
        <v>3330</v>
      </c>
      <c r="H27">
        <f t="shared" si="1"/>
        <v>0.42</v>
      </c>
      <c r="I27" s="14">
        <f t="shared" si="2"/>
        <v>2E-3</v>
      </c>
    </row>
    <row r="28" spans="1:9" x14ac:dyDescent="0.25">
      <c r="A28" t="s">
        <v>19</v>
      </c>
      <c r="B28" t="s">
        <v>30</v>
      </c>
      <c r="C28" s="10"/>
      <c r="D28" s="10"/>
      <c r="E28" s="10">
        <v>1210</v>
      </c>
      <c r="F28" s="10"/>
      <c r="G28" s="10">
        <f t="shared" si="0"/>
        <v>1210</v>
      </c>
      <c r="H28">
        <f t="shared" si="1"/>
        <v>0.15</v>
      </c>
      <c r="I28" s="14">
        <f t="shared" si="2"/>
        <v>1E-3</v>
      </c>
    </row>
    <row r="29" spans="1:9" x14ac:dyDescent="0.25">
      <c r="A29" t="s">
        <v>19</v>
      </c>
      <c r="B29" t="s">
        <v>31</v>
      </c>
      <c r="C29" s="10"/>
      <c r="D29" s="10"/>
      <c r="E29" s="10">
        <v>310</v>
      </c>
      <c r="F29" s="10"/>
      <c r="G29" s="10">
        <f t="shared" si="0"/>
        <v>310</v>
      </c>
      <c r="H29">
        <f t="shared" si="1"/>
        <v>0.04</v>
      </c>
      <c r="I29" s="14">
        <f t="shared" si="2"/>
        <v>0</v>
      </c>
    </row>
    <row r="30" spans="1:9" x14ac:dyDescent="0.25">
      <c r="A30" t="s">
        <v>19</v>
      </c>
      <c r="B30" t="s">
        <v>32</v>
      </c>
      <c r="C30" s="10"/>
      <c r="D30" s="10"/>
      <c r="E30" s="10">
        <v>1055</v>
      </c>
      <c r="F30" s="10"/>
      <c r="G30" s="10">
        <f t="shared" si="0"/>
        <v>1055</v>
      </c>
      <c r="H30">
        <f t="shared" si="1"/>
        <v>0.13</v>
      </c>
      <c r="I30" s="14">
        <f t="shared" si="2"/>
        <v>1E-3</v>
      </c>
    </row>
    <row r="31" spans="1:9" x14ac:dyDescent="0.25">
      <c r="A31" t="s">
        <v>19</v>
      </c>
      <c r="B31" t="s">
        <v>42</v>
      </c>
      <c r="C31" s="10"/>
      <c r="D31" s="10">
        <v>397</v>
      </c>
      <c r="E31" s="10"/>
      <c r="F31" s="10"/>
      <c r="G31" s="10">
        <f t="shared" si="0"/>
        <v>397</v>
      </c>
      <c r="H31">
        <f t="shared" si="1"/>
        <v>0.05</v>
      </c>
      <c r="I31" s="14">
        <f t="shared" si="2"/>
        <v>0</v>
      </c>
    </row>
    <row r="32" spans="1:9" x14ac:dyDescent="0.25">
      <c r="A32" t="s">
        <v>19</v>
      </c>
      <c r="B32" t="s">
        <v>67</v>
      </c>
      <c r="C32" s="10"/>
      <c r="D32" s="10"/>
      <c r="E32" s="10">
        <v>670</v>
      </c>
      <c r="F32" s="10"/>
      <c r="G32" s="10">
        <f t="shared" si="0"/>
        <v>670</v>
      </c>
      <c r="H32">
        <f t="shared" si="1"/>
        <v>0.09</v>
      </c>
      <c r="I32" s="14">
        <f t="shared" si="2"/>
        <v>0</v>
      </c>
    </row>
    <row r="33" spans="1:9" x14ac:dyDescent="0.25">
      <c r="A33" t="s">
        <v>19</v>
      </c>
      <c r="B33" t="s">
        <v>33</v>
      </c>
      <c r="C33" s="10"/>
      <c r="D33" s="10"/>
      <c r="E33" s="10">
        <v>1045</v>
      </c>
      <c r="F33" s="10"/>
      <c r="G33" s="10">
        <f t="shared" si="0"/>
        <v>1045</v>
      </c>
      <c r="H33">
        <f t="shared" si="1"/>
        <v>0.13</v>
      </c>
      <c r="I33" s="14">
        <f t="shared" si="2"/>
        <v>1E-3</v>
      </c>
    </row>
    <row r="34" spans="1:9" x14ac:dyDescent="0.25">
      <c r="A34" t="s">
        <v>19</v>
      </c>
      <c r="B34" t="s">
        <v>34</v>
      </c>
      <c r="C34" s="10"/>
      <c r="D34" s="10"/>
      <c r="E34" s="10">
        <v>3320</v>
      </c>
      <c r="F34" s="10"/>
      <c r="G34" s="10">
        <f t="shared" si="0"/>
        <v>3320</v>
      </c>
      <c r="H34">
        <f t="shared" si="1"/>
        <v>0.42</v>
      </c>
      <c r="I34" s="14">
        <f t="shared" si="2"/>
        <v>2E-3</v>
      </c>
    </row>
    <row r="35" spans="1:9" x14ac:dyDescent="0.25">
      <c r="A35" t="s">
        <v>19</v>
      </c>
      <c r="B35" t="s">
        <v>40</v>
      </c>
      <c r="C35" s="10"/>
      <c r="D35" s="10"/>
      <c r="E35" s="10">
        <v>12403</v>
      </c>
      <c r="F35" s="10"/>
      <c r="G35" s="10">
        <f t="shared" si="0"/>
        <v>12403</v>
      </c>
      <c r="H35">
        <f t="shared" si="1"/>
        <v>1.58</v>
      </c>
      <c r="I35" s="14">
        <f t="shared" si="2"/>
        <v>8.9999999999999993E-3</v>
      </c>
    </row>
    <row r="36" spans="1:9" x14ac:dyDescent="0.25">
      <c r="A36" t="s">
        <v>19</v>
      </c>
      <c r="B36" t="s">
        <v>35</v>
      </c>
      <c r="C36" s="10"/>
      <c r="D36" s="10"/>
      <c r="E36" s="10">
        <v>2720</v>
      </c>
      <c r="F36" s="10"/>
      <c r="G36" s="10">
        <f t="shared" si="0"/>
        <v>2720</v>
      </c>
      <c r="H36">
        <f t="shared" si="1"/>
        <v>0.35</v>
      </c>
      <c r="I36" s="14">
        <f t="shared" si="2"/>
        <v>2E-3</v>
      </c>
    </row>
    <row r="37" spans="1:9" x14ac:dyDescent="0.25">
      <c r="A37" t="s">
        <v>19</v>
      </c>
      <c r="B37" t="s">
        <v>36</v>
      </c>
      <c r="C37" s="10"/>
      <c r="D37" s="10"/>
      <c r="E37" s="10">
        <v>67460</v>
      </c>
      <c r="F37" s="10">
        <v>30</v>
      </c>
      <c r="G37" s="10">
        <f t="shared" si="0"/>
        <v>67490</v>
      </c>
      <c r="H37">
        <f t="shared" si="1"/>
        <v>8.58</v>
      </c>
      <c r="I37" s="14">
        <f t="shared" si="2"/>
        <v>0.05</v>
      </c>
    </row>
    <row r="38" spans="1:9" x14ac:dyDescent="0.25">
      <c r="A38" t="s">
        <v>19</v>
      </c>
      <c r="B38" t="s">
        <v>37</v>
      </c>
      <c r="C38" s="10"/>
      <c r="D38" s="10"/>
      <c r="E38" s="10">
        <v>6625</v>
      </c>
      <c r="F38" s="10"/>
      <c r="G38" s="10">
        <f t="shared" si="0"/>
        <v>6625</v>
      </c>
      <c r="H38">
        <f t="shared" si="1"/>
        <v>0.84</v>
      </c>
      <c r="I38" s="14">
        <f t="shared" si="2"/>
        <v>5.0000000000000001E-3</v>
      </c>
    </row>
    <row r="39" spans="1:9" x14ac:dyDescent="0.25">
      <c r="A39" t="s">
        <v>19</v>
      </c>
      <c r="B39" t="s">
        <v>38</v>
      </c>
      <c r="C39" s="10"/>
      <c r="D39" s="10"/>
      <c r="E39" s="10">
        <v>16170</v>
      </c>
      <c r="F39" s="10">
        <v>10</v>
      </c>
      <c r="G39" s="10">
        <f t="shared" si="0"/>
        <v>16180</v>
      </c>
      <c r="H39">
        <f t="shared" si="1"/>
        <v>2.06</v>
      </c>
      <c r="I39" s="14">
        <f t="shared" si="2"/>
        <v>1.2E-2</v>
      </c>
    </row>
    <row r="40" spans="1:9" x14ac:dyDescent="0.25">
      <c r="A40" t="s">
        <v>19</v>
      </c>
      <c r="B40" t="s">
        <v>39</v>
      </c>
      <c r="C40" s="10"/>
      <c r="D40" s="10"/>
      <c r="E40" s="10">
        <v>168890</v>
      </c>
      <c r="F40" s="10">
        <v>1180</v>
      </c>
      <c r="G40" s="10">
        <f t="shared" si="0"/>
        <v>170070</v>
      </c>
      <c r="H40">
        <f t="shared" si="1"/>
        <v>21.63</v>
      </c>
      <c r="I40" s="14">
        <f t="shared" si="2"/>
        <v>0.127</v>
      </c>
    </row>
    <row r="41" spans="1:9" x14ac:dyDescent="0.25">
      <c r="A41" t="s">
        <v>19</v>
      </c>
      <c r="B41" t="s">
        <v>76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ROUND(G41/$G$47,3)</f>
        <v>0</v>
      </c>
    </row>
    <row r="42" spans="1:9" x14ac:dyDescent="0.25">
      <c r="A42" t="s">
        <v>19</v>
      </c>
      <c r="B42" t="s">
        <v>90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>ROUND(G42/$G$47,3)</f>
        <v>0</v>
      </c>
    </row>
    <row r="43" spans="1:9" x14ac:dyDescent="0.25">
      <c r="A43" t="s">
        <v>19</v>
      </c>
      <c r="B43" t="s">
        <v>91</v>
      </c>
      <c r="C43" s="10"/>
      <c r="D43" s="10"/>
      <c r="E43" s="10"/>
      <c r="F43" s="10"/>
      <c r="G43" s="10">
        <f t="shared" si="0"/>
        <v>0</v>
      </c>
      <c r="H43">
        <f t="shared" si="1"/>
        <v>0</v>
      </c>
      <c r="I43" s="14">
        <f>ROUND(G43/$G$47,3)</f>
        <v>0</v>
      </c>
    </row>
    <row r="44" spans="1:9" x14ac:dyDescent="0.25">
      <c r="A44" t="s">
        <v>43</v>
      </c>
      <c r="B44" t="s">
        <v>44</v>
      </c>
      <c r="C44" s="10">
        <v>202030</v>
      </c>
      <c r="D44" s="10"/>
      <c r="E44" s="10"/>
      <c r="F44" s="10">
        <v>910</v>
      </c>
      <c r="G44" s="10">
        <f t="shared" si="0"/>
        <v>202940</v>
      </c>
      <c r="H44">
        <f t="shared" si="1"/>
        <v>25.81</v>
      </c>
      <c r="I44" s="14">
        <f>ROUND(G44/$G$47,3)</f>
        <v>0.151</v>
      </c>
    </row>
    <row r="45" spans="1:9" x14ac:dyDescent="0.25">
      <c r="A45" t="s">
        <v>43</v>
      </c>
      <c r="B45" t="s">
        <v>46</v>
      </c>
      <c r="C45" s="10"/>
      <c r="D45" s="10"/>
      <c r="E45" s="10"/>
      <c r="F45" s="10">
        <v>40255</v>
      </c>
      <c r="G45" s="10">
        <f t="shared" si="0"/>
        <v>40255</v>
      </c>
      <c r="H45">
        <f t="shared" si="1"/>
        <v>5.12</v>
      </c>
      <c r="I45" s="14">
        <f>ROUND(G45/$G$47,3)</f>
        <v>0.03</v>
      </c>
    </row>
    <row r="46" spans="1:9" x14ac:dyDescent="0.25">
      <c r="A46" t="s">
        <v>43</v>
      </c>
      <c r="B46" t="s">
        <v>45</v>
      </c>
      <c r="C46" s="10"/>
      <c r="D46" s="10"/>
      <c r="E46" s="10">
        <v>40080</v>
      </c>
      <c r="F46" s="10"/>
      <c r="G46" s="10">
        <f t="shared" si="0"/>
        <v>40080</v>
      </c>
      <c r="H46">
        <f t="shared" si="1"/>
        <v>5.0999999999999996</v>
      </c>
      <c r="I46" s="14">
        <f>ROUND(G46/$G$47,3)</f>
        <v>0.03</v>
      </c>
    </row>
    <row r="47" spans="1:9" x14ac:dyDescent="0.25">
      <c r="A47" s="3" t="s">
        <v>253</v>
      </c>
      <c r="B47" s="3"/>
      <c r="C47" s="8">
        <f t="shared" ref="C47:H47" si="4">SUM(C8:C46)</f>
        <v>903970</v>
      </c>
      <c r="D47" s="8">
        <f t="shared" si="4"/>
        <v>397</v>
      </c>
      <c r="E47" s="8">
        <f t="shared" si="4"/>
        <v>381028</v>
      </c>
      <c r="F47" s="8">
        <f t="shared" si="4"/>
        <v>56235</v>
      </c>
      <c r="G47" s="8">
        <f t="shared" si="4"/>
        <v>1341630</v>
      </c>
      <c r="H47" s="3">
        <f t="shared" si="4"/>
        <v>170.63000000000002</v>
      </c>
    </row>
    <row r="48" spans="1:9" x14ac:dyDescent="0.25">
      <c r="A48" s="3" t="s">
        <v>14</v>
      </c>
      <c r="B48" s="3"/>
      <c r="C48" s="13">
        <f>ROUND(C47/G47,2)</f>
        <v>0.67</v>
      </c>
      <c r="D48" s="13">
        <f>ROUND(D47/G47,2)</f>
        <v>0</v>
      </c>
      <c r="E48" s="13">
        <f>ROUND(E47/G47,2)</f>
        <v>0.28000000000000003</v>
      </c>
      <c r="F48" s="13">
        <f>ROUND(F47/G47,2)</f>
        <v>0.04</v>
      </c>
      <c r="G48" s="3"/>
      <c r="H48" s="3"/>
    </row>
    <row r="49" spans="1:8" x14ac:dyDescent="0.25">
      <c r="A49" s="3" t="s">
        <v>47</v>
      </c>
      <c r="B49" s="3"/>
      <c r="C49" s="3"/>
      <c r="D49" s="3"/>
      <c r="E49" s="3"/>
      <c r="F49" s="3"/>
      <c r="G49" s="3"/>
      <c r="H49" s="3"/>
    </row>
    <row r="50" spans="1:8" x14ac:dyDescent="0.25">
      <c r="A50" s="3" t="s">
        <v>48</v>
      </c>
      <c r="B50" s="3"/>
      <c r="C50" s="8">
        <v>701940</v>
      </c>
      <c r="D50" s="8">
        <v>397</v>
      </c>
      <c r="E50" s="8">
        <v>340948</v>
      </c>
      <c r="F50" s="8">
        <v>13920</v>
      </c>
      <c r="G50" s="8">
        <f>SUM(C50:F50)</f>
        <v>1057205</v>
      </c>
      <c r="H50" s="3">
        <f>ROUND(G50/7862,2)</f>
        <v>134.47</v>
      </c>
    </row>
    <row r="51" spans="1:8" x14ac:dyDescent="0.25">
      <c r="A51" s="3" t="s">
        <v>49</v>
      </c>
      <c r="B51" s="3"/>
      <c r="C51" s="8">
        <v>202030</v>
      </c>
      <c r="D51" s="8">
        <v>0</v>
      </c>
      <c r="E51" s="8">
        <v>40080</v>
      </c>
      <c r="F51" s="8">
        <v>41165</v>
      </c>
      <c r="G51" s="8">
        <f>SUM(C51:F51)</f>
        <v>283275</v>
      </c>
      <c r="H51" s="3">
        <f>ROUND(G51/7862,2)</f>
        <v>36.03</v>
      </c>
    </row>
    <row r="52" spans="1:8" x14ac:dyDescent="0.25">
      <c r="A52" s="3" t="s">
        <v>50</v>
      </c>
      <c r="B52" s="3"/>
      <c r="C52" s="8">
        <v>0</v>
      </c>
      <c r="D52" s="8">
        <v>0</v>
      </c>
      <c r="E52" s="8">
        <v>0</v>
      </c>
      <c r="F52" s="8">
        <v>1150</v>
      </c>
      <c r="G52" s="8">
        <f>SUM(C52:F52)</f>
        <v>1150</v>
      </c>
      <c r="H52" s="3">
        <f>ROUND(G52/7862,2)</f>
        <v>0.15</v>
      </c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 t="s">
        <v>2</v>
      </c>
      <c r="D54" s="3">
        <v>2022</v>
      </c>
      <c r="E54" s="3" t="s">
        <v>51</v>
      </c>
      <c r="F54" s="3"/>
      <c r="G54" s="3"/>
      <c r="H54" s="3"/>
    </row>
    <row r="55" spans="1:8" x14ac:dyDescent="0.25">
      <c r="A55" s="3" t="s">
        <v>52</v>
      </c>
      <c r="B55" s="3"/>
      <c r="C55" s="13">
        <v>0.84460000000000002</v>
      </c>
      <c r="D55" s="13">
        <v>0.83299999999999996</v>
      </c>
      <c r="E55" s="13">
        <v>0.77659999999999996</v>
      </c>
      <c r="F55" s="3"/>
      <c r="G55" s="3"/>
      <c r="H55" s="3"/>
    </row>
    <row r="56" spans="1:8" x14ac:dyDescent="0.25">
      <c r="A56" s="3" t="s">
        <v>53</v>
      </c>
      <c r="B56" s="3"/>
      <c r="C56" s="13">
        <v>0.83220000000000005</v>
      </c>
      <c r="D56" s="13">
        <v>0.81950000000000001</v>
      </c>
      <c r="E56" s="13">
        <v>0.75900000000000001</v>
      </c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5" t="s">
        <v>256</v>
      </c>
      <c r="B58" s="3"/>
      <c r="C58" s="3" t="s">
        <v>2</v>
      </c>
      <c r="D58" s="3" t="s">
        <v>92</v>
      </c>
      <c r="E58" s="3" t="s">
        <v>55</v>
      </c>
      <c r="F58" s="3" t="s">
        <v>254</v>
      </c>
      <c r="G58" s="3"/>
      <c r="H58" s="3"/>
    </row>
    <row r="59" spans="1:8" x14ac:dyDescent="0.25">
      <c r="A59" s="3" t="s">
        <v>56</v>
      </c>
      <c r="B59" s="3"/>
      <c r="C59" s="3"/>
      <c r="D59" s="3">
        <v>44.54</v>
      </c>
      <c r="E59" s="3">
        <v>81.5</v>
      </c>
      <c r="F59" s="3">
        <v>50.61</v>
      </c>
      <c r="G59" s="3"/>
      <c r="H59" s="3"/>
    </row>
    <row r="60" spans="1:8" x14ac:dyDescent="0.25">
      <c r="A60" s="3" t="s">
        <v>57</v>
      </c>
      <c r="B60" s="3"/>
      <c r="C60" s="3"/>
      <c r="D60" s="3">
        <v>60.1</v>
      </c>
      <c r="E60" s="3">
        <v>58.24</v>
      </c>
      <c r="F60" s="3">
        <v>57.37</v>
      </c>
      <c r="G60" s="3"/>
      <c r="H60" s="3"/>
    </row>
    <row r="61" spans="1:8" x14ac:dyDescent="0.25">
      <c r="A61" s="3" t="s">
        <v>58</v>
      </c>
      <c r="B61" s="3"/>
      <c r="C61" s="3"/>
      <c r="D61" s="3">
        <v>228.66</v>
      </c>
      <c r="E61" s="3">
        <v>261.52999999999997</v>
      </c>
      <c r="F61" s="3">
        <v>249.57</v>
      </c>
      <c r="G61" s="3"/>
      <c r="H61" s="3"/>
    </row>
    <row r="62" spans="1:8" x14ac:dyDescent="0.25">
      <c r="A62" s="3" t="s">
        <v>59</v>
      </c>
      <c r="B62" s="3"/>
      <c r="C62" s="3"/>
      <c r="D62" s="3">
        <v>61.36</v>
      </c>
      <c r="E62" s="3">
        <v>103.11</v>
      </c>
      <c r="F62" s="3">
        <v>71.400000000000006</v>
      </c>
      <c r="G62" s="3"/>
      <c r="H6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50"/>
  <sheetViews>
    <sheetView topLeftCell="A27" workbookViewId="0">
      <selection activeCell="G47" sqref="G47:G50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31.42578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93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942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14460</v>
      </c>
      <c r="D9" s="10"/>
      <c r="E9" s="10">
        <v>1436.85</v>
      </c>
      <c r="F9" s="10"/>
      <c r="G9" s="10">
        <f t="shared" ref="G9:G34" si="0">SUM(C9:F9)</f>
        <v>15896.85</v>
      </c>
      <c r="H9">
        <f t="shared" ref="H9:H34" si="1">ROUND(G9/942,2)</f>
        <v>16.88</v>
      </c>
      <c r="I9" s="14">
        <f t="shared" ref="I9:I34" si="2">ROUND(G9/$G$35,3)</f>
        <v>9.5000000000000001E-2</v>
      </c>
    </row>
    <row r="10" spans="1:9" x14ac:dyDescent="0.25">
      <c r="A10" t="s">
        <v>19</v>
      </c>
      <c r="B10" t="s">
        <v>21</v>
      </c>
      <c r="C10" s="10">
        <v>22900</v>
      </c>
      <c r="D10" s="10"/>
      <c r="E10" s="10">
        <v>616.11</v>
      </c>
      <c r="F10" s="10"/>
      <c r="G10" s="10">
        <f t="shared" si="0"/>
        <v>23516.11</v>
      </c>
      <c r="H10">
        <f t="shared" si="1"/>
        <v>24.96</v>
      </c>
      <c r="I10" s="14">
        <f t="shared" si="2"/>
        <v>0.14099999999999999</v>
      </c>
    </row>
    <row r="11" spans="1:9" x14ac:dyDescent="0.25">
      <c r="A11" t="s">
        <v>19</v>
      </c>
      <c r="B11" t="s">
        <v>41</v>
      </c>
      <c r="C11" s="10"/>
      <c r="D11" s="10"/>
      <c r="E11" s="10">
        <v>10.38</v>
      </c>
      <c r="F11" s="10"/>
      <c r="G11" s="10">
        <f t="shared" si="0"/>
        <v>10.38</v>
      </c>
      <c r="H11">
        <f t="shared" si="1"/>
        <v>0.01</v>
      </c>
      <c r="I11" s="14">
        <f t="shared" si="2"/>
        <v>0</v>
      </c>
    </row>
    <row r="12" spans="1:9" x14ac:dyDescent="0.25">
      <c r="A12" t="s">
        <v>19</v>
      </c>
      <c r="B12" t="s">
        <v>22</v>
      </c>
      <c r="C12" s="10"/>
      <c r="D12" s="10"/>
      <c r="E12" s="10">
        <v>156.25</v>
      </c>
      <c r="F12" s="10"/>
      <c r="G12" s="10">
        <f t="shared" si="0"/>
        <v>156.25</v>
      </c>
      <c r="H12">
        <f t="shared" si="1"/>
        <v>0.17</v>
      </c>
      <c r="I12" s="14">
        <f t="shared" si="2"/>
        <v>1E-3</v>
      </c>
    </row>
    <row r="13" spans="1:9" x14ac:dyDescent="0.25">
      <c r="A13" t="s">
        <v>19</v>
      </c>
      <c r="B13" t="s">
        <v>23</v>
      </c>
      <c r="C13" s="10"/>
      <c r="D13" s="10"/>
      <c r="E13" s="10">
        <v>14471.28</v>
      </c>
      <c r="F13" s="10"/>
      <c r="G13" s="10">
        <f t="shared" si="0"/>
        <v>14471.28</v>
      </c>
      <c r="H13">
        <f t="shared" si="1"/>
        <v>15.36</v>
      </c>
      <c r="I13" s="14">
        <f t="shared" si="2"/>
        <v>8.6999999999999994E-2</v>
      </c>
    </row>
    <row r="14" spans="1:9" x14ac:dyDescent="0.25">
      <c r="A14" t="s">
        <v>19</v>
      </c>
      <c r="B14" t="s">
        <v>24</v>
      </c>
      <c r="C14" s="10">
        <v>17650</v>
      </c>
      <c r="D14" s="10"/>
      <c r="E14" s="10">
        <v>2608.8200000000002</v>
      </c>
      <c r="F14" s="10"/>
      <c r="G14" s="10">
        <f t="shared" si="0"/>
        <v>20258.82</v>
      </c>
      <c r="H14">
        <f t="shared" si="1"/>
        <v>21.51</v>
      </c>
      <c r="I14" s="14">
        <f t="shared" si="2"/>
        <v>0.121</v>
      </c>
    </row>
    <row r="15" spans="1:9" x14ac:dyDescent="0.25">
      <c r="A15" t="s">
        <v>19</v>
      </c>
      <c r="B15" t="s">
        <v>25</v>
      </c>
      <c r="C15" s="10">
        <v>21520</v>
      </c>
      <c r="D15" s="10"/>
      <c r="E15" s="10"/>
      <c r="F15" s="10"/>
      <c r="G15" s="10">
        <f t="shared" si="0"/>
        <v>21520</v>
      </c>
      <c r="H15">
        <f t="shared" si="1"/>
        <v>22.85</v>
      </c>
      <c r="I15" s="14">
        <f t="shared" si="2"/>
        <v>0.129</v>
      </c>
    </row>
    <row r="16" spans="1:9" x14ac:dyDescent="0.25">
      <c r="A16" t="s">
        <v>19</v>
      </c>
      <c r="B16" t="s">
        <v>28</v>
      </c>
      <c r="C16" s="10"/>
      <c r="D16" s="10"/>
      <c r="E16" s="10">
        <v>25.87</v>
      </c>
      <c r="F16" s="10"/>
      <c r="G16" s="10">
        <f t="shared" si="0"/>
        <v>25.87</v>
      </c>
      <c r="H16">
        <f t="shared" si="1"/>
        <v>0.03</v>
      </c>
      <c r="I16" s="14">
        <f t="shared" si="2"/>
        <v>0</v>
      </c>
    </row>
    <row r="17" spans="1:9" x14ac:dyDescent="0.25">
      <c r="A17" t="s">
        <v>19</v>
      </c>
      <c r="B17" t="s">
        <v>29</v>
      </c>
      <c r="C17" s="10"/>
      <c r="D17" s="10"/>
      <c r="E17" s="10">
        <v>431.82</v>
      </c>
      <c r="F17" s="10"/>
      <c r="G17" s="10">
        <f t="shared" si="0"/>
        <v>431.82</v>
      </c>
      <c r="H17">
        <f t="shared" si="1"/>
        <v>0.46</v>
      </c>
      <c r="I17" s="14">
        <f t="shared" si="2"/>
        <v>3.0000000000000001E-3</v>
      </c>
    </row>
    <row r="18" spans="1:9" x14ac:dyDescent="0.25">
      <c r="A18" t="s">
        <v>19</v>
      </c>
      <c r="B18" t="s">
        <v>30</v>
      </c>
      <c r="C18" s="10"/>
      <c r="D18" s="10"/>
      <c r="E18" s="10">
        <v>118.46</v>
      </c>
      <c r="F18" s="10"/>
      <c r="G18" s="10">
        <f t="shared" si="0"/>
        <v>118.46</v>
      </c>
      <c r="H18">
        <f t="shared" si="1"/>
        <v>0.13</v>
      </c>
      <c r="I18" s="14">
        <f t="shared" si="2"/>
        <v>1E-3</v>
      </c>
    </row>
    <row r="19" spans="1:9" x14ac:dyDescent="0.25">
      <c r="A19" t="s">
        <v>19</v>
      </c>
      <c r="B19" t="s">
        <v>31</v>
      </c>
      <c r="C19" s="10"/>
      <c r="D19" s="10"/>
      <c r="E19" s="10">
        <v>16.48</v>
      </c>
      <c r="F19" s="10"/>
      <c r="G19" s="10">
        <f t="shared" si="0"/>
        <v>16.48</v>
      </c>
      <c r="H19">
        <f t="shared" si="1"/>
        <v>0.02</v>
      </c>
      <c r="I19" s="14">
        <f t="shared" si="2"/>
        <v>0</v>
      </c>
    </row>
    <row r="20" spans="1:9" x14ac:dyDescent="0.25">
      <c r="A20" t="s">
        <v>19</v>
      </c>
      <c r="B20" t="s">
        <v>32</v>
      </c>
      <c r="C20" s="10"/>
      <c r="D20" s="10"/>
      <c r="E20" s="10">
        <v>742.88</v>
      </c>
      <c r="F20" s="10"/>
      <c r="G20" s="10">
        <f t="shared" si="0"/>
        <v>742.88</v>
      </c>
      <c r="H20">
        <f t="shared" si="1"/>
        <v>0.79</v>
      </c>
      <c r="I20" s="14">
        <f t="shared" si="2"/>
        <v>4.0000000000000001E-3</v>
      </c>
    </row>
    <row r="21" spans="1:9" x14ac:dyDescent="0.25">
      <c r="A21" t="s">
        <v>19</v>
      </c>
      <c r="B21" t="s">
        <v>33</v>
      </c>
      <c r="C21" s="10"/>
      <c r="D21" s="10"/>
      <c r="E21" s="10">
        <v>20.66</v>
      </c>
      <c r="F21" s="10"/>
      <c r="G21" s="10">
        <f t="shared" si="0"/>
        <v>20.66</v>
      </c>
      <c r="H21">
        <f t="shared" si="1"/>
        <v>0.02</v>
      </c>
      <c r="I21" s="14">
        <f t="shared" si="2"/>
        <v>0</v>
      </c>
    </row>
    <row r="22" spans="1:9" x14ac:dyDescent="0.25">
      <c r="A22" t="s">
        <v>19</v>
      </c>
      <c r="B22" t="s">
        <v>34</v>
      </c>
      <c r="C22" s="10"/>
      <c r="D22" s="10"/>
      <c r="E22" s="10">
        <v>702.45</v>
      </c>
      <c r="F22" s="10"/>
      <c r="G22" s="10">
        <f t="shared" si="0"/>
        <v>702.45</v>
      </c>
      <c r="H22">
        <f t="shared" si="1"/>
        <v>0.75</v>
      </c>
      <c r="I22" s="14">
        <f t="shared" si="2"/>
        <v>4.0000000000000001E-3</v>
      </c>
    </row>
    <row r="23" spans="1:9" x14ac:dyDescent="0.25">
      <c r="A23" t="s">
        <v>19</v>
      </c>
      <c r="B23" t="s">
        <v>35</v>
      </c>
      <c r="C23" s="10"/>
      <c r="D23" s="10"/>
      <c r="E23" s="10">
        <v>617.96</v>
      </c>
      <c r="F23" s="10"/>
      <c r="G23" s="10">
        <f t="shared" si="0"/>
        <v>617.96</v>
      </c>
      <c r="H23">
        <f t="shared" si="1"/>
        <v>0.66</v>
      </c>
      <c r="I23" s="14">
        <f t="shared" si="2"/>
        <v>4.0000000000000001E-3</v>
      </c>
    </row>
    <row r="24" spans="1:9" x14ac:dyDescent="0.25">
      <c r="A24" t="s">
        <v>19</v>
      </c>
      <c r="B24" t="s">
        <v>36</v>
      </c>
      <c r="C24" s="10"/>
      <c r="D24" s="10"/>
      <c r="E24" s="10">
        <v>8165.47</v>
      </c>
      <c r="F24" s="10"/>
      <c r="G24" s="10">
        <f t="shared" si="0"/>
        <v>8165.47</v>
      </c>
      <c r="H24">
        <f t="shared" si="1"/>
        <v>8.67</v>
      </c>
      <c r="I24" s="14">
        <f t="shared" si="2"/>
        <v>4.9000000000000002E-2</v>
      </c>
    </row>
    <row r="25" spans="1:9" x14ac:dyDescent="0.25">
      <c r="A25" t="s">
        <v>19</v>
      </c>
      <c r="B25" t="s">
        <v>37</v>
      </c>
      <c r="C25" s="10"/>
      <c r="D25" s="10"/>
      <c r="E25" s="10">
        <v>1100.26</v>
      </c>
      <c r="F25" s="10"/>
      <c r="G25" s="10">
        <f t="shared" si="0"/>
        <v>1100.26</v>
      </c>
      <c r="H25">
        <f t="shared" si="1"/>
        <v>1.17</v>
      </c>
      <c r="I25" s="14">
        <f t="shared" si="2"/>
        <v>7.0000000000000001E-3</v>
      </c>
    </row>
    <row r="26" spans="1:9" x14ac:dyDescent="0.25">
      <c r="A26" t="s">
        <v>19</v>
      </c>
      <c r="B26" t="s">
        <v>38</v>
      </c>
      <c r="C26" s="10"/>
      <c r="D26" s="10"/>
      <c r="E26" s="10">
        <v>4485.29</v>
      </c>
      <c r="F26" s="10"/>
      <c r="G26" s="10">
        <f t="shared" si="0"/>
        <v>4485.29</v>
      </c>
      <c r="H26">
        <f t="shared" si="1"/>
        <v>4.76</v>
      </c>
      <c r="I26" s="14">
        <f t="shared" si="2"/>
        <v>2.7E-2</v>
      </c>
    </row>
    <row r="27" spans="1:9" x14ac:dyDescent="0.25">
      <c r="A27" t="s">
        <v>19</v>
      </c>
      <c r="B27" t="s">
        <v>39</v>
      </c>
      <c r="C27" s="10"/>
      <c r="D27" s="10"/>
      <c r="E27" s="10">
        <v>7987</v>
      </c>
      <c r="F27" s="10"/>
      <c r="G27" s="10">
        <f t="shared" si="0"/>
        <v>7987</v>
      </c>
      <c r="H27">
        <f t="shared" si="1"/>
        <v>8.48</v>
      </c>
      <c r="I27" s="14">
        <f t="shared" si="2"/>
        <v>4.8000000000000001E-2</v>
      </c>
    </row>
    <row r="28" spans="1:9" x14ac:dyDescent="0.25">
      <c r="A28" t="s">
        <v>19</v>
      </c>
      <c r="B28" t="s">
        <v>42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71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43</v>
      </c>
      <c r="B30" t="s">
        <v>44</v>
      </c>
      <c r="C30" s="10">
        <v>35870</v>
      </c>
      <c r="D30" s="10"/>
      <c r="E30" s="10"/>
      <c r="F30" s="10"/>
      <c r="G30" s="10">
        <f t="shared" si="0"/>
        <v>35870</v>
      </c>
      <c r="H30">
        <f t="shared" si="1"/>
        <v>38.08</v>
      </c>
      <c r="I30" s="14">
        <f t="shared" si="2"/>
        <v>0.215</v>
      </c>
    </row>
    <row r="31" spans="1:9" x14ac:dyDescent="0.25">
      <c r="A31" t="s">
        <v>43</v>
      </c>
      <c r="B31" t="s">
        <v>45</v>
      </c>
      <c r="C31" s="10"/>
      <c r="D31" s="10"/>
      <c r="E31" s="10">
        <v>10787.89</v>
      </c>
      <c r="F31" s="10"/>
      <c r="G31" s="10">
        <f t="shared" si="0"/>
        <v>10787.89</v>
      </c>
      <c r="H31">
        <f t="shared" si="1"/>
        <v>11.45</v>
      </c>
      <c r="I31" s="14">
        <f t="shared" si="2"/>
        <v>6.5000000000000002E-2</v>
      </c>
    </row>
    <row r="32" spans="1:9" x14ac:dyDescent="0.25">
      <c r="A32" t="s">
        <v>43</v>
      </c>
      <c r="B32" t="s">
        <v>46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15</v>
      </c>
      <c r="B33" t="s">
        <v>63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15</v>
      </c>
      <c r="B34" t="s">
        <v>18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s="3" t="s">
        <v>253</v>
      </c>
      <c r="B35" s="3"/>
      <c r="C35" s="8">
        <f t="shared" ref="C35:H35" si="3">SUM(C8:C34)</f>
        <v>112400</v>
      </c>
      <c r="D35" s="8">
        <f t="shared" si="3"/>
        <v>0</v>
      </c>
      <c r="E35" s="8">
        <f t="shared" si="3"/>
        <v>54502.18</v>
      </c>
      <c r="F35" s="8">
        <f t="shared" si="3"/>
        <v>0</v>
      </c>
      <c r="G35" s="8">
        <f t="shared" si="3"/>
        <v>166902.18</v>
      </c>
      <c r="H35" s="3">
        <f t="shared" si="3"/>
        <v>177.20999999999998</v>
      </c>
    </row>
    <row r="36" spans="1:9" x14ac:dyDescent="0.25">
      <c r="A36" s="3" t="s">
        <v>14</v>
      </c>
      <c r="B36" s="3"/>
      <c r="C36" s="13">
        <f>ROUND(C35/G35,2)</f>
        <v>0.67</v>
      </c>
      <c r="D36" s="13">
        <f>ROUND(D35/G35,2)</f>
        <v>0</v>
      </c>
      <c r="E36" s="13">
        <f>ROUND(E35/G35,2)</f>
        <v>0.33</v>
      </c>
      <c r="F36" s="13">
        <f>ROUND(F35/G35,2)</f>
        <v>0</v>
      </c>
      <c r="G36" s="3"/>
      <c r="H36" s="3"/>
    </row>
    <row r="37" spans="1:9" x14ac:dyDescent="0.25">
      <c r="A37" s="3" t="s">
        <v>47</v>
      </c>
      <c r="B37" s="3"/>
      <c r="C37" s="3"/>
      <c r="D37" s="3"/>
      <c r="E37" s="3"/>
      <c r="F37" s="3"/>
      <c r="G37" s="3"/>
      <c r="H37" s="3"/>
    </row>
    <row r="38" spans="1:9" x14ac:dyDescent="0.25">
      <c r="A38" s="3" t="s">
        <v>48</v>
      </c>
      <c r="B38" s="3"/>
      <c r="C38" s="8">
        <v>76530</v>
      </c>
      <c r="D38" s="8">
        <v>0</v>
      </c>
      <c r="E38" s="8">
        <v>43714.29</v>
      </c>
      <c r="F38" s="8">
        <v>0</v>
      </c>
      <c r="G38" s="8">
        <f>SUM(C38:F38)</f>
        <v>120244.29000000001</v>
      </c>
      <c r="H38" s="3">
        <f>ROUND(G38/942,2)</f>
        <v>127.65</v>
      </c>
    </row>
    <row r="39" spans="1:9" x14ac:dyDescent="0.25">
      <c r="A39" s="3" t="s">
        <v>49</v>
      </c>
      <c r="B39" s="3"/>
      <c r="C39" s="8">
        <v>35870</v>
      </c>
      <c r="D39" s="8">
        <v>0</v>
      </c>
      <c r="E39" s="8">
        <v>10787.89</v>
      </c>
      <c r="F39" s="8">
        <v>0</v>
      </c>
      <c r="G39" s="8">
        <f>SUM(C39:F39)</f>
        <v>46657.89</v>
      </c>
      <c r="H39" s="3">
        <f>ROUND(G39/942,2)</f>
        <v>49.53</v>
      </c>
    </row>
    <row r="40" spans="1:9" x14ac:dyDescent="0.25">
      <c r="A40" s="3" t="s">
        <v>50</v>
      </c>
      <c r="B40" s="3"/>
      <c r="C40" s="8">
        <v>0</v>
      </c>
      <c r="D40" s="8">
        <v>0</v>
      </c>
      <c r="E40" s="8">
        <v>0</v>
      </c>
      <c r="F40" s="8">
        <v>0</v>
      </c>
      <c r="G40" s="8">
        <f>SUM(C40:F40)</f>
        <v>0</v>
      </c>
      <c r="H40" s="3">
        <f>ROUND(G40/942,2)</f>
        <v>0</v>
      </c>
    </row>
    <row r="41" spans="1:9" x14ac:dyDescent="0.25">
      <c r="A41" s="3"/>
      <c r="B41" s="3"/>
      <c r="C41" s="3"/>
      <c r="D41" s="3"/>
      <c r="E41" s="3"/>
      <c r="F41" s="3"/>
      <c r="G41" s="3"/>
      <c r="H41" s="3"/>
    </row>
    <row r="42" spans="1:9" x14ac:dyDescent="0.25">
      <c r="A42" s="3"/>
      <c r="B42" s="3"/>
      <c r="C42" s="3" t="s">
        <v>2</v>
      </c>
      <c r="D42" s="3">
        <v>2022</v>
      </c>
      <c r="E42" s="3" t="s">
        <v>51</v>
      </c>
      <c r="F42" s="3"/>
      <c r="G42" s="3"/>
      <c r="H42" s="3"/>
    </row>
    <row r="43" spans="1:9" x14ac:dyDescent="0.25">
      <c r="A43" s="3" t="s">
        <v>52</v>
      </c>
      <c r="B43" s="3"/>
      <c r="C43" s="13">
        <v>0.76449999999999996</v>
      </c>
      <c r="D43" s="13">
        <v>0.74939999999999996</v>
      </c>
      <c r="E43" s="13">
        <v>0.77659999999999996</v>
      </c>
      <c r="F43" s="3"/>
      <c r="G43" s="3"/>
      <c r="H43" s="3"/>
    </row>
    <row r="44" spans="1:9" x14ac:dyDescent="0.25">
      <c r="A44" s="3" t="s">
        <v>53</v>
      </c>
      <c r="B44" s="3"/>
      <c r="C44" s="13">
        <v>0.76449999999999996</v>
      </c>
      <c r="D44" s="13">
        <v>0.7087</v>
      </c>
      <c r="E44" s="13">
        <v>0.75900000000000001</v>
      </c>
      <c r="F44" s="3"/>
      <c r="G44" s="3"/>
      <c r="H44" s="3"/>
    </row>
    <row r="45" spans="1:9" x14ac:dyDescent="0.25">
      <c r="A45" s="3"/>
      <c r="B45" s="3"/>
      <c r="C45" s="3"/>
      <c r="D45" s="3"/>
      <c r="E45" s="3"/>
      <c r="F45" s="3"/>
      <c r="G45" s="3"/>
      <c r="H45" s="3"/>
    </row>
    <row r="46" spans="1:9" x14ac:dyDescent="0.25">
      <c r="A46" s="5" t="s">
        <v>256</v>
      </c>
      <c r="B46" s="3"/>
      <c r="C46" s="3" t="s">
        <v>2</v>
      </c>
      <c r="D46" s="3" t="s">
        <v>94</v>
      </c>
      <c r="E46" s="3" t="s">
        <v>55</v>
      </c>
      <c r="F46" s="3" t="s">
        <v>254</v>
      </c>
      <c r="G46" s="3"/>
      <c r="H46" s="3"/>
    </row>
    <row r="47" spans="1:9" x14ac:dyDescent="0.25">
      <c r="A47" s="3" t="s">
        <v>56</v>
      </c>
      <c r="B47" s="3"/>
      <c r="C47" s="3"/>
      <c r="D47" s="3">
        <v>69.48</v>
      </c>
      <c r="E47" s="3">
        <v>81.5</v>
      </c>
      <c r="F47" s="3">
        <v>50.61</v>
      </c>
      <c r="G47" s="3"/>
      <c r="H47" s="3"/>
    </row>
    <row r="48" spans="1:9" x14ac:dyDescent="0.25">
      <c r="A48" s="3" t="s">
        <v>57</v>
      </c>
      <c r="B48" s="3"/>
      <c r="C48" s="3"/>
      <c r="D48" s="3">
        <v>41.5</v>
      </c>
      <c r="E48" s="3">
        <v>58.24</v>
      </c>
      <c r="F48" s="3">
        <v>57.37</v>
      </c>
      <c r="G48" s="3"/>
      <c r="H48" s="3"/>
    </row>
    <row r="49" spans="1:8" x14ac:dyDescent="0.25">
      <c r="A49" s="3" t="s">
        <v>58</v>
      </c>
      <c r="B49" s="3"/>
      <c r="C49" s="3"/>
      <c r="D49" s="3">
        <v>230.17</v>
      </c>
      <c r="E49" s="3">
        <v>261.52999999999997</v>
      </c>
      <c r="F49" s="3">
        <v>249.57</v>
      </c>
      <c r="G49" s="3"/>
      <c r="H49" s="3"/>
    </row>
    <row r="50" spans="1:8" x14ac:dyDescent="0.25">
      <c r="A50" s="3" t="s">
        <v>59</v>
      </c>
      <c r="B50" s="3"/>
      <c r="C50" s="3"/>
      <c r="D50" s="3">
        <v>88.65</v>
      </c>
      <c r="E50" s="3">
        <v>103.11</v>
      </c>
      <c r="F50" s="3">
        <v>71.400000000000006</v>
      </c>
      <c r="G50" s="3"/>
      <c r="H5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49"/>
  <sheetViews>
    <sheetView topLeftCell="A21" workbookViewId="0">
      <selection activeCell="G46" sqref="G46:G49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5.28515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95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635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7820</v>
      </c>
      <c r="D9" s="10"/>
      <c r="E9" s="10">
        <v>671.55</v>
      </c>
      <c r="F9" s="10"/>
      <c r="G9" s="10">
        <f t="shared" ref="G9:G33" si="0">SUM(C9:F9)</f>
        <v>8491.5499999999993</v>
      </c>
      <c r="H9">
        <f t="shared" ref="H9:H33" si="1">ROUND(G9/635,2)</f>
        <v>13.37</v>
      </c>
      <c r="I9" s="14">
        <f t="shared" ref="I9:I33" si="2">ROUND(G9/$G$34,3)</f>
        <v>7.5999999999999998E-2</v>
      </c>
    </row>
    <row r="10" spans="1:9" x14ac:dyDescent="0.25">
      <c r="A10" t="s">
        <v>19</v>
      </c>
      <c r="B10" t="s">
        <v>21</v>
      </c>
      <c r="C10" s="10">
        <v>8335</v>
      </c>
      <c r="D10" s="10"/>
      <c r="E10" s="10"/>
      <c r="F10" s="10"/>
      <c r="G10" s="10">
        <f t="shared" si="0"/>
        <v>8335</v>
      </c>
      <c r="H10">
        <f t="shared" si="1"/>
        <v>13.13</v>
      </c>
      <c r="I10" s="14">
        <f t="shared" si="2"/>
        <v>7.4999999999999997E-2</v>
      </c>
    </row>
    <row r="11" spans="1:9" x14ac:dyDescent="0.25">
      <c r="A11" t="s">
        <v>19</v>
      </c>
      <c r="B11" t="s">
        <v>41</v>
      </c>
      <c r="C11" s="10"/>
      <c r="D11" s="10"/>
      <c r="E11" s="10">
        <v>35.4</v>
      </c>
      <c r="F11" s="10"/>
      <c r="G11" s="10">
        <f t="shared" si="0"/>
        <v>35.4</v>
      </c>
      <c r="H11">
        <f t="shared" si="1"/>
        <v>0.06</v>
      </c>
      <c r="I11" s="14">
        <f t="shared" si="2"/>
        <v>0</v>
      </c>
    </row>
    <row r="12" spans="1:9" x14ac:dyDescent="0.25">
      <c r="A12" t="s">
        <v>19</v>
      </c>
      <c r="B12" t="s">
        <v>22</v>
      </c>
      <c r="C12" s="10"/>
      <c r="D12" s="10"/>
      <c r="E12" s="10">
        <v>285.70999999999998</v>
      </c>
      <c r="F12" s="10"/>
      <c r="G12" s="10">
        <f t="shared" si="0"/>
        <v>285.70999999999998</v>
      </c>
      <c r="H12">
        <f t="shared" si="1"/>
        <v>0.45</v>
      </c>
      <c r="I12" s="14">
        <f t="shared" si="2"/>
        <v>3.0000000000000001E-3</v>
      </c>
    </row>
    <row r="13" spans="1:9" x14ac:dyDescent="0.25">
      <c r="A13" t="s">
        <v>19</v>
      </c>
      <c r="B13" t="s">
        <v>23</v>
      </c>
      <c r="C13" s="10"/>
      <c r="D13" s="10"/>
      <c r="E13" s="10">
        <v>13826.77</v>
      </c>
      <c r="F13" s="10"/>
      <c r="G13" s="10">
        <f t="shared" si="0"/>
        <v>13826.77</v>
      </c>
      <c r="H13">
        <f t="shared" si="1"/>
        <v>21.77</v>
      </c>
      <c r="I13" s="14">
        <f t="shared" si="2"/>
        <v>0.125</v>
      </c>
    </row>
    <row r="14" spans="1:9" x14ac:dyDescent="0.25">
      <c r="A14" t="s">
        <v>19</v>
      </c>
      <c r="B14" t="s">
        <v>24</v>
      </c>
      <c r="C14" s="10">
        <v>9170</v>
      </c>
      <c r="D14" s="10"/>
      <c r="E14" s="10">
        <v>2359.9499999999998</v>
      </c>
      <c r="F14" s="10"/>
      <c r="G14" s="10">
        <f t="shared" si="0"/>
        <v>11529.95</v>
      </c>
      <c r="H14">
        <f t="shared" si="1"/>
        <v>18.16</v>
      </c>
      <c r="I14" s="14">
        <f t="shared" si="2"/>
        <v>0.104</v>
      </c>
    </row>
    <row r="15" spans="1:9" x14ac:dyDescent="0.25">
      <c r="A15" t="s">
        <v>19</v>
      </c>
      <c r="B15" t="s">
        <v>25</v>
      </c>
      <c r="C15" s="10">
        <v>11550</v>
      </c>
      <c r="D15" s="10"/>
      <c r="E15" s="10"/>
      <c r="F15" s="10"/>
      <c r="G15" s="10">
        <f t="shared" si="0"/>
        <v>11550</v>
      </c>
      <c r="H15">
        <f t="shared" si="1"/>
        <v>18.190000000000001</v>
      </c>
      <c r="I15" s="14">
        <f t="shared" si="2"/>
        <v>0.104</v>
      </c>
    </row>
    <row r="16" spans="1:9" x14ac:dyDescent="0.25">
      <c r="A16" t="s">
        <v>19</v>
      </c>
      <c r="B16" t="s">
        <v>28</v>
      </c>
      <c r="C16" s="10"/>
      <c r="D16" s="10"/>
      <c r="E16" s="10">
        <v>4.9000000000000004</v>
      </c>
      <c r="F16" s="10"/>
      <c r="G16" s="10">
        <f t="shared" si="0"/>
        <v>4.9000000000000004</v>
      </c>
      <c r="H16">
        <f t="shared" si="1"/>
        <v>0.01</v>
      </c>
      <c r="I16" s="14">
        <f t="shared" si="2"/>
        <v>0</v>
      </c>
    </row>
    <row r="17" spans="1:9" x14ac:dyDescent="0.25">
      <c r="A17" t="s">
        <v>19</v>
      </c>
      <c r="B17" t="s">
        <v>29</v>
      </c>
      <c r="C17" s="10"/>
      <c r="D17" s="10"/>
      <c r="E17" s="10">
        <v>481.98</v>
      </c>
      <c r="F17" s="10"/>
      <c r="G17" s="10">
        <f t="shared" si="0"/>
        <v>481.98</v>
      </c>
      <c r="H17">
        <f t="shared" si="1"/>
        <v>0.76</v>
      </c>
      <c r="I17" s="14">
        <f t="shared" si="2"/>
        <v>4.0000000000000001E-3</v>
      </c>
    </row>
    <row r="18" spans="1:9" x14ac:dyDescent="0.25">
      <c r="A18" t="s">
        <v>19</v>
      </c>
      <c r="B18" t="s">
        <v>30</v>
      </c>
      <c r="C18" s="10"/>
      <c r="D18" s="10"/>
      <c r="E18" s="10">
        <v>164.03</v>
      </c>
      <c r="F18" s="10"/>
      <c r="G18" s="10">
        <f t="shared" si="0"/>
        <v>164.03</v>
      </c>
      <c r="H18">
        <f t="shared" si="1"/>
        <v>0.26</v>
      </c>
      <c r="I18" s="14">
        <f t="shared" si="2"/>
        <v>1E-3</v>
      </c>
    </row>
    <row r="19" spans="1:9" x14ac:dyDescent="0.25">
      <c r="A19" t="s">
        <v>19</v>
      </c>
      <c r="B19" t="s">
        <v>32</v>
      </c>
      <c r="C19" s="10"/>
      <c r="D19" s="10"/>
      <c r="E19" s="10">
        <v>362.87</v>
      </c>
      <c r="F19" s="10"/>
      <c r="G19" s="10">
        <f t="shared" si="0"/>
        <v>362.87</v>
      </c>
      <c r="H19">
        <f t="shared" si="1"/>
        <v>0.56999999999999995</v>
      </c>
      <c r="I19" s="14">
        <f t="shared" si="2"/>
        <v>3.0000000000000001E-3</v>
      </c>
    </row>
    <row r="20" spans="1:9" x14ac:dyDescent="0.25">
      <c r="A20" t="s">
        <v>19</v>
      </c>
      <c r="B20" t="s">
        <v>42</v>
      </c>
      <c r="C20" s="10"/>
      <c r="D20" s="10"/>
      <c r="E20" s="10">
        <v>5.45</v>
      </c>
      <c r="F20" s="10"/>
      <c r="G20" s="10">
        <f t="shared" si="0"/>
        <v>5.45</v>
      </c>
      <c r="H20">
        <f t="shared" si="1"/>
        <v>0.01</v>
      </c>
      <c r="I20" s="14">
        <f t="shared" si="2"/>
        <v>0</v>
      </c>
    </row>
    <row r="21" spans="1:9" x14ac:dyDescent="0.25">
      <c r="A21" t="s">
        <v>19</v>
      </c>
      <c r="B21" t="s">
        <v>34</v>
      </c>
      <c r="C21" s="10"/>
      <c r="D21" s="10"/>
      <c r="E21" s="10">
        <v>464.09</v>
      </c>
      <c r="F21" s="10"/>
      <c r="G21" s="10">
        <f t="shared" si="0"/>
        <v>464.09</v>
      </c>
      <c r="H21">
        <f t="shared" si="1"/>
        <v>0.73</v>
      </c>
      <c r="I21" s="14">
        <f t="shared" si="2"/>
        <v>4.0000000000000001E-3</v>
      </c>
    </row>
    <row r="22" spans="1:9" x14ac:dyDescent="0.25">
      <c r="A22" t="s">
        <v>19</v>
      </c>
      <c r="B22" t="s">
        <v>35</v>
      </c>
      <c r="C22" s="10"/>
      <c r="D22" s="10"/>
      <c r="E22" s="10">
        <v>694.63</v>
      </c>
      <c r="F22" s="10"/>
      <c r="G22" s="10">
        <f t="shared" si="0"/>
        <v>694.63</v>
      </c>
      <c r="H22">
        <f t="shared" si="1"/>
        <v>1.0900000000000001</v>
      </c>
      <c r="I22" s="14">
        <f t="shared" si="2"/>
        <v>6.0000000000000001E-3</v>
      </c>
    </row>
    <row r="23" spans="1:9" x14ac:dyDescent="0.25">
      <c r="A23" t="s">
        <v>19</v>
      </c>
      <c r="B23" t="s">
        <v>36</v>
      </c>
      <c r="C23" s="10"/>
      <c r="D23" s="10"/>
      <c r="E23" s="10">
        <v>10144.31</v>
      </c>
      <c r="F23" s="10"/>
      <c r="G23" s="10">
        <f t="shared" si="0"/>
        <v>10144.31</v>
      </c>
      <c r="H23">
        <f t="shared" si="1"/>
        <v>15.98</v>
      </c>
      <c r="I23" s="14">
        <f t="shared" si="2"/>
        <v>9.0999999999999998E-2</v>
      </c>
    </row>
    <row r="24" spans="1:9" x14ac:dyDescent="0.25">
      <c r="A24" t="s">
        <v>19</v>
      </c>
      <c r="B24" t="s">
        <v>37</v>
      </c>
      <c r="C24" s="10"/>
      <c r="D24" s="10"/>
      <c r="E24" s="10">
        <v>550.29</v>
      </c>
      <c r="F24" s="10"/>
      <c r="G24" s="10">
        <f t="shared" si="0"/>
        <v>550.29</v>
      </c>
      <c r="H24">
        <f t="shared" si="1"/>
        <v>0.87</v>
      </c>
      <c r="I24" s="14">
        <f t="shared" si="2"/>
        <v>5.0000000000000001E-3</v>
      </c>
    </row>
    <row r="25" spans="1:9" x14ac:dyDescent="0.25">
      <c r="A25" t="s">
        <v>19</v>
      </c>
      <c r="B25" t="s">
        <v>38</v>
      </c>
      <c r="C25" s="10"/>
      <c r="D25" s="10"/>
      <c r="E25" s="10">
        <v>3150.74</v>
      </c>
      <c r="F25" s="10"/>
      <c r="G25" s="10">
        <f t="shared" si="0"/>
        <v>3150.74</v>
      </c>
      <c r="H25">
        <f t="shared" si="1"/>
        <v>4.96</v>
      </c>
      <c r="I25" s="14">
        <f t="shared" si="2"/>
        <v>2.8000000000000001E-2</v>
      </c>
    </row>
    <row r="26" spans="1:9" x14ac:dyDescent="0.25">
      <c r="A26" t="s">
        <v>19</v>
      </c>
      <c r="B26" t="s">
        <v>39</v>
      </c>
      <c r="C26" s="10"/>
      <c r="D26" s="10"/>
      <c r="E26" s="10">
        <v>2014.74</v>
      </c>
      <c r="F26" s="10"/>
      <c r="G26" s="10">
        <f t="shared" si="0"/>
        <v>2014.74</v>
      </c>
      <c r="H26">
        <f t="shared" si="1"/>
        <v>3.17</v>
      </c>
      <c r="I26" s="14">
        <f t="shared" si="2"/>
        <v>1.7999999999999999E-2</v>
      </c>
    </row>
    <row r="27" spans="1:9" x14ac:dyDescent="0.25">
      <c r="A27" t="s">
        <v>19</v>
      </c>
      <c r="B27" t="s">
        <v>33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71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31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43</v>
      </c>
      <c r="B30" t="s">
        <v>44</v>
      </c>
      <c r="C30" s="10">
        <v>33470</v>
      </c>
      <c r="D30" s="10"/>
      <c r="E30" s="10"/>
      <c r="F30" s="10"/>
      <c r="G30" s="10">
        <f t="shared" si="0"/>
        <v>33470</v>
      </c>
      <c r="H30">
        <f t="shared" si="1"/>
        <v>52.71</v>
      </c>
      <c r="I30" s="14">
        <f t="shared" si="2"/>
        <v>0.30199999999999999</v>
      </c>
    </row>
    <row r="31" spans="1:9" x14ac:dyDescent="0.25">
      <c r="A31" t="s">
        <v>43</v>
      </c>
      <c r="B31" t="s">
        <v>45</v>
      </c>
      <c r="C31" s="10"/>
      <c r="D31" s="10"/>
      <c r="E31" s="10">
        <v>5447.32</v>
      </c>
      <c r="F31" s="10"/>
      <c r="G31" s="10">
        <f t="shared" si="0"/>
        <v>5447.32</v>
      </c>
      <c r="H31">
        <f t="shared" si="1"/>
        <v>8.58</v>
      </c>
      <c r="I31" s="14">
        <f t="shared" si="2"/>
        <v>4.9000000000000002E-2</v>
      </c>
    </row>
    <row r="32" spans="1:9" x14ac:dyDescent="0.25">
      <c r="A32" t="s">
        <v>43</v>
      </c>
      <c r="B32" t="s">
        <v>46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15</v>
      </c>
      <c r="B33" t="s">
        <v>18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s="3" t="s">
        <v>253</v>
      </c>
      <c r="B34" s="3"/>
      <c r="C34" s="8">
        <f t="shared" ref="C34:H34" si="3">SUM(C8:C33)</f>
        <v>70345</v>
      </c>
      <c r="D34" s="8">
        <f t="shared" si="3"/>
        <v>0</v>
      </c>
      <c r="E34" s="8">
        <f t="shared" si="3"/>
        <v>40664.729999999996</v>
      </c>
      <c r="F34" s="8">
        <f t="shared" si="3"/>
        <v>0</v>
      </c>
      <c r="G34" s="8">
        <f t="shared" si="3"/>
        <v>111009.73000000001</v>
      </c>
      <c r="H34" s="3">
        <f t="shared" si="3"/>
        <v>174.83000000000004</v>
      </c>
    </row>
    <row r="35" spans="1:9" x14ac:dyDescent="0.25">
      <c r="A35" s="3" t="s">
        <v>14</v>
      </c>
      <c r="B35" s="3"/>
      <c r="C35" s="17">
        <f>ROUND(C34/G34,2)</f>
        <v>0.63</v>
      </c>
      <c r="D35" s="17">
        <f>ROUND(D34/G34,2)</f>
        <v>0</v>
      </c>
      <c r="E35" s="17">
        <f>ROUND(E34/G34,2)</f>
        <v>0.37</v>
      </c>
      <c r="F35" s="17">
        <f>ROUND(F34/G34,2)</f>
        <v>0</v>
      </c>
      <c r="G35" s="3"/>
      <c r="H35" s="3"/>
    </row>
    <row r="36" spans="1:9" x14ac:dyDescent="0.25">
      <c r="A36" s="3" t="s">
        <v>47</v>
      </c>
      <c r="B36" s="3"/>
      <c r="C36" s="3"/>
      <c r="D36" s="3"/>
      <c r="E36" s="3"/>
      <c r="F36" s="3"/>
      <c r="G36" s="3"/>
      <c r="H36" s="3"/>
    </row>
    <row r="37" spans="1:9" x14ac:dyDescent="0.25">
      <c r="A37" s="3" t="s">
        <v>48</v>
      </c>
      <c r="B37" s="3"/>
      <c r="C37" s="8">
        <v>36875</v>
      </c>
      <c r="D37" s="8">
        <v>0</v>
      </c>
      <c r="E37" s="8">
        <v>35217.410000000003</v>
      </c>
      <c r="F37" s="8">
        <v>0</v>
      </c>
      <c r="G37" s="8">
        <f>SUM(C37:F37)</f>
        <v>72092.41</v>
      </c>
      <c r="H37" s="3">
        <f>ROUND(G37/635,2)</f>
        <v>113.53</v>
      </c>
    </row>
    <row r="38" spans="1:9" x14ac:dyDescent="0.25">
      <c r="A38" s="3" t="s">
        <v>49</v>
      </c>
      <c r="B38" s="3"/>
      <c r="C38" s="8">
        <v>33470</v>
      </c>
      <c r="D38" s="8">
        <v>0</v>
      </c>
      <c r="E38" s="8">
        <v>5447.32</v>
      </c>
      <c r="F38" s="8">
        <v>0</v>
      </c>
      <c r="G38" s="8">
        <f>SUM(C38:F38)</f>
        <v>38917.32</v>
      </c>
      <c r="H38" s="3">
        <f>ROUND(G38/635,2)</f>
        <v>61.29</v>
      </c>
    </row>
    <row r="39" spans="1:9" x14ac:dyDescent="0.25">
      <c r="A39" s="3" t="s">
        <v>50</v>
      </c>
      <c r="B39" s="3"/>
      <c r="C39" s="8">
        <v>0</v>
      </c>
      <c r="D39" s="8">
        <v>0</v>
      </c>
      <c r="E39" s="8">
        <v>0</v>
      </c>
      <c r="F39" s="8">
        <v>0</v>
      </c>
      <c r="G39" s="8">
        <f>SUM(C39:F39)</f>
        <v>0</v>
      </c>
      <c r="H39" s="3">
        <f>ROUND(G39/635,2)</f>
        <v>0</v>
      </c>
    </row>
    <row r="40" spans="1:9" x14ac:dyDescent="0.25">
      <c r="A40" s="3"/>
      <c r="B40" s="3"/>
      <c r="C40" s="3"/>
      <c r="D40" s="3"/>
      <c r="E40" s="3"/>
      <c r="F40" s="3"/>
      <c r="G40" s="3"/>
      <c r="H40" s="3"/>
    </row>
    <row r="41" spans="1:9" x14ac:dyDescent="0.25">
      <c r="A41" s="3"/>
      <c r="B41" s="3"/>
      <c r="C41" s="3" t="s">
        <v>2</v>
      </c>
      <c r="D41" s="3">
        <v>2022</v>
      </c>
      <c r="E41" s="3" t="s">
        <v>51</v>
      </c>
      <c r="F41" s="3"/>
      <c r="G41" s="3"/>
      <c r="H41" s="3"/>
    </row>
    <row r="42" spans="1:9" x14ac:dyDescent="0.25">
      <c r="A42" s="3" t="s">
        <v>52</v>
      </c>
      <c r="B42" s="3"/>
      <c r="C42" s="13">
        <v>0.65469999999999995</v>
      </c>
      <c r="D42" s="13">
        <v>0.73429999999999995</v>
      </c>
      <c r="E42" s="13">
        <v>0.77659999999999996</v>
      </c>
      <c r="F42" s="3"/>
      <c r="G42" s="3"/>
      <c r="H42" s="3"/>
    </row>
    <row r="43" spans="1:9" x14ac:dyDescent="0.25">
      <c r="A43" s="3" t="s">
        <v>53</v>
      </c>
      <c r="B43" s="3"/>
      <c r="C43" s="13">
        <v>0.65469999999999995</v>
      </c>
      <c r="D43" s="13">
        <v>0.69779999999999998</v>
      </c>
      <c r="E43" s="13">
        <v>0.75900000000000001</v>
      </c>
      <c r="F43" s="3"/>
      <c r="G43" s="3"/>
      <c r="H43" s="3"/>
    </row>
    <row r="44" spans="1:9" x14ac:dyDescent="0.25">
      <c r="A44" s="3"/>
      <c r="B44" s="3"/>
      <c r="C44" s="3"/>
      <c r="D44" s="3"/>
      <c r="E44" s="3"/>
      <c r="F44" s="3"/>
      <c r="G44" s="3"/>
      <c r="H44" s="3"/>
    </row>
    <row r="45" spans="1:9" x14ac:dyDescent="0.25">
      <c r="A45" s="5" t="s">
        <v>256</v>
      </c>
      <c r="B45" s="3"/>
      <c r="C45" s="3" t="s">
        <v>2</v>
      </c>
      <c r="D45" s="3" t="s">
        <v>96</v>
      </c>
      <c r="E45" s="3" t="s">
        <v>55</v>
      </c>
      <c r="F45" s="3" t="s">
        <v>254</v>
      </c>
      <c r="G45" s="3"/>
      <c r="H45" s="3"/>
    </row>
    <row r="46" spans="1:9" x14ac:dyDescent="0.25">
      <c r="A46" s="3" t="s">
        <v>56</v>
      </c>
      <c r="B46" s="3"/>
      <c r="C46" s="3"/>
      <c r="D46" s="3">
        <v>58.5</v>
      </c>
      <c r="E46" s="3">
        <v>81.5</v>
      </c>
      <c r="F46" s="3">
        <v>50.61</v>
      </c>
      <c r="G46" s="3"/>
      <c r="H46" s="3"/>
    </row>
    <row r="47" spans="1:9" x14ac:dyDescent="0.25">
      <c r="A47" s="3" t="s">
        <v>57</v>
      </c>
      <c r="B47" s="3"/>
      <c r="C47" s="3"/>
      <c r="D47" s="3">
        <v>32.69</v>
      </c>
      <c r="E47" s="3">
        <v>58.24</v>
      </c>
      <c r="F47" s="3">
        <v>57.37</v>
      </c>
      <c r="G47" s="3"/>
      <c r="H47" s="3"/>
    </row>
    <row r="48" spans="1:9" x14ac:dyDescent="0.25">
      <c r="A48" s="3" t="s">
        <v>58</v>
      </c>
      <c r="B48" s="3"/>
      <c r="C48" s="3"/>
      <c r="D48" s="3">
        <v>195.27</v>
      </c>
      <c r="E48" s="3">
        <v>261.52999999999997</v>
      </c>
      <c r="F48" s="3">
        <v>249.57</v>
      </c>
      <c r="G48" s="3"/>
      <c r="H48" s="3"/>
    </row>
    <row r="49" spans="1:8" x14ac:dyDescent="0.25">
      <c r="A49" s="3" t="s">
        <v>59</v>
      </c>
      <c r="B49" s="3"/>
      <c r="C49" s="3"/>
      <c r="D49" s="3">
        <v>75.959999999999994</v>
      </c>
      <c r="E49" s="3">
        <v>103.11</v>
      </c>
      <c r="F49" s="3">
        <v>71.400000000000006</v>
      </c>
      <c r="G49" s="3"/>
      <c r="H4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64"/>
  <sheetViews>
    <sheetView topLeftCell="A36" workbookViewId="0">
      <selection activeCell="G61" sqref="G61:G64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5703125" bestFit="1" customWidth="1"/>
    <col min="4" max="4" width="23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97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15863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17</v>
      </c>
      <c r="C9" s="10"/>
      <c r="D9" s="10"/>
      <c r="E9" s="10"/>
      <c r="F9" s="10">
        <v>1140</v>
      </c>
      <c r="G9" s="10">
        <f t="shared" ref="G9:G48" si="0">SUM(C9:F9)</f>
        <v>1140</v>
      </c>
      <c r="H9">
        <f t="shared" ref="H9:H48" si="1">ROUND(G9/15863,2)</f>
        <v>7.0000000000000007E-2</v>
      </c>
      <c r="I9">
        <f t="shared" ref="I9:I40" si="2">ROUND(G9/$G$49,3)</f>
        <v>0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>
        <f t="shared" si="1"/>
        <v>0</v>
      </c>
      <c r="I10">
        <f t="shared" si="2"/>
        <v>0</v>
      </c>
    </row>
    <row r="11" spans="1:9" x14ac:dyDescent="0.25">
      <c r="A11" t="s">
        <v>15</v>
      </c>
      <c r="B11" t="s">
        <v>75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>
        <f t="shared" si="2"/>
        <v>0</v>
      </c>
    </row>
    <row r="12" spans="1:9" x14ac:dyDescent="0.25">
      <c r="A12" t="s">
        <v>15</v>
      </c>
      <c r="B12" t="s">
        <v>16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>
        <f t="shared" si="2"/>
        <v>0</v>
      </c>
    </row>
    <row r="13" spans="1:9" x14ac:dyDescent="0.25">
      <c r="A13" t="s">
        <v>15</v>
      </c>
      <c r="B13" t="s">
        <v>63</v>
      </c>
      <c r="C13" s="10"/>
      <c r="D13" s="10"/>
      <c r="E13" s="10"/>
      <c r="F13" s="10"/>
      <c r="G13" s="10">
        <f t="shared" si="0"/>
        <v>0</v>
      </c>
      <c r="H13">
        <f t="shared" si="1"/>
        <v>0</v>
      </c>
      <c r="I13">
        <f t="shared" si="2"/>
        <v>0</v>
      </c>
    </row>
    <row r="14" spans="1:9" x14ac:dyDescent="0.25">
      <c r="A14" t="s">
        <v>19</v>
      </c>
      <c r="B14" t="s">
        <v>64</v>
      </c>
      <c r="C14" s="10"/>
      <c r="D14" s="10"/>
      <c r="E14" s="10">
        <v>199</v>
      </c>
      <c r="F14" s="10"/>
      <c r="G14" s="10">
        <f t="shared" si="0"/>
        <v>199</v>
      </c>
      <c r="H14">
        <f t="shared" si="1"/>
        <v>0.01</v>
      </c>
      <c r="I14">
        <f t="shared" si="2"/>
        <v>0</v>
      </c>
    </row>
    <row r="15" spans="1:9" x14ac:dyDescent="0.25">
      <c r="A15" t="s">
        <v>19</v>
      </c>
      <c r="B15" t="s">
        <v>20</v>
      </c>
      <c r="C15" s="10">
        <v>236895</v>
      </c>
      <c r="D15" s="10"/>
      <c r="E15" s="10">
        <v>13470</v>
      </c>
      <c r="F15" s="10">
        <v>2905</v>
      </c>
      <c r="G15" s="10">
        <f t="shared" si="0"/>
        <v>253270</v>
      </c>
      <c r="H15">
        <f t="shared" si="1"/>
        <v>15.97</v>
      </c>
      <c r="I15">
        <f t="shared" si="2"/>
        <v>7.1999999999999995E-2</v>
      </c>
    </row>
    <row r="16" spans="1:9" x14ac:dyDescent="0.25">
      <c r="A16" t="s">
        <v>19</v>
      </c>
      <c r="B16" t="s">
        <v>21</v>
      </c>
      <c r="C16" s="10">
        <v>333210</v>
      </c>
      <c r="D16" s="10"/>
      <c r="E16" s="10"/>
      <c r="F16" s="10"/>
      <c r="G16" s="10">
        <f t="shared" si="0"/>
        <v>333210</v>
      </c>
      <c r="H16">
        <f t="shared" si="1"/>
        <v>21.01</v>
      </c>
      <c r="I16">
        <f t="shared" si="2"/>
        <v>9.5000000000000001E-2</v>
      </c>
    </row>
    <row r="17" spans="1:9" x14ac:dyDescent="0.25">
      <c r="A17" t="s">
        <v>19</v>
      </c>
      <c r="B17" t="s">
        <v>76</v>
      </c>
      <c r="C17" s="10"/>
      <c r="D17" s="10"/>
      <c r="E17" s="10">
        <v>297</v>
      </c>
      <c r="F17" s="10"/>
      <c r="G17" s="10">
        <f t="shared" si="0"/>
        <v>297</v>
      </c>
      <c r="H17">
        <f t="shared" si="1"/>
        <v>0.02</v>
      </c>
      <c r="I17">
        <f t="shared" si="2"/>
        <v>0</v>
      </c>
    </row>
    <row r="18" spans="1:9" x14ac:dyDescent="0.25">
      <c r="A18" t="s">
        <v>19</v>
      </c>
      <c r="B18" t="s">
        <v>41</v>
      </c>
      <c r="C18" s="10"/>
      <c r="D18" s="10"/>
      <c r="E18" s="10">
        <v>356</v>
      </c>
      <c r="F18" s="10"/>
      <c r="G18" s="10">
        <f t="shared" si="0"/>
        <v>356</v>
      </c>
      <c r="H18">
        <f t="shared" si="1"/>
        <v>0.02</v>
      </c>
      <c r="I18">
        <f t="shared" si="2"/>
        <v>0</v>
      </c>
    </row>
    <row r="19" spans="1:9" x14ac:dyDescent="0.25">
      <c r="A19" t="s">
        <v>19</v>
      </c>
      <c r="B19" t="s">
        <v>22</v>
      </c>
      <c r="C19" s="10"/>
      <c r="D19" s="10"/>
      <c r="E19" s="10">
        <v>1500</v>
      </c>
      <c r="F19" s="10"/>
      <c r="G19" s="10">
        <f t="shared" si="0"/>
        <v>1500</v>
      </c>
      <c r="H19">
        <f t="shared" si="1"/>
        <v>0.09</v>
      </c>
      <c r="I19">
        <f t="shared" si="2"/>
        <v>0</v>
      </c>
    </row>
    <row r="20" spans="1:9" x14ac:dyDescent="0.25">
      <c r="A20" t="s">
        <v>19</v>
      </c>
      <c r="B20" t="s">
        <v>98</v>
      </c>
      <c r="C20" s="10"/>
      <c r="D20" s="10"/>
      <c r="E20" s="10"/>
      <c r="F20" s="10">
        <v>216</v>
      </c>
      <c r="G20" s="10">
        <f t="shared" si="0"/>
        <v>216</v>
      </c>
      <c r="H20">
        <f t="shared" si="1"/>
        <v>0.01</v>
      </c>
      <c r="I20">
        <f t="shared" si="2"/>
        <v>0</v>
      </c>
    </row>
    <row r="21" spans="1:9" x14ac:dyDescent="0.25">
      <c r="A21" t="s">
        <v>19</v>
      </c>
      <c r="B21" t="s">
        <v>77</v>
      </c>
      <c r="C21" s="10"/>
      <c r="D21" s="10"/>
      <c r="E21" s="10"/>
      <c r="F21" s="10">
        <v>45</v>
      </c>
      <c r="G21" s="10">
        <f t="shared" si="0"/>
        <v>45</v>
      </c>
      <c r="H21">
        <f t="shared" si="1"/>
        <v>0</v>
      </c>
      <c r="I21">
        <f t="shared" si="2"/>
        <v>0</v>
      </c>
    </row>
    <row r="22" spans="1:9" x14ac:dyDescent="0.25">
      <c r="A22" t="s">
        <v>19</v>
      </c>
      <c r="B22" t="s">
        <v>99</v>
      </c>
      <c r="C22" s="10"/>
      <c r="D22" s="10"/>
      <c r="E22" s="10"/>
      <c r="F22" s="10">
        <v>2292</v>
      </c>
      <c r="G22" s="10">
        <f t="shared" si="0"/>
        <v>2292</v>
      </c>
      <c r="H22">
        <f t="shared" si="1"/>
        <v>0.14000000000000001</v>
      </c>
      <c r="I22">
        <f t="shared" si="2"/>
        <v>1E-3</v>
      </c>
    </row>
    <row r="23" spans="1:9" x14ac:dyDescent="0.25">
      <c r="A23" t="s">
        <v>19</v>
      </c>
      <c r="B23" t="s">
        <v>23</v>
      </c>
      <c r="C23" s="10"/>
      <c r="D23" s="10"/>
      <c r="E23" s="10">
        <v>120760</v>
      </c>
      <c r="F23" s="10"/>
      <c r="G23" s="10">
        <f t="shared" si="0"/>
        <v>120760</v>
      </c>
      <c r="H23">
        <f t="shared" si="1"/>
        <v>7.61</v>
      </c>
      <c r="I23">
        <f t="shared" si="2"/>
        <v>3.5000000000000003E-2</v>
      </c>
    </row>
    <row r="24" spans="1:9" x14ac:dyDescent="0.25">
      <c r="A24" t="s">
        <v>19</v>
      </c>
      <c r="B24" t="s">
        <v>24</v>
      </c>
      <c r="C24" s="10">
        <v>368440</v>
      </c>
      <c r="D24" s="10"/>
      <c r="E24" s="10">
        <v>58310</v>
      </c>
      <c r="F24" s="10">
        <v>13280</v>
      </c>
      <c r="G24" s="10">
        <f t="shared" si="0"/>
        <v>440030</v>
      </c>
      <c r="H24">
        <f t="shared" si="1"/>
        <v>27.74</v>
      </c>
      <c r="I24">
        <f t="shared" si="2"/>
        <v>0.126</v>
      </c>
    </row>
    <row r="25" spans="1:9" x14ac:dyDescent="0.25">
      <c r="A25" t="s">
        <v>19</v>
      </c>
      <c r="B25" t="s">
        <v>66</v>
      </c>
      <c r="C25" s="10"/>
      <c r="D25" s="10"/>
      <c r="E25" s="10">
        <v>12405</v>
      </c>
      <c r="F25" s="10"/>
      <c r="G25" s="10">
        <f t="shared" si="0"/>
        <v>12405</v>
      </c>
      <c r="H25">
        <f t="shared" si="1"/>
        <v>0.78</v>
      </c>
      <c r="I25">
        <f t="shared" si="2"/>
        <v>4.0000000000000001E-3</v>
      </c>
    </row>
    <row r="26" spans="1:9" x14ac:dyDescent="0.25">
      <c r="A26" t="s">
        <v>19</v>
      </c>
      <c r="B26" t="s">
        <v>25</v>
      </c>
      <c r="C26" s="10">
        <v>551940</v>
      </c>
      <c r="D26" s="10"/>
      <c r="E26" s="10"/>
      <c r="F26" s="10">
        <v>1150</v>
      </c>
      <c r="G26" s="10">
        <f t="shared" si="0"/>
        <v>553090</v>
      </c>
      <c r="H26">
        <f t="shared" si="1"/>
        <v>34.869999999999997</v>
      </c>
      <c r="I26">
        <f t="shared" si="2"/>
        <v>0.158</v>
      </c>
    </row>
    <row r="27" spans="1:9" x14ac:dyDescent="0.25">
      <c r="A27" t="s">
        <v>19</v>
      </c>
      <c r="B27" t="s">
        <v>26</v>
      </c>
      <c r="C27" s="10"/>
      <c r="D27" s="10"/>
      <c r="E27" s="10">
        <v>2721</v>
      </c>
      <c r="F27" s="10"/>
      <c r="G27" s="10">
        <f t="shared" si="0"/>
        <v>2721</v>
      </c>
      <c r="H27">
        <f t="shared" si="1"/>
        <v>0.17</v>
      </c>
      <c r="I27">
        <f t="shared" si="2"/>
        <v>1E-3</v>
      </c>
    </row>
    <row r="28" spans="1:9" x14ac:dyDescent="0.25">
      <c r="A28" t="s">
        <v>19</v>
      </c>
      <c r="B28" t="s">
        <v>27</v>
      </c>
      <c r="C28" s="10"/>
      <c r="D28" s="10"/>
      <c r="E28" s="10">
        <v>1664</v>
      </c>
      <c r="F28" s="10"/>
      <c r="G28" s="10">
        <f t="shared" si="0"/>
        <v>1664</v>
      </c>
      <c r="H28">
        <f t="shared" si="1"/>
        <v>0.1</v>
      </c>
      <c r="I28">
        <f t="shared" si="2"/>
        <v>0</v>
      </c>
    </row>
    <row r="29" spans="1:9" x14ac:dyDescent="0.25">
      <c r="A29" t="s">
        <v>19</v>
      </c>
      <c r="B29" t="s">
        <v>28</v>
      </c>
      <c r="C29" s="10"/>
      <c r="D29" s="10"/>
      <c r="E29" s="10">
        <v>171</v>
      </c>
      <c r="F29" s="10"/>
      <c r="G29" s="10">
        <f t="shared" si="0"/>
        <v>171</v>
      </c>
      <c r="H29">
        <f t="shared" si="1"/>
        <v>0.01</v>
      </c>
      <c r="I29">
        <f t="shared" si="2"/>
        <v>0</v>
      </c>
    </row>
    <row r="30" spans="1:9" x14ac:dyDescent="0.25">
      <c r="A30" t="s">
        <v>19</v>
      </c>
      <c r="B30" t="s">
        <v>29</v>
      </c>
      <c r="C30" s="10"/>
      <c r="D30" s="10"/>
      <c r="E30" s="10">
        <v>9850</v>
      </c>
      <c r="F30" s="10"/>
      <c r="G30" s="10">
        <f t="shared" si="0"/>
        <v>9850</v>
      </c>
      <c r="H30">
        <f t="shared" si="1"/>
        <v>0.62</v>
      </c>
      <c r="I30">
        <f t="shared" si="2"/>
        <v>3.0000000000000001E-3</v>
      </c>
    </row>
    <row r="31" spans="1:9" x14ac:dyDescent="0.25">
      <c r="A31" t="s">
        <v>19</v>
      </c>
      <c r="B31" t="s">
        <v>30</v>
      </c>
      <c r="C31" s="10"/>
      <c r="D31" s="10"/>
      <c r="E31" s="10">
        <v>3380</v>
      </c>
      <c r="F31" s="10"/>
      <c r="G31" s="10">
        <f t="shared" si="0"/>
        <v>3380</v>
      </c>
      <c r="H31">
        <f t="shared" si="1"/>
        <v>0.21</v>
      </c>
      <c r="I31">
        <f t="shared" si="2"/>
        <v>1E-3</v>
      </c>
    </row>
    <row r="32" spans="1:9" x14ac:dyDescent="0.25">
      <c r="A32" t="s">
        <v>19</v>
      </c>
      <c r="B32" t="s">
        <v>31</v>
      </c>
      <c r="C32" s="10"/>
      <c r="D32" s="10"/>
      <c r="E32" s="10">
        <v>1080</v>
      </c>
      <c r="F32" s="10"/>
      <c r="G32" s="10">
        <f t="shared" si="0"/>
        <v>1080</v>
      </c>
      <c r="H32">
        <f t="shared" si="1"/>
        <v>7.0000000000000007E-2</v>
      </c>
      <c r="I32">
        <f t="shared" si="2"/>
        <v>0</v>
      </c>
    </row>
    <row r="33" spans="1:9" x14ac:dyDescent="0.25">
      <c r="A33" t="s">
        <v>19</v>
      </c>
      <c r="B33" t="s">
        <v>32</v>
      </c>
      <c r="C33" s="10"/>
      <c r="D33" s="10"/>
      <c r="E33" s="10">
        <v>4330</v>
      </c>
      <c r="F33" s="10"/>
      <c r="G33" s="10">
        <f t="shared" si="0"/>
        <v>4330</v>
      </c>
      <c r="H33">
        <f t="shared" si="1"/>
        <v>0.27</v>
      </c>
      <c r="I33">
        <f t="shared" si="2"/>
        <v>1E-3</v>
      </c>
    </row>
    <row r="34" spans="1:9" x14ac:dyDescent="0.25">
      <c r="A34" t="s">
        <v>19</v>
      </c>
      <c r="B34" t="s">
        <v>42</v>
      </c>
      <c r="C34" s="10"/>
      <c r="D34" s="10">
        <v>867</v>
      </c>
      <c r="E34" s="10"/>
      <c r="F34" s="10"/>
      <c r="G34" s="10">
        <f t="shared" si="0"/>
        <v>867</v>
      </c>
      <c r="H34">
        <f t="shared" si="1"/>
        <v>0.05</v>
      </c>
      <c r="I34">
        <f t="shared" si="2"/>
        <v>0</v>
      </c>
    </row>
    <row r="35" spans="1:9" x14ac:dyDescent="0.25">
      <c r="A35" t="s">
        <v>19</v>
      </c>
      <c r="B35" t="s">
        <v>67</v>
      </c>
      <c r="C35" s="10"/>
      <c r="D35" s="10"/>
      <c r="E35" s="10">
        <v>2350</v>
      </c>
      <c r="F35" s="10"/>
      <c r="G35" s="10">
        <f t="shared" si="0"/>
        <v>2350</v>
      </c>
      <c r="H35">
        <f t="shared" si="1"/>
        <v>0.15</v>
      </c>
      <c r="I35">
        <f t="shared" si="2"/>
        <v>1E-3</v>
      </c>
    </row>
    <row r="36" spans="1:9" x14ac:dyDescent="0.25">
      <c r="A36" t="s">
        <v>19</v>
      </c>
      <c r="B36" t="s">
        <v>33</v>
      </c>
      <c r="C36" s="10"/>
      <c r="D36" s="10"/>
      <c r="E36" s="10">
        <v>1458</v>
      </c>
      <c r="F36" s="10"/>
      <c r="G36" s="10">
        <f t="shared" si="0"/>
        <v>1458</v>
      </c>
      <c r="H36">
        <f t="shared" si="1"/>
        <v>0.09</v>
      </c>
      <c r="I36">
        <f t="shared" si="2"/>
        <v>0</v>
      </c>
    </row>
    <row r="37" spans="1:9" x14ac:dyDescent="0.25">
      <c r="A37" t="s">
        <v>19</v>
      </c>
      <c r="B37" t="s">
        <v>34</v>
      </c>
      <c r="C37" s="10"/>
      <c r="D37" s="10"/>
      <c r="E37" s="10">
        <v>6740</v>
      </c>
      <c r="F37" s="10"/>
      <c r="G37" s="10">
        <f t="shared" si="0"/>
        <v>6740</v>
      </c>
      <c r="H37">
        <f t="shared" si="1"/>
        <v>0.42</v>
      </c>
      <c r="I37">
        <f t="shared" si="2"/>
        <v>2E-3</v>
      </c>
    </row>
    <row r="38" spans="1:9" x14ac:dyDescent="0.25">
      <c r="A38" t="s">
        <v>19</v>
      </c>
      <c r="B38" t="s">
        <v>35</v>
      </c>
      <c r="C38" s="10"/>
      <c r="D38" s="10"/>
      <c r="E38" s="10">
        <v>11240</v>
      </c>
      <c r="F38" s="10"/>
      <c r="G38" s="10">
        <f t="shared" si="0"/>
        <v>11240</v>
      </c>
      <c r="H38">
        <f t="shared" si="1"/>
        <v>0.71</v>
      </c>
      <c r="I38">
        <f t="shared" si="2"/>
        <v>3.0000000000000001E-3</v>
      </c>
    </row>
    <row r="39" spans="1:9" x14ac:dyDescent="0.25">
      <c r="A39" t="s">
        <v>19</v>
      </c>
      <c r="B39" t="s">
        <v>40</v>
      </c>
      <c r="C39" s="10"/>
      <c r="D39" s="10"/>
      <c r="E39" s="10">
        <v>25330</v>
      </c>
      <c r="F39" s="10"/>
      <c r="G39" s="10">
        <f t="shared" si="0"/>
        <v>25330</v>
      </c>
      <c r="H39">
        <f t="shared" si="1"/>
        <v>1.6</v>
      </c>
      <c r="I39">
        <f t="shared" si="2"/>
        <v>7.0000000000000001E-3</v>
      </c>
    </row>
    <row r="40" spans="1:9" x14ac:dyDescent="0.25">
      <c r="A40" t="s">
        <v>19</v>
      </c>
      <c r="B40" t="s">
        <v>36</v>
      </c>
      <c r="C40" s="10"/>
      <c r="D40" s="10"/>
      <c r="E40" s="10">
        <v>194650</v>
      </c>
      <c r="F40" s="10"/>
      <c r="G40" s="10">
        <f t="shared" si="0"/>
        <v>194650</v>
      </c>
      <c r="H40">
        <f t="shared" si="1"/>
        <v>12.27</v>
      </c>
      <c r="I40">
        <f t="shared" si="2"/>
        <v>5.6000000000000001E-2</v>
      </c>
    </row>
    <row r="41" spans="1:9" x14ac:dyDescent="0.25">
      <c r="A41" t="s">
        <v>19</v>
      </c>
      <c r="B41" t="s">
        <v>37</v>
      </c>
      <c r="C41" s="10"/>
      <c r="D41" s="10"/>
      <c r="E41" s="10">
        <v>11810</v>
      </c>
      <c r="F41" s="10"/>
      <c r="G41" s="10">
        <f t="shared" si="0"/>
        <v>11810</v>
      </c>
      <c r="H41">
        <f t="shared" si="1"/>
        <v>0.74</v>
      </c>
      <c r="I41">
        <f t="shared" ref="I41" si="3">ROUND(G41/$G$49,3)</f>
        <v>3.0000000000000001E-3</v>
      </c>
    </row>
    <row r="42" spans="1:9" x14ac:dyDescent="0.25">
      <c r="A42" t="s">
        <v>19</v>
      </c>
      <c r="B42" t="s">
        <v>38</v>
      </c>
      <c r="C42" s="10"/>
      <c r="D42" s="10"/>
      <c r="E42" s="10">
        <v>47070</v>
      </c>
      <c r="F42" s="10"/>
      <c r="G42" s="10">
        <f t="shared" si="0"/>
        <v>47070</v>
      </c>
      <c r="H42">
        <f t="shared" si="1"/>
        <v>2.97</v>
      </c>
      <c r="I42">
        <f t="shared" ref="I42:I48" si="4">ROUND(G42/$G$49,3)</f>
        <v>1.2999999999999999E-2</v>
      </c>
    </row>
    <row r="43" spans="1:9" x14ac:dyDescent="0.25">
      <c r="A43" t="s">
        <v>19</v>
      </c>
      <c r="B43" t="s">
        <v>39</v>
      </c>
      <c r="C43" s="10"/>
      <c r="D43" s="10"/>
      <c r="E43" s="10">
        <v>504960</v>
      </c>
      <c r="F43" s="10">
        <v>4860</v>
      </c>
      <c r="G43" s="10">
        <f t="shared" si="0"/>
        <v>509820</v>
      </c>
      <c r="H43">
        <f t="shared" si="1"/>
        <v>32.14</v>
      </c>
      <c r="I43">
        <f t="shared" si="4"/>
        <v>0.14599999999999999</v>
      </c>
    </row>
    <row r="44" spans="1:9" x14ac:dyDescent="0.25">
      <c r="A44" t="s">
        <v>19</v>
      </c>
      <c r="B44" t="s">
        <v>90</v>
      </c>
      <c r="C44" s="10"/>
      <c r="D44" s="10"/>
      <c r="E44" s="10"/>
      <c r="F44" s="10"/>
      <c r="G44" s="10">
        <f t="shared" si="0"/>
        <v>0</v>
      </c>
      <c r="H44">
        <f t="shared" si="1"/>
        <v>0</v>
      </c>
      <c r="I44">
        <f t="shared" si="4"/>
        <v>0</v>
      </c>
    </row>
    <row r="45" spans="1:9" x14ac:dyDescent="0.25">
      <c r="A45" t="s">
        <v>19</v>
      </c>
      <c r="B45" t="s">
        <v>100</v>
      </c>
      <c r="C45" s="10"/>
      <c r="D45" s="10"/>
      <c r="E45" s="10"/>
      <c r="F45" s="10"/>
      <c r="G45" s="10">
        <f t="shared" si="0"/>
        <v>0</v>
      </c>
      <c r="H45">
        <f t="shared" si="1"/>
        <v>0</v>
      </c>
      <c r="I45">
        <f t="shared" si="4"/>
        <v>0</v>
      </c>
    </row>
    <row r="46" spans="1:9" x14ac:dyDescent="0.25">
      <c r="A46" t="s">
        <v>43</v>
      </c>
      <c r="B46" t="s">
        <v>44</v>
      </c>
      <c r="C46" s="10">
        <v>722020</v>
      </c>
      <c r="D46" s="10"/>
      <c r="E46" s="10"/>
      <c r="F46" s="10">
        <v>8800</v>
      </c>
      <c r="G46" s="10">
        <f t="shared" si="0"/>
        <v>730820</v>
      </c>
      <c r="H46">
        <f t="shared" si="1"/>
        <v>46.07</v>
      </c>
      <c r="I46">
        <f t="shared" si="4"/>
        <v>0.20899999999999999</v>
      </c>
    </row>
    <row r="47" spans="1:9" x14ac:dyDescent="0.25">
      <c r="A47" t="s">
        <v>43</v>
      </c>
      <c r="B47" t="s">
        <v>46</v>
      </c>
      <c r="C47" s="10"/>
      <c r="D47" s="10"/>
      <c r="E47" s="10"/>
      <c r="F47" s="10">
        <v>100820</v>
      </c>
      <c r="G47" s="10">
        <f t="shared" si="0"/>
        <v>100820</v>
      </c>
      <c r="H47">
        <f t="shared" si="1"/>
        <v>6.36</v>
      </c>
      <c r="I47">
        <f t="shared" si="4"/>
        <v>2.9000000000000001E-2</v>
      </c>
    </row>
    <row r="48" spans="1:9" x14ac:dyDescent="0.25">
      <c r="A48" t="s">
        <v>43</v>
      </c>
      <c r="B48" t="s">
        <v>45</v>
      </c>
      <c r="C48" s="10"/>
      <c r="D48" s="10"/>
      <c r="E48" s="10">
        <v>109200</v>
      </c>
      <c r="F48" s="10"/>
      <c r="G48" s="10">
        <f t="shared" si="0"/>
        <v>109200</v>
      </c>
      <c r="H48">
        <f t="shared" si="1"/>
        <v>6.88</v>
      </c>
      <c r="I48">
        <f t="shared" si="4"/>
        <v>3.1E-2</v>
      </c>
    </row>
    <row r="49" spans="1:8" x14ac:dyDescent="0.25">
      <c r="A49" s="3" t="s">
        <v>253</v>
      </c>
      <c r="B49" s="3"/>
      <c r="C49" s="8">
        <f t="shared" ref="C49:H49" si="5">SUM(C8:C48)</f>
        <v>2212505</v>
      </c>
      <c r="D49" s="8">
        <f t="shared" si="5"/>
        <v>867</v>
      </c>
      <c r="E49" s="8">
        <f t="shared" si="5"/>
        <v>1145301</v>
      </c>
      <c r="F49" s="8">
        <f t="shared" si="5"/>
        <v>135508</v>
      </c>
      <c r="G49" s="8">
        <f t="shared" si="5"/>
        <v>3494181</v>
      </c>
      <c r="H49" s="3">
        <f t="shared" si="5"/>
        <v>220.24</v>
      </c>
    </row>
    <row r="50" spans="1:8" x14ac:dyDescent="0.25">
      <c r="A50" s="3" t="s">
        <v>14</v>
      </c>
      <c r="B50" s="3"/>
      <c r="C50" s="13">
        <f>ROUND(C49/G49,2)</f>
        <v>0.63</v>
      </c>
      <c r="D50" s="13">
        <f>ROUND(D49/G49,2)</f>
        <v>0</v>
      </c>
      <c r="E50" s="13">
        <f>ROUND(E49/G49,2)</f>
        <v>0.33</v>
      </c>
      <c r="F50" s="13">
        <f>ROUND(F49/G49,2)</f>
        <v>0.04</v>
      </c>
      <c r="G50" s="3"/>
      <c r="H50" s="3"/>
    </row>
    <row r="51" spans="1:8" x14ac:dyDescent="0.25">
      <c r="A51" s="3" t="s">
        <v>47</v>
      </c>
      <c r="B51" s="3"/>
      <c r="C51" s="3"/>
      <c r="D51" s="3"/>
      <c r="E51" s="3"/>
      <c r="F51" s="3"/>
      <c r="G51" s="3"/>
      <c r="H51" s="3"/>
    </row>
    <row r="52" spans="1:8" x14ac:dyDescent="0.25">
      <c r="A52" s="3" t="s">
        <v>48</v>
      </c>
      <c r="B52" s="3"/>
      <c r="C52" s="8">
        <v>1490485</v>
      </c>
      <c r="D52" s="8">
        <v>867</v>
      </c>
      <c r="E52" s="8">
        <v>1036101</v>
      </c>
      <c r="F52" s="8">
        <v>24748</v>
      </c>
      <c r="G52" s="8">
        <f>SUM(C52:F52)</f>
        <v>2552201</v>
      </c>
      <c r="H52" s="3">
        <f>ROUND(G52/15863,2)</f>
        <v>160.88999999999999</v>
      </c>
    </row>
    <row r="53" spans="1:8" x14ac:dyDescent="0.25">
      <c r="A53" s="3" t="s">
        <v>49</v>
      </c>
      <c r="B53" s="3"/>
      <c r="C53" s="8">
        <v>722020</v>
      </c>
      <c r="D53" s="8">
        <v>0</v>
      </c>
      <c r="E53" s="8">
        <v>109200</v>
      </c>
      <c r="F53" s="8">
        <v>109620</v>
      </c>
      <c r="G53" s="8">
        <f>SUM(C53:F53)</f>
        <v>940840</v>
      </c>
      <c r="H53" s="3">
        <f>ROUND(G53/15863,2)</f>
        <v>59.31</v>
      </c>
    </row>
    <row r="54" spans="1:8" x14ac:dyDescent="0.25">
      <c r="A54" s="3" t="s">
        <v>50</v>
      </c>
      <c r="B54" s="3"/>
      <c r="C54" s="8">
        <v>0</v>
      </c>
      <c r="D54" s="8">
        <v>0</v>
      </c>
      <c r="E54" s="8">
        <v>0</v>
      </c>
      <c r="F54" s="8">
        <v>1140</v>
      </c>
      <c r="G54" s="8">
        <f>SUM(C54:F54)</f>
        <v>1140</v>
      </c>
      <c r="H54" s="3">
        <f>ROUND(G54/15863,2)</f>
        <v>7.0000000000000007E-2</v>
      </c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 t="s">
        <v>2</v>
      </c>
      <c r="D56" s="3">
        <v>2022</v>
      </c>
      <c r="E56" s="3" t="s">
        <v>51</v>
      </c>
      <c r="F56" s="3"/>
      <c r="G56" s="3"/>
      <c r="H56" s="3"/>
    </row>
    <row r="57" spans="1:8" x14ac:dyDescent="0.25">
      <c r="A57" s="3" t="s">
        <v>52</v>
      </c>
      <c r="B57" s="3"/>
      <c r="C57" s="13">
        <v>0.78320000000000001</v>
      </c>
      <c r="D57" s="13">
        <v>0.77569999999999995</v>
      </c>
      <c r="E57" s="13">
        <v>0.77659999999999996</v>
      </c>
      <c r="F57" s="3"/>
      <c r="G57" s="3"/>
      <c r="H57" s="3"/>
    </row>
    <row r="58" spans="1:8" x14ac:dyDescent="0.25">
      <c r="A58" s="3" t="s">
        <v>53</v>
      </c>
      <c r="B58" s="3"/>
      <c r="C58" s="13">
        <v>0.77349999999999997</v>
      </c>
      <c r="D58" s="13">
        <v>0.76629999999999998</v>
      </c>
      <c r="E58" s="13">
        <v>0.75900000000000001</v>
      </c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5" t="s">
        <v>256</v>
      </c>
      <c r="B60" s="3"/>
      <c r="C60" s="3" t="s">
        <v>2</v>
      </c>
      <c r="D60" s="3" t="s">
        <v>101</v>
      </c>
      <c r="E60" s="3" t="s">
        <v>55</v>
      </c>
      <c r="F60" s="3" t="s">
        <v>254</v>
      </c>
      <c r="G60" s="3"/>
      <c r="H60" s="3"/>
    </row>
    <row r="61" spans="1:8" x14ac:dyDescent="0.25">
      <c r="A61" s="3" t="s">
        <v>56</v>
      </c>
      <c r="B61" s="3"/>
      <c r="C61" s="3"/>
      <c r="D61" s="3">
        <v>84.57</v>
      </c>
      <c r="E61" s="3">
        <v>81.5</v>
      </c>
      <c r="F61" s="3">
        <v>50.61</v>
      </c>
      <c r="G61" s="3"/>
      <c r="H61" s="3"/>
    </row>
    <row r="62" spans="1:8" x14ac:dyDescent="0.25">
      <c r="A62" s="3" t="s">
        <v>57</v>
      </c>
      <c r="B62" s="3"/>
      <c r="C62" s="3"/>
      <c r="D62" s="3">
        <v>69.03</v>
      </c>
      <c r="E62" s="3">
        <v>58.24</v>
      </c>
      <c r="F62" s="3">
        <v>57.37</v>
      </c>
      <c r="G62" s="3"/>
      <c r="H62" s="3"/>
    </row>
    <row r="63" spans="1:8" x14ac:dyDescent="0.25">
      <c r="A63" s="3" t="s">
        <v>58</v>
      </c>
      <c r="B63" s="3"/>
      <c r="C63" s="3"/>
      <c r="D63" s="3">
        <v>294.20999999999998</v>
      </c>
      <c r="E63" s="3">
        <v>261.52999999999997</v>
      </c>
      <c r="F63" s="3">
        <v>249.57</v>
      </c>
      <c r="G63" s="3"/>
      <c r="H63" s="3"/>
    </row>
    <row r="64" spans="1:8" x14ac:dyDescent="0.25">
      <c r="A64" s="3" t="s">
        <v>59</v>
      </c>
      <c r="B64" s="3"/>
      <c r="C64" s="3"/>
      <c r="D64" s="3">
        <v>107.93</v>
      </c>
      <c r="E64" s="3">
        <v>103.11</v>
      </c>
      <c r="F64" s="3">
        <v>71.400000000000006</v>
      </c>
      <c r="G64" s="3"/>
      <c r="H64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50"/>
  <sheetViews>
    <sheetView topLeftCell="A21" workbookViewId="0">
      <selection activeCell="G47" sqref="G47:G50"/>
    </sheetView>
  </sheetViews>
  <sheetFormatPr defaultRowHeight="15" x14ac:dyDescent="0.25"/>
  <cols>
    <col min="1" max="1" width="52.85546875" bestFit="1" customWidth="1"/>
    <col min="2" max="2" width="55" bestFit="1" customWidth="1"/>
    <col min="3" max="3" width="12.5703125" bestFit="1" customWidth="1"/>
    <col min="4" max="4" width="42.5703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102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2175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425</v>
      </c>
      <c r="G9" s="10">
        <f t="shared" ref="G9:G34" si="0">SUM(C9:F9)</f>
        <v>425</v>
      </c>
      <c r="H9">
        <f t="shared" ref="H9:H34" si="1">ROUND(G9/2175,2)</f>
        <v>0.2</v>
      </c>
      <c r="I9" s="14">
        <f t="shared" ref="I9:I34" si="2">ROUND(G9/$G$35,3)</f>
        <v>1E-3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450</v>
      </c>
      <c r="G10" s="10">
        <f t="shared" si="0"/>
        <v>450</v>
      </c>
      <c r="H10">
        <f t="shared" si="1"/>
        <v>0.21</v>
      </c>
      <c r="I10" s="14">
        <f t="shared" si="2"/>
        <v>1E-3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19</v>
      </c>
      <c r="B12" t="s">
        <v>70</v>
      </c>
      <c r="C12" s="10"/>
      <c r="D12" s="10">
        <v>49360</v>
      </c>
      <c r="E12" s="10"/>
      <c r="F12" s="10"/>
      <c r="G12" s="10">
        <f t="shared" si="0"/>
        <v>49360</v>
      </c>
      <c r="H12">
        <f t="shared" si="1"/>
        <v>22.69</v>
      </c>
      <c r="I12" s="14">
        <f t="shared" si="2"/>
        <v>0.14699999999999999</v>
      </c>
    </row>
    <row r="13" spans="1:9" x14ac:dyDescent="0.25">
      <c r="A13" t="s">
        <v>19</v>
      </c>
      <c r="B13" t="s">
        <v>103</v>
      </c>
      <c r="C13" s="10"/>
      <c r="D13" s="10">
        <v>3740</v>
      </c>
      <c r="E13" s="10"/>
      <c r="F13" s="10"/>
      <c r="G13" s="10">
        <f t="shared" si="0"/>
        <v>3740</v>
      </c>
      <c r="H13">
        <f t="shared" si="1"/>
        <v>1.72</v>
      </c>
      <c r="I13" s="14">
        <f t="shared" si="2"/>
        <v>1.0999999999999999E-2</v>
      </c>
    </row>
    <row r="14" spans="1:9" x14ac:dyDescent="0.25">
      <c r="A14" t="s">
        <v>19</v>
      </c>
      <c r="B14" t="s">
        <v>21</v>
      </c>
      <c r="C14" s="10"/>
      <c r="D14" s="10">
        <v>46310</v>
      </c>
      <c r="E14" s="10"/>
      <c r="F14" s="10"/>
      <c r="G14" s="10">
        <f t="shared" si="0"/>
        <v>46310</v>
      </c>
      <c r="H14">
        <f t="shared" si="1"/>
        <v>21.29</v>
      </c>
      <c r="I14" s="14">
        <f t="shared" si="2"/>
        <v>0.13800000000000001</v>
      </c>
    </row>
    <row r="15" spans="1:9" x14ac:dyDescent="0.25">
      <c r="A15" t="s">
        <v>19</v>
      </c>
      <c r="B15" t="s">
        <v>22</v>
      </c>
      <c r="C15" s="10"/>
      <c r="D15" s="10"/>
      <c r="E15" s="10"/>
      <c r="F15" s="10">
        <v>630</v>
      </c>
      <c r="G15" s="10">
        <f t="shared" si="0"/>
        <v>630</v>
      </c>
      <c r="H15">
        <f t="shared" si="1"/>
        <v>0.28999999999999998</v>
      </c>
      <c r="I15" s="14">
        <f t="shared" si="2"/>
        <v>2E-3</v>
      </c>
    </row>
    <row r="16" spans="1:9" x14ac:dyDescent="0.25">
      <c r="A16" t="s">
        <v>19</v>
      </c>
      <c r="B16" t="s">
        <v>77</v>
      </c>
      <c r="C16" s="10"/>
      <c r="D16" s="10"/>
      <c r="E16" s="10"/>
      <c r="F16" s="10">
        <v>400</v>
      </c>
      <c r="G16" s="10">
        <f t="shared" si="0"/>
        <v>400</v>
      </c>
      <c r="H16">
        <f t="shared" si="1"/>
        <v>0.18</v>
      </c>
      <c r="I16" s="14">
        <f t="shared" si="2"/>
        <v>1E-3</v>
      </c>
    </row>
    <row r="17" spans="1:9" x14ac:dyDescent="0.25">
      <c r="A17" t="s">
        <v>19</v>
      </c>
      <c r="B17" t="s">
        <v>24</v>
      </c>
      <c r="C17" s="10"/>
      <c r="D17" s="10">
        <v>49780</v>
      </c>
      <c r="E17" s="10"/>
      <c r="F17" s="10"/>
      <c r="G17" s="10">
        <f t="shared" si="0"/>
        <v>49780</v>
      </c>
      <c r="H17">
        <f t="shared" si="1"/>
        <v>22.89</v>
      </c>
      <c r="I17" s="14">
        <f t="shared" si="2"/>
        <v>0.14899999999999999</v>
      </c>
    </row>
    <row r="18" spans="1:9" x14ac:dyDescent="0.25">
      <c r="A18" t="s">
        <v>19</v>
      </c>
      <c r="B18" t="s">
        <v>66</v>
      </c>
      <c r="C18" s="10"/>
      <c r="D18" s="10"/>
      <c r="E18" s="10">
        <v>1015</v>
      </c>
      <c r="F18" s="10"/>
      <c r="G18" s="10">
        <f t="shared" si="0"/>
        <v>1015</v>
      </c>
      <c r="H18">
        <f t="shared" si="1"/>
        <v>0.47</v>
      </c>
      <c r="I18" s="14">
        <f t="shared" si="2"/>
        <v>3.0000000000000001E-3</v>
      </c>
    </row>
    <row r="19" spans="1:9" x14ac:dyDescent="0.25">
      <c r="A19" t="s">
        <v>19</v>
      </c>
      <c r="B19" t="s">
        <v>25</v>
      </c>
      <c r="C19" s="10"/>
      <c r="D19" s="10">
        <v>61200</v>
      </c>
      <c r="E19" s="10"/>
      <c r="F19" s="10"/>
      <c r="G19" s="10">
        <f t="shared" si="0"/>
        <v>61200</v>
      </c>
      <c r="H19">
        <f t="shared" si="1"/>
        <v>28.14</v>
      </c>
      <c r="I19" s="14">
        <f t="shared" si="2"/>
        <v>0.183</v>
      </c>
    </row>
    <row r="20" spans="1:9" x14ac:dyDescent="0.25">
      <c r="A20" t="s">
        <v>19</v>
      </c>
      <c r="B20" t="s">
        <v>29</v>
      </c>
      <c r="C20" s="10"/>
      <c r="D20" s="10"/>
      <c r="E20" s="10">
        <v>790</v>
      </c>
      <c r="F20" s="10"/>
      <c r="G20" s="10">
        <f t="shared" si="0"/>
        <v>790</v>
      </c>
      <c r="H20">
        <f t="shared" si="1"/>
        <v>0.36</v>
      </c>
      <c r="I20" s="14">
        <f t="shared" si="2"/>
        <v>2E-3</v>
      </c>
    </row>
    <row r="21" spans="1:9" x14ac:dyDescent="0.25">
      <c r="A21" t="s">
        <v>19</v>
      </c>
      <c r="B21" t="s">
        <v>30</v>
      </c>
      <c r="C21" s="10"/>
      <c r="D21" s="10"/>
      <c r="E21" s="10">
        <v>100</v>
      </c>
      <c r="F21" s="10"/>
      <c r="G21" s="10">
        <f t="shared" si="0"/>
        <v>100</v>
      </c>
      <c r="H21">
        <f t="shared" si="1"/>
        <v>0.05</v>
      </c>
      <c r="I21" s="14">
        <f t="shared" si="2"/>
        <v>0</v>
      </c>
    </row>
    <row r="22" spans="1:9" x14ac:dyDescent="0.25">
      <c r="A22" t="s">
        <v>19</v>
      </c>
      <c r="B22" t="s">
        <v>42</v>
      </c>
      <c r="C22" s="10"/>
      <c r="D22" s="10">
        <v>66</v>
      </c>
      <c r="E22" s="10"/>
      <c r="F22" s="10"/>
      <c r="G22" s="10">
        <f t="shared" si="0"/>
        <v>66</v>
      </c>
      <c r="H22">
        <f t="shared" si="1"/>
        <v>0.03</v>
      </c>
      <c r="I22" s="14">
        <f t="shared" si="2"/>
        <v>0</v>
      </c>
    </row>
    <row r="23" spans="1:9" x14ac:dyDescent="0.25">
      <c r="A23" t="s">
        <v>19</v>
      </c>
      <c r="B23" t="s">
        <v>33</v>
      </c>
      <c r="C23" s="10"/>
      <c r="D23" s="10">
        <v>120</v>
      </c>
      <c r="E23" s="10"/>
      <c r="F23" s="10"/>
      <c r="G23" s="10">
        <f t="shared" si="0"/>
        <v>120</v>
      </c>
      <c r="H23">
        <f t="shared" si="1"/>
        <v>0.06</v>
      </c>
      <c r="I23" s="14">
        <f t="shared" si="2"/>
        <v>0</v>
      </c>
    </row>
    <row r="24" spans="1:9" x14ac:dyDescent="0.25">
      <c r="A24" t="s">
        <v>19</v>
      </c>
      <c r="B24" t="s">
        <v>34</v>
      </c>
      <c r="C24" s="10"/>
      <c r="D24" s="10"/>
      <c r="E24" s="10">
        <v>540</v>
      </c>
      <c r="F24" s="10"/>
      <c r="G24" s="10">
        <f t="shared" si="0"/>
        <v>540</v>
      </c>
      <c r="H24">
        <f t="shared" si="1"/>
        <v>0.25</v>
      </c>
      <c r="I24" s="14">
        <f t="shared" si="2"/>
        <v>2E-3</v>
      </c>
    </row>
    <row r="25" spans="1:9" x14ac:dyDescent="0.25">
      <c r="A25" t="s">
        <v>19</v>
      </c>
      <c r="B25" t="s">
        <v>40</v>
      </c>
      <c r="C25" s="10"/>
      <c r="D25" s="10"/>
      <c r="E25" s="10">
        <v>2162</v>
      </c>
      <c r="F25" s="10"/>
      <c r="G25" s="10">
        <f t="shared" si="0"/>
        <v>2162</v>
      </c>
      <c r="H25">
        <f t="shared" si="1"/>
        <v>0.99</v>
      </c>
      <c r="I25" s="14">
        <f t="shared" si="2"/>
        <v>6.0000000000000001E-3</v>
      </c>
    </row>
    <row r="26" spans="1:9" x14ac:dyDescent="0.25">
      <c r="A26" t="s">
        <v>19</v>
      </c>
      <c r="B26" t="s">
        <v>36</v>
      </c>
      <c r="C26" s="10"/>
      <c r="D26" s="10"/>
      <c r="E26" s="10">
        <v>17560</v>
      </c>
      <c r="F26" s="10"/>
      <c r="G26" s="10">
        <f t="shared" si="0"/>
        <v>17560</v>
      </c>
      <c r="H26">
        <f t="shared" si="1"/>
        <v>8.07</v>
      </c>
      <c r="I26" s="14">
        <f t="shared" si="2"/>
        <v>5.1999999999999998E-2</v>
      </c>
    </row>
    <row r="27" spans="1:9" x14ac:dyDescent="0.25">
      <c r="A27" t="s">
        <v>19</v>
      </c>
      <c r="B27" t="s">
        <v>39</v>
      </c>
      <c r="C27" s="10"/>
      <c r="D27" s="10"/>
      <c r="E27" s="10">
        <v>13080</v>
      </c>
      <c r="F27" s="10"/>
      <c r="G27" s="10">
        <f t="shared" si="0"/>
        <v>13080</v>
      </c>
      <c r="H27">
        <f t="shared" si="1"/>
        <v>6.01</v>
      </c>
      <c r="I27" s="14">
        <f t="shared" si="2"/>
        <v>3.9E-2</v>
      </c>
    </row>
    <row r="28" spans="1:9" x14ac:dyDescent="0.25">
      <c r="A28" t="s">
        <v>19</v>
      </c>
      <c r="B28" t="s">
        <v>64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35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19</v>
      </c>
      <c r="B30" t="s">
        <v>38</v>
      </c>
      <c r="C30" s="10"/>
      <c r="D30" s="10"/>
      <c r="E30" s="10"/>
      <c r="F30" s="10"/>
      <c r="G30" s="10">
        <f t="shared" si="0"/>
        <v>0</v>
      </c>
      <c r="H30">
        <f t="shared" si="1"/>
        <v>0</v>
      </c>
      <c r="I30" s="14">
        <f t="shared" si="2"/>
        <v>0</v>
      </c>
    </row>
    <row r="31" spans="1:9" x14ac:dyDescent="0.25">
      <c r="A31" t="s">
        <v>19</v>
      </c>
      <c r="B31" t="s">
        <v>28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67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43</v>
      </c>
      <c r="B33" t="s">
        <v>44</v>
      </c>
      <c r="C33" s="10">
        <v>72840</v>
      </c>
      <c r="D33" s="10"/>
      <c r="E33" s="10"/>
      <c r="F33" s="10"/>
      <c r="G33" s="10">
        <f t="shared" si="0"/>
        <v>72840</v>
      </c>
      <c r="H33">
        <f t="shared" si="1"/>
        <v>33.49</v>
      </c>
      <c r="I33" s="14">
        <f t="shared" si="2"/>
        <v>0.218</v>
      </c>
    </row>
    <row r="34" spans="1:9" x14ac:dyDescent="0.25">
      <c r="A34" t="s">
        <v>43</v>
      </c>
      <c r="B34" t="s">
        <v>45</v>
      </c>
      <c r="C34" s="10"/>
      <c r="D34" s="10"/>
      <c r="E34" s="10">
        <v>14320</v>
      </c>
      <c r="F34" s="10"/>
      <c r="G34" s="10">
        <f t="shared" si="0"/>
        <v>14320</v>
      </c>
      <c r="H34">
        <f t="shared" si="1"/>
        <v>6.58</v>
      </c>
      <c r="I34" s="14">
        <f t="shared" si="2"/>
        <v>4.2999999999999997E-2</v>
      </c>
    </row>
    <row r="35" spans="1:9" x14ac:dyDescent="0.25">
      <c r="A35" s="3" t="s">
        <v>253</v>
      </c>
      <c r="B35" s="3"/>
      <c r="C35" s="8">
        <f t="shared" ref="C35:H35" si="3">SUM(C8:C34)</f>
        <v>72840</v>
      </c>
      <c r="D35" s="8">
        <f t="shared" si="3"/>
        <v>210576</v>
      </c>
      <c r="E35" s="8">
        <f t="shared" si="3"/>
        <v>49567</v>
      </c>
      <c r="F35" s="8">
        <f t="shared" si="3"/>
        <v>1905</v>
      </c>
      <c r="G35" s="8">
        <f t="shared" si="3"/>
        <v>334888</v>
      </c>
      <c r="H35" s="3">
        <f t="shared" si="3"/>
        <v>153.97</v>
      </c>
    </row>
    <row r="36" spans="1:9" x14ac:dyDescent="0.25">
      <c r="A36" s="3" t="s">
        <v>14</v>
      </c>
      <c r="B36" s="3"/>
      <c r="C36" s="13">
        <f>ROUND(C35/G35,2)</f>
        <v>0.22</v>
      </c>
      <c r="D36" s="13">
        <f>ROUND(D35/G35,2)</f>
        <v>0.63</v>
      </c>
      <c r="E36" s="13">
        <f>ROUND(E35/G35,2)</f>
        <v>0.15</v>
      </c>
      <c r="F36" s="13">
        <f>ROUND(F35/G35,2)</f>
        <v>0.01</v>
      </c>
      <c r="G36" s="3"/>
      <c r="H36" s="3"/>
    </row>
    <row r="37" spans="1:9" x14ac:dyDescent="0.25">
      <c r="A37" s="3" t="s">
        <v>47</v>
      </c>
      <c r="B37" s="3"/>
      <c r="C37" s="3"/>
      <c r="D37" s="3"/>
      <c r="E37" s="3"/>
      <c r="F37" s="3"/>
      <c r="G37" s="3"/>
      <c r="H37" s="3"/>
    </row>
    <row r="38" spans="1:9" x14ac:dyDescent="0.25">
      <c r="A38" s="3" t="s">
        <v>48</v>
      </c>
      <c r="B38" s="3"/>
      <c r="C38" s="8">
        <v>0</v>
      </c>
      <c r="D38" s="8">
        <v>210576</v>
      </c>
      <c r="E38" s="8">
        <v>35247</v>
      </c>
      <c r="F38" s="8">
        <v>1030</v>
      </c>
      <c r="G38" s="8">
        <f>SUM(C38:F38)</f>
        <v>246853</v>
      </c>
      <c r="H38" s="3">
        <f>ROUND(G38/2175,2)</f>
        <v>113.5</v>
      </c>
    </row>
    <row r="39" spans="1:9" x14ac:dyDescent="0.25">
      <c r="A39" s="3" t="s">
        <v>49</v>
      </c>
      <c r="B39" s="3"/>
      <c r="C39" s="8">
        <v>72840</v>
      </c>
      <c r="D39" s="8">
        <v>0</v>
      </c>
      <c r="E39" s="8">
        <v>14320</v>
      </c>
      <c r="F39" s="8">
        <v>0</v>
      </c>
      <c r="G39" s="8">
        <f>SUM(C39:F39)</f>
        <v>87160</v>
      </c>
      <c r="H39" s="3">
        <f>ROUND(G39/2175,2)</f>
        <v>40.07</v>
      </c>
    </row>
    <row r="40" spans="1:9" x14ac:dyDescent="0.25">
      <c r="A40" s="3" t="s">
        <v>50</v>
      </c>
      <c r="B40" s="3"/>
      <c r="C40" s="8">
        <v>0</v>
      </c>
      <c r="D40" s="8">
        <v>0</v>
      </c>
      <c r="E40" s="8">
        <v>0</v>
      </c>
      <c r="F40" s="8">
        <v>875</v>
      </c>
      <c r="G40" s="8">
        <f>SUM(C40:F40)</f>
        <v>875</v>
      </c>
      <c r="H40" s="3">
        <f>ROUND(G40/2175,2)</f>
        <v>0.4</v>
      </c>
    </row>
    <row r="41" spans="1:9" x14ac:dyDescent="0.25">
      <c r="A41" s="3"/>
      <c r="B41" s="3"/>
      <c r="C41" s="3"/>
      <c r="D41" s="3"/>
      <c r="E41" s="3"/>
      <c r="F41" s="3"/>
      <c r="G41" s="3"/>
      <c r="H41" s="3"/>
    </row>
    <row r="42" spans="1:9" x14ac:dyDescent="0.25">
      <c r="A42" s="3"/>
      <c r="B42" s="3"/>
      <c r="C42" s="3" t="s">
        <v>2</v>
      </c>
      <c r="D42" s="3">
        <v>2022</v>
      </c>
      <c r="E42" s="3" t="s">
        <v>51</v>
      </c>
      <c r="F42" s="3"/>
      <c r="G42" s="3"/>
      <c r="H42" s="3"/>
    </row>
    <row r="43" spans="1:9" x14ac:dyDescent="0.25">
      <c r="A43" s="3" t="s">
        <v>52</v>
      </c>
      <c r="B43" s="3"/>
      <c r="C43" s="13">
        <v>0.78180000000000005</v>
      </c>
      <c r="D43" s="13">
        <v>0.7792</v>
      </c>
      <c r="E43" s="13">
        <v>0.77659999999999996</v>
      </c>
      <c r="F43" s="3"/>
      <c r="G43" s="3"/>
      <c r="H43" s="3"/>
    </row>
    <row r="44" spans="1:9" x14ac:dyDescent="0.25">
      <c r="A44" s="3" t="s">
        <v>53</v>
      </c>
      <c r="B44" s="3"/>
      <c r="C44" s="13">
        <v>0.78180000000000005</v>
      </c>
      <c r="D44" s="13">
        <v>0.70909999999999995</v>
      </c>
      <c r="E44" s="13">
        <v>0.75900000000000001</v>
      </c>
      <c r="F44" s="3"/>
      <c r="G44" s="3"/>
      <c r="H44" s="3"/>
    </row>
    <row r="45" spans="1:9" x14ac:dyDescent="0.25">
      <c r="A45" s="3"/>
      <c r="B45" s="3"/>
      <c r="C45" s="3"/>
      <c r="D45" s="3"/>
      <c r="E45" s="3"/>
      <c r="F45" s="3"/>
      <c r="G45" s="3"/>
      <c r="H45" s="3"/>
    </row>
    <row r="46" spans="1:9" x14ac:dyDescent="0.25">
      <c r="A46" s="5" t="s">
        <v>256</v>
      </c>
      <c r="B46" s="3"/>
      <c r="C46" s="3" t="s">
        <v>2</v>
      </c>
      <c r="D46" s="3" t="s">
        <v>104</v>
      </c>
      <c r="E46" s="3" t="s">
        <v>55</v>
      </c>
      <c r="F46" s="3" t="s">
        <v>254</v>
      </c>
      <c r="G46" s="3"/>
      <c r="H46" s="3"/>
    </row>
    <row r="47" spans="1:9" x14ac:dyDescent="0.25">
      <c r="A47" s="3" t="s">
        <v>56</v>
      </c>
      <c r="B47" s="3"/>
      <c r="C47" s="3"/>
      <c r="D47" s="3">
        <v>58.14</v>
      </c>
      <c r="E47" s="3">
        <v>81.5</v>
      </c>
      <c r="F47" s="3">
        <v>50.61</v>
      </c>
      <c r="G47" s="3"/>
      <c r="H47" s="3"/>
    </row>
    <row r="48" spans="1:9" x14ac:dyDescent="0.25">
      <c r="A48" s="3" t="s">
        <v>57</v>
      </c>
      <c r="B48" s="3"/>
      <c r="C48" s="3"/>
      <c r="D48" s="3">
        <v>67.08</v>
      </c>
      <c r="E48" s="3">
        <v>58.24</v>
      </c>
      <c r="F48" s="3">
        <v>57.37</v>
      </c>
      <c r="G48" s="3"/>
      <c r="H48" s="3"/>
    </row>
    <row r="49" spans="1:8" x14ac:dyDescent="0.25">
      <c r="A49" s="3" t="s">
        <v>58</v>
      </c>
      <c r="B49" s="3"/>
      <c r="C49" s="3"/>
      <c r="D49" s="3">
        <v>235.07</v>
      </c>
      <c r="E49" s="3">
        <v>261.52999999999997</v>
      </c>
      <c r="F49" s="3">
        <v>249.57</v>
      </c>
      <c r="G49" s="3"/>
      <c r="H49" s="3"/>
    </row>
    <row r="50" spans="1:8" x14ac:dyDescent="0.25">
      <c r="A50" s="3" t="s">
        <v>59</v>
      </c>
      <c r="B50" s="3"/>
      <c r="C50" s="3"/>
      <c r="D50" s="3">
        <v>71.63</v>
      </c>
      <c r="E50" s="3">
        <v>103.11</v>
      </c>
      <c r="F50" s="3">
        <v>71.400000000000006</v>
      </c>
      <c r="G50" s="3"/>
      <c r="H5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48"/>
  <sheetViews>
    <sheetView topLeftCell="A27" workbookViewId="0">
      <selection activeCell="G45" sqref="G45:G48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6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105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436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7570</v>
      </c>
      <c r="D9" s="10"/>
      <c r="E9" s="10">
        <v>1667.66</v>
      </c>
      <c r="F9" s="10"/>
      <c r="G9" s="10">
        <f t="shared" ref="G9:G32" si="0">SUM(C9:F9)</f>
        <v>9237.66</v>
      </c>
      <c r="H9">
        <f t="shared" ref="H9:H32" si="1">ROUND(G9/436,2)</f>
        <v>21.19</v>
      </c>
      <c r="I9">
        <f t="shared" ref="I9:I32" si="2">ROUND(G9/$G$33,3)</f>
        <v>9.4E-2</v>
      </c>
    </row>
    <row r="10" spans="1:9" x14ac:dyDescent="0.25">
      <c r="A10" t="s">
        <v>19</v>
      </c>
      <c r="B10" t="s">
        <v>21</v>
      </c>
      <c r="C10" s="10">
        <v>14920</v>
      </c>
      <c r="D10" s="10"/>
      <c r="E10" s="10"/>
      <c r="F10" s="10"/>
      <c r="G10" s="10">
        <f t="shared" si="0"/>
        <v>14920</v>
      </c>
      <c r="H10">
        <f t="shared" si="1"/>
        <v>34.22</v>
      </c>
      <c r="I10">
        <f t="shared" si="2"/>
        <v>0.152</v>
      </c>
    </row>
    <row r="11" spans="1:9" x14ac:dyDescent="0.25">
      <c r="A11" t="s">
        <v>19</v>
      </c>
      <c r="B11" t="s">
        <v>41</v>
      </c>
      <c r="C11" s="10"/>
      <c r="D11" s="10"/>
      <c r="E11" s="10">
        <v>34.29</v>
      </c>
      <c r="F11" s="10"/>
      <c r="G11" s="10">
        <f t="shared" si="0"/>
        <v>34.29</v>
      </c>
      <c r="H11">
        <f t="shared" si="1"/>
        <v>0.08</v>
      </c>
      <c r="I11">
        <f t="shared" si="2"/>
        <v>0</v>
      </c>
    </row>
    <row r="12" spans="1:9" x14ac:dyDescent="0.25">
      <c r="A12" t="s">
        <v>19</v>
      </c>
      <c r="B12" t="s">
        <v>23</v>
      </c>
      <c r="C12" s="10"/>
      <c r="D12" s="10"/>
      <c r="E12" s="10">
        <v>4286.17</v>
      </c>
      <c r="F12" s="10"/>
      <c r="G12" s="10">
        <f t="shared" si="0"/>
        <v>4286.17</v>
      </c>
      <c r="H12">
        <f t="shared" si="1"/>
        <v>9.83</v>
      </c>
      <c r="I12">
        <f t="shared" si="2"/>
        <v>4.3999999999999997E-2</v>
      </c>
    </row>
    <row r="13" spans="1:9" x14ac:dyDescent="0.25">
      <c r="A13" t="s">
        <v>19</v>
      </c>
      <c r="B13" t="s">
        <v>24</v>
      </c>
      <c r="C13" s="10">
        <v>10450</v>
      </c>
      <c r="D13" s="10"/>
      <c r="E13" s="10">
        <v>1761.06</v>
      </c>
      <c r="F13" s="10"/>
      <c r="G13" s="10">
        <f t="shared" si="0"/>
        <v>12211.06</v>
      </c>
      <c r="H13">
        <f t="shared" si="1"/>
        <v>28.01</v>
      </c>
      <c r="I13">
        <f t="shared" si="2"/>
        <v>0.124</v>
      </c>
    </row>
    <row r="14" spans="1:9" x14ac:dyDescent="0.25">
      <c r="A14" t="s">
        <v>19</v>
      </c>
      <c r="B14" t="s">
        <v>25</v>
      </c>
      <c r="C14" s="10">
        <v>8900</v>
      </c>
      <c r="D14" s="10"/>
      <c r="E14" s="10"/>
      <c r="F14" s="10"/>
      <c r="G14" s="10">
        <f t="shared" si="0"/>
        <v>8900</v>
      </c>
      <c r="H14">
        <f t="shared" si="1"/>
        <v>20.41</v>
      </c>
      <c r="I14">
        <f t="shared" si="2"/>
        <v>9.0999999999999998E-2</v>
      </c>
    </row>
    <row r="15" spans="1:9" x14ac:dyDescent="0.25">
      <c r="A15" t="s">
        <v>19</v>
      </c>
      <c r="B15" t="s">
        <v>29</v>
      </c>
      <c r="C15" s="10"/>
      <c r="D15" s="10"/>
      <c r="E15" s="10">
        <v>208.89</v>
      </c>
      <c r="F15" s="10"/>
      <c r="G15" s="10">
        <f t="shared" si="0"/>
        <v>208.89</v>
      </c>
      <c r="H15">
        <f t="shared" si="1"/>
        <v>0.48</v>
      </c>
      <c r="I15">
        <f t="shared" si="2"/>
        <v>2E-3</v>
      </c>
    </row>
    <row r="16" spans="1:9" x14ac:dyDescent="0.25">
      <c r="A16" t="s">
        <v>19</v>
      </c>
      <c r="B16" t="s">
        <v>30</v>
      </c>
      <c r="C16" s="10"/>
      <c r="D16" s="10"/>
      <c r="E16" s="10">
        <v>76.13</v>
      </c>
      <c r="F16" s="10"/>
      <c r="G16" s="10">
        <f t="shared" si="0"/>
        <v>76.13</v>
      </c>
      <c r="H16">
        <f t="shared" si="1"/>
        <v>0.17</v>
      </c>
      <c r="I16">
        <f t="shared" si="2"/>
        <v>1E-3</v>
      </c>
    </row>
    <row r="17" spans="1:9" x14ac:dyDescent="0.25">
      <c r="A17" t="s">
        <v>19</v>
      </c>
      <c r="B17" t="s">
        <v>32</v>
      </c>
      <c r="C17" s="10"/>
      <c r="D17" s="10"/>
      <c r="E17" s="10">
        <v>520</v>
      </c>
      <c r="F17" s="10"/>
      <c r="G17" s="10">
        <f t="shared" si="0"/>
        <v>520</v>
      </c>
      <c r="H17">
        <f t="shared" si="1"/>
        <v>1.19</v>
      </c>
      <c r="I17">
        <f t="shared" si="2"/>
        <v>5.0000000000000001E-3</v>
      </c>
    </row>
    <row r="18" spans="1:9" x14ac:dyDescent="0.25">
      <c r="A18" t="s">
        <v>19</v>
      </c>
      <c r="B18" t="s">
        <v>33</v>
      </c>
      <c r="C18" s="10"/>
      <c r="D18" s="10"/>
      <c r="E18" s="10">
        <v>188.33</v>
      </c>
      <c r="F18" s="10"/>
      <c r="G18" s="10">
        <f t="shared" si="0"/>
        <v>188.33</v>
      </c>
      <c r="H18">
        <f t="shared" si="1"/>
        <v>0.43</v>
      </c>
      <c r="I18">
        <f t="shared" si="2"/>
        <v>2E-3</v>
      </c>
    </row>
    <row r="19" spans="1:9" x14ac:dyDescent="0.25">
      <c r="A19" t="s">
        <v>19</v>
      </c>
      <c r="B19" t="s">
        <v>34</v>
      </c>
      <c r="C19" s="10"/>
      <c r="D19" s="10"/>
      <c r="E19" s="10">
        <v>541.9</v>
      </c>
      <c r="F19" s="10"/>
      <c r="G19" s="10">
        <f t="shared" si="0"/>
        <v>541.9</v>
      </c>
      <c r="H19">
        <f t="shared" si="1"/>
        <v>1.24</v>
      </c>
      <c r="I19">
        <f t="shared" si="2"/>
        <v>6.0000000000000001E-3</v>
      </c>
    </row>
    <row r="20" spans="1:9" x14ac:dyDescent="0.25">
      <c r="A20" t="s">
        <v>19</v>
      </c>
      <c r="B20" t="s">
        <v>35</v>
      </c>
      <c r="C20" s="10"/>
      <c r="D20" s="10"/>
      <c r="E20" s="10">
        <v>162.22</v>
      </c>
      <c r="F20" s="10"/>
      <c r="G20" s="10">
        <f t="shared" si="0"/>
        <v>162.22</v>
      </c>
      <c r="H20">
        <f t="shared" si="1"/>
        <v>0.37</v>
      </c>
      <c r="I20">
        <f t="shared" si="2"/>
        <v>2E-3</v>
      </c>
    </row>
    <row r="21" spans="1:9" x14ac:dyDescent="0.25">
      <c r="A21" t="s">
        <v>19</v>
      </c>
      <c r="B21" t="s">
        <v>36</v>
      </c>
      <c r="C21" s="10"/>
      <c r="D21" s="10"/>
      <c r="E21" s="10">
        <v>6641.66</v>
      </c>
      <c r="F21" s="10"/>
      <c r="G21" s="10">
        <f t="shared" si="0"/>
        <v>6641.66</v>
      </c>
      <c r="H21">
        <f t="shared" si="1"/>
        <v>15.23</v>
      </c>
      <c r="I21">
        <f t="shared" si="2"/>
        <v>6.8000000000000005E-2</v>
      </c>
    </row>
    <row r="22" spans="1:9" x14ac:dyDescent="0.25">
      <c r="A22" t="s">
        <v>19</v>
      </c>
      <c r="B22" t="s">
        <v>38</v>
      </c>
      <c r="C22" s="10"/>
      <c r="D22" s="10"/>
      <c r="E22" s="10">
        <v>2472.19</v>
      </c>
      <c r="F22" s="10"/>
      <c r="G22" s="10">
        <f t="shared" si="0"/>
        <v>2472.19</v>
      </c>
      <c r="H22">
        <f t="shared" si="1"/>
        <v>5.67</v>
      </c>
      <c r="I22">
        <f t="shared" si="2"/>
        <v>2.5000000000000001E-2</v>
      </c>
    </row>
    <row r="23" spans="1:9" x14ac:dyDescent="0.25">
      <c r="A23" t="s">
        <v>19</v>
      </c>
      <c r="B23" t="s">
        <v>39</v>
      </c>
      <c r="C23" s="10"/>
      <c r="D23" s="10"/>
      <c r="E23" s="10">
        <v>1039.82</v>
      </c>
      <c r="F23" s="10"/>
      <c r="G23" s="10">
        <f t="shared" si="0"/>
        <v>1039.82</v>
      </c>
      <c r="H23">
        <f t="shared" si="1"/>
        <v>2.38</v>
      </c>
      <c r="I23">
        <f t="shared" si="2"/>
        <v>1.0999999999999999E-2</v>
      </c>
    </row>
    <row r="24" spans="1:9" x14ac:dyDescent="0.25">
      <c r="A24" t="s">
        <v>19</v>
      </c>
      <c r="B24" t="s">
        <v>22</v>
      </c>
      <c r="C24" s="10"/>
      <c r="D24" s="10"/>
      <c r="E24" s="10"/>
      <c r="F24" s="10"/>
      <c r="G24" s="10">
        <f t="shared" si="0"/>
        <v>0</v>
      </c>
      <c r="H24">
        <f t="shared" si="1"/>
        <v>0</v>
      </c>
      <c r="I24">
        <f t="shared" si="2"/>
        <v>0</v>
      </c>
    </row>
    <row r="25" spans="1:9" x14ac:dyDescent="0.25">
      <c r="A25" t="s">
        <v>19</v>
      </c>
      <c r="B25" t="s">
        <v>28</v>
      </c>
      <c r="C25" s="10"/>
      <c r="D25" s="10"/>
      <c r="E25" s="10"/>
      <c r="F25" s="10"/>
      <c r="G25" s="10">
        <f t="shared" si="0"/>
        <v>0</v>
      </c>
      <c r="H25">
        <f t="shared" si="1"/>
        <v>0</v>
      </c>
      <c r="I25">
        <f t="shared" si="2"/>
        <v>0</v>
      </c>
    </row>
    <row r="26" spans="1:9" x14ac:dyDescent="0.25">
      <c r="A26" t="s">
        <v>19</v>
      </c>
      <c r="B26" t="s">
        <v>31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>
        <f t="shared" si="2"/>
        <v>0</v>
      </c>
    </row>
    <row r="27" spans="1:9" x14ac:dyDescent="0.25">
      <c r="A27" t="s">
        <v>19</v>
      </c>
      <c r="B27" t="s">
        <v>42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>
        <f t="shared" si="2"/>
        <v>0</v>
      </c>
    </row>
    <row r="28" spans="1:9" x14ac:dyDescent="0.25">
      <c r="A28" t="s">
        <v>19</v>
      </c>
      <c r="B28" t="s">
        <v>37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>
        <f t="shared" si="2"/>
        <v>0</v>
      </c>
    </row>
    <row r="29" spans="1:9" x14ac:dyDescent="0.25">
      <c r="A29" t="s">
        <v>43</v>
      </c>
      <c r="B29" t="s">
        <v>44</v>
      </c>
      <c r="C29" s="10">
        <v>32570</v>
      </c>
      <c r="D29" s="10"/>
      <c r="E29" s="10"/>
      <c r="F29" s="10"/>
      <c r="G29" s="10">
        <f t="shared" si="0"/>
        <v>32570</v>
      </c>
      <c r="H29">
        <f t="shared" si="1"/>
        <v>74.7</v>
      </c>
      <c r="I29">
        <f t="shared" si="2"/>
        <v>0.33100000000000002</v>
      </c>
    </row>
    <row r="30" spans="1:9" x14ac:dyDescent="0.25">
      <c r="A30" t="s">
        <v>43</v>
      </c>
      <c r="B30" t="s">
        <v>45</v>
      </c>
      <c r="C30" s="10"/>
      <c r="D30" s="10"/>
      <c r="E30" s="10">
        <v>4301.25</v>
      </c>
      <c r="F30" s="10"/>
      <c r="G30" s="10">
        <f t="shared" si="0"/>
        <v>4301.25</v>
      </c>
      <c r="H30">
        <f t="shared" si="1"/>
        <v>9.8699999999999992</v>
      </c>
      <c r="I30">
        <f t="shared" si="2"/>
        <v>4.3999999999999997E-2</v>
      </c>
    </row>
    <row r="31" spans="1:9" x14ac:dyDescent="0.25">
      <c r="A31" t="s">
        <v>43</v>
      </c>
      <c r="B31" t="s">
        <v>46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>
        <f t="shared" si="2"/>
        <v>0</v>
      </c>
    </row>
    <row r="32" spans="1:9" x14ac:dyDescent="0.25">
      <c r="A32" t="s">
        <v>15</v>
      </c>
      <c r="B32" t="s">
        <v>18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>
        <f t="shared" si="2"/>
        <v>0</v>
      </c>
    </row>
    <row r="33" spans="1:8" x14ac:dyDescent="0.25">
      <c r="A33" s="3" t="s">
        <v>253</v>
      </c>
      <c r="B33" s="3"/>
      <c r="C33" s="8">
        <f t="shared" ref="C33:H33" si="3">SUM(C8:C32)</f>
        <v>74410</v>
      </c>
      <c r="D33" s="8">
        <f t="shared" si="3"/>
        <v>0</v>
      </c>
      <c r="E33" s="8">
        <f t="shared" si="3"/>
        <v>23901.57</v>
      </c>
      <c r="F33" s="8">
        <f t="shared" si="3"/>
        <v>0</v>
      </c>
      <c r="G33" s="8">
        <f t="shared" si="3"/>
        <v>98311.57</v>
      </c>
      <c r="H33" s="3">
        <f t="shared" si="3"/>
        <v>225.46999999999997</v>
      </c>
    </row>
    <row r="34" spans="1:8" x14ac:dyDescent="0.25">
      <c r="A34" s="3" t="s">
        <v>14</v>
      </c>
      <c r="B34" s="3"/>
      <c r="C34" s="13">
        <f>ROUND(C33/G33,2)</f>
        <v>0.76</v>
      </c>
      <c r="D34" s="13">
        <f>ROUND(D33/G33,2)</f>
        <v>0</v>
      </c>
      <c r="E34" s="13">
        <f>ROUND(E33/G33,2)</f>
        <v>0.24</v>
      </c>
      <c r="F34" s="13">
        <f>ROUND(F33/G33,2)</f>
        <v>0</v>
      </c>
      <c r="G34" s="3"/>
      <c r="H34" s="3"/>
    </row>
    <row r="35" spans="1:8" x14ac:dyDescent="0.25">
      <c r="A35" s="3" t="s">
        <v>47</v>
      </c>
      <c r="B35" s="3"/>
      <c r="C35" s="3"/>
      <c r="D35" s="3"/>
      <c r="E35" s="3"/>
      <c r="F35" s="3"/>
      <c r="G35" s="3"/>
      <c r="H35" s="3"/>
    </row>
    <row r="36" spans="1:8" x14ac:dyDescent="0.25">
      <c r="A36" s="3" t="s">
        <v>48</v>
      </c>
      <c r="B36" s="3"/>
      <c r="C36" s="8">
        <v>41840</v>
      </c>
      <c r="D36" s="8">
        <v>0</v>
      </c>
      <c r="E36" s="8">
        <v>19600.32</v>
      </c>
      <c r="F36" s="8">
        <v>0</v>
      </c>
      <c r="G36" s="8">
        <f>SUM(C36:F36)</f>
        <v>61440.32</v>
      </c>
      <c r="H36" s="3">
        <f>ROUND(G36/436,2)</f>
        <v>140.91999999999999</v>
      </c>
    </row>
    <row r="37" spans="1:8" x14ac:dyDescent="0.25">
      <c r="A37" s="3" t="s">
        <v>49</v>
      </c>
      <c r="B37" s="3"/>
      <c r="C37" s="8">
        <v>32570</v>
      </c>
      <c r="D37" s="8">
        <v>0</v>
      </c>
      <c r="E37" s="8">
        <v>4301.25</v>
      </c>
      <c r="F37" s="8">
        <v>0</v>
      </c>
      <c r="G37" s="8">
        <f>SUM(C37:F37)</f>
        <v>36871.25</v>
      </c>
      <c r="H37" s="3">
        <f>ROUND(G37/436,2)</f>
        <v>84.57</v>
      </c>
    </row>
    <row r="38" spans="1:8" x14ac:dyDescent="0.25">
      <c r="A38" s="3" t="s">
        <v>50</v>
      </c>
      <c r="B38" s="3"/>
      <c r="C38" s="8">
        <v>0</v>
      </c>
      <c r="D38" s="8">
        <v>0</v>
      </c>
      <c r="E38" s="8">
        <v>0</v>
      </c>
      <c r="F38" s="8">
        <v>0</v>
      </c>
      <c r="G38" s="8">
        <f>SUM(C38:F38)</f>
        <v>0</v>
      </c>
      <c r="H38" s="3">
        <f>ROUND(G38/436,2)</f>
        <v>0</v>
      </c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 t="s">
        <v>2</v>
      </c>
      <c r="D40" s="3">
        <v>2022</v>
      </c>
      <c r="E40" s="3" t="s">
        <v>51</v>
      </c>
      <c r="F40" s="3"/>
      <c r="G40" s="3"/>
      <c r="H40" s="3"/>
    </row>
    <row r="41" spans="1:8" x14ac:dyDescent="0.25">
      <c r="A41" s="3" t="s">
        <v>52</v>
      </c>
      <c r="B41" s="3"/>
      <c r="C41" s="13">
        <v>0.65359999999999996</v>
      </c>
      <c r="D41" s="13">
        <v>0.7228</v>
      </c>
      <c r="E41" s="13">
        <v>0.77659999999999996</v>
      </c>
      <c r="F41" s="3"/>
      <c r="G41" s="3"/>
      <c r="H41" s="3"/>
    </row>
    <row r="42" spans="1:8" x14ac:dyDescent="0.25">
      <c r="A42" s="3" t="s">
        <v>53</v>
      </c>
      <c r="B42" s="3"/>
      <c r="C42" s="13">
        <v>0.65359999999999996</v>
      </c>
      <c r="D42" s="13">
        <v>0.68740000000000001</v>
      </c>
      <c r="E42" s="13">
        <v>0.75900000000000001</v>
      </c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5" t="s">
        <v>256</v>
      </c>
      <c r="B44" s="3"/>
      <c r="C44" s="3" t="s">
        <v>2</v>
      </c>
      <c r="D44" s="3" t="s">
        <v>106</v>
      </c>
      <c r="E44" s="3" t="s">
        <v>55</v>
      </c>
      <c r="F44" s="3" t="s">
        <v>254</v>
      </c>
      <c r="G44" s="3"/>
      <c r="H44" s="3"/>
    </row>
    <row r="45" spans="1:8" x14ac:dyDescent="0.25">
      <c r="A45" s="3" t="s">
        <v>56</v>
      </c>
      <c r="B45" s="3"/>
      <c r="C45" s="3"/>
      <c r="D45" s="3">
        <v>105.65</v>
      </c>
      <c r="E45" s="3">
        <v>81.5</v>
      </c>
      <c r="F45" s="3">
        <v>50.61</v>
      </c>
      <c r="G45" s="3"/>
      <c r="H45" s="3"/>
    </row>
    <row r="46" spans="1:8" x14ac:dyDescent="0.25">
      <c r="A46" s="3" t="s">
        <v>57</v>
      </c>
      <c r="B46" s="3"/>
      <c r="C46" s="3"/>
      <c r="D46" s="3">
        <v>49.03</v>
      </c>
      <c r="E46" s="3">
        <v>58.24</v>
      </c>
      <c r="F46" s="3">
        <v>57.37</v>
      </c>
      <c r="G46" s="3"/>
      <c r="H46" s="3"/>
    </row>
    <row r="47" spans="1:8" x14ac:dyDescent="0.25">
      <c r="A47" s="3" t="s">
        <v>58</v>
      </c>
      <c r="B47" s="3"/>
      <c r="C47" s="3"/>
      <c r="D47" s="3">
        <v>284.77</v>
      </c>
      <c r="E47" s="3">
        <v>261.52999999999997</v>
      </c>
      <c r="F47" s="3">
        <v>249.57</v>
      </c>
      <c r="G47" s="3"/>
      <c r="H47" s="3"/>
    </row>
    <row r="48" spans="1:8" x14ac:dyDescent="0.25">
      <c r="A48" s="3" t="s">
        <v>59</v>
      </c>
      <c r="B48" s="3"/>
      <c r="C48" s="3"/>
      <c r="D48" s="3">
        <v>143.93</v>
      </c>
      <c r="E48" s="3">
        <v>103.11</v>
      </c>
      <c r="F48" s="3">
        <v>71.400000000000006</v>
      </c>
      <c r="G48" s="3"/>
      <c r="H4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55"/>
  <sheetViews>
    <sheetView topLeftCell="A30" workbookViewId="0">
      <selection activeCell="G52" sqref="G52:G55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32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107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3142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18</v>
      </c>
      <c r="C9" s="10"/>
      <c r="D9" s="10"/>
      <c r="E9" s="10">
        <v>10</v>
      </c>
      <c r="F9" s="10"/>
      <c r="G9" s="10">
        <f t="shared" ref="G9:G39" si="0">SUM(C9:F9)</f>
        <v>10</v>
      </c>
      <c r="H9">
        <f t="shared" ref="H9:H39" si="1">ROUND(G9/3142,2)</f>
        <v>0</v>
      </c>
      <c r="I9" s="14">
        <f t="shared" ref="I9:I39" si="2">ROUND(G9/$G$40,3)</f>
        <v>0</v>
      </c>
    </row>
    <row r="10" spans="1:9" x14ac:dyDescent="0.25">
      <c r="A10" t="s">
        <v>19</v>
      </c>
      <c r="B10" t="s">
        <v>64</v>
      </c>
      <c r="C10" s="10"/>
      <c r="D10" s="10"/>
      <c r="E10" s="10">
        <v>35</v>
      </c>
      <c r="F10" s="10"/>
      <c r="G10" s="10">
        <f t="shared" si="0"/>
        <v>35</v>
      </c>
      <c r="H10">
        <f t="shared" si="1"/>
        <v>0.01</v>
      </c>
      <c r="I10" s="14">
        <f t="shared" si="2"/>
        <v>0</v>
      </c>
    </row>
    <row r="11" spans="1:9" x14ac:dyDescent="0.25">
      <c r="A11" t="s">
        <v>19</v>
      </c>
      <c r="B11" t="s">
        <v>20</v>
      </c>
      <c r="C11" s="10">
        <v>50410</v>
      </c>
      <c r="D11" s="10"/>
      <c r="E11" s="10"/>
      <c r="F11" s="10">
        <v>510</v>
      </c>
      <c r="G11" s="10">
        <f t="shared" si="0"/>
        <v>50920</v>
      </c>
      <c r="H11">
        <f t="shared" si="1"/>
        <v>16.21</v>
      </c>
      <c r="I11" s="14">
        <f t="shared" si="2"/>
        <v>0.113</v>
      </c>
    </row>
    <row r="12" spans="1:9" x14ac:dyDescent="0.25">
      <c r="A12" t="s">
        <v>19</v>
      </c>
      <c r="B12" t="s">
        <v>21</v>
      </c>
      <c r="C12" s="10">
        <v>73590</v>
      </c>
      <c r="D12" s="10"/>
      <c r="E12" s="10"/>
      <c r="F12" s="10"/>
      <c r="G12" s="10">
        <f t="shared" si="0"/>
        <v>73590</v>
      </c>
      <c r="H12">
        <f t="shared" si="1"/>
        <v>23.42</v>
      </c>
      <c r="I12" s="14">
        <f t="shared" si="2"/>
        <v>0.16300000000000001</v>
      </c>
    </row>
    <row r="13" spans="1:9" x14ac:dyDescent="0.25">
      <c r="A13" t="s">
        <v>19</v>
      </c>
      <c r="B13" t="s">
        <v>76</v>
      </c>
      <c r="C13" s="10"/>
      <c r="D13" s="10"/>
      <c r="E13" s="10">
        <v>42</v>
      </c>
      <c r="F13" s="10"/>
      <c r="G13" s="10">
        <f t="shared" si="0"/>
        <v>42</v>
      </c>
      <c r="H13">
        <f t="shared" si="1"/>
        <v>0.01</v>
      </c>
      <c r="I13" s="14">
        <f t="shared" si="2"/>
        <v>0</v>
      </c>
    </row>
    <row r="14" spans="1:9" x14ac:dyDescent="0.25">
      <c r="A14" t="s">
        <v>19</v>
      </c>
      <c r="B14" t="s">
        <v>41</v>
      </c>
      <c r="C14" s="10"/>
      <c r="D14" s="10"/>
      <c r="E14" s="10">
        <v>62</v>
      </c>
      <c r="F14" s="10"/>
      <c r="G14" s="10">
        <f t="shared" si="0"/>
        <v>62</v>
      </c>
      <c r="H14">
        <f t="shared" si="1"/>
        <v>0.02</v>
      </c>
      <c r="I14" s="14">
        <f t="shared" si="2"/>
        <v>0</v>
      </c>
    </row>
    <row r="15" spans="1:9" x14ac:dyDescent="0.25">
      <c r="A15" t="s">
        <v>19</v>
      </c>
      <c r="B15" t="s">
        <v>24</v>
      </c>
      <c r="C15" s="10">
        <v>68420</v>
      </c>
      <c r="D15" s="10"/>
      <c r="E15" s="10"/>
      <c r="F15" s="10">
        <v>500</v>
      </c>
      <c r="G15" s="10">
        <f t="shared" si="0"/>
        <v>68920</v>
      </c>
      <c r="H15">
        <f t="shared" si="1"/>
        <v>21.94</v>
      </c>
      <c r="I15" s="14">
        <f t="shared" si="2"/>
        <v>0.153</v>
      </c>
    </row>
    <row r="16" spans="1:9" x14ac:dyDescent="0.25">
      <c r="A16" t="s">
        <v>19</v>
      </c>
      <c r="B16" t="s">
        <v>66</v>
      </c>
      <c r="C16" s="10"/>
      <c r="D16" s="10"/>
      <c r="E16" s="10">
        <v>2100</v>
      </c>
      <c r="F16" s="10"/>
      <c r="G16" s="10">
        <f t="shared" si="0"/>
        <v>2100</v>
      </c>
      <c r="H16">
        <f t="shared" si="1"/>
        <v>0.67</v>
      </c>
      <c r="I16" s="14">
        <f t="shared" si="2"/>
        <v>5.0000000000000001E-3</v>
      </c>
    </row>
    <row r="17" spans="1:9" x14ac:dyDescent="0.25">
      <c r="A17" t="s">
        <v>19</v>
      </c>
      <c r="B17" t="s">
        <v>25</v>
      </c>
      <c r="C17" s="10">
        <v>93740</v>
      </c>
      <c r="D17" s="10"/>
      <c r="E17" s="10"/>
      <c r="F17" s="10">
        <v>620</v>
      </c>
      <c r="G17" s="10">
        <f t="shared" si="0"/>
        <v>94360</v>
      </c>
      <c r="H17">
        <f t="shared" si="1"/>
        <v>30.03</v>
      </c>
      <c r="I17" s="14">
        <f t="shared" si="2"/>
        <v>0.20899999999999999</v>
      </c>
    </row>
    <row r="18" spans="1:9" x14ac:dyDescent="0.25">
      <c r="A18" t="s">
        <v>19</v>
      </c>
      <c r="B18" t="s">
        <v>26</v>
      </c>
      <c r="C18" s="10"/>
      <c r="D18" s="10"/>
      <c r="E18" s="10">
        <v>111</v>
      </c>
      <c r="F18" s="10"/>
      <c r="G18" s="10">
        <f t="shared" si="0"/>
        <v>111</v>
      </c>
      <c r="H18">
        <f t="shared" si="1"/>
        <v>0.04</v>
      </c>
      <c r="I18" s="14">
        <f t="shared" si="2"/>
        <v>0</v>
      </c>
    </row>
    <row r="19" spans="1:9" x14ac:dyDescent="0.25">
      <c r="A19" t="s">
        <v>19</v>
      </c>
      <c r="B19" t="s">
        <v>27</v>
      </c>
      <c r="C19" s="10"/>
      <c r="D19" s="10"/>
      <c r="E19" s="10">
        <v>70</v>
      </c>
      <c r="F19" s="10"/>
      <c r="G19" s="10">
        <f t="shared" si="0"/>
        <v>70</v>
      </c>
      <c r="H19">
        <f t="shared" si="1"/>
        <v>0.02</v>
      </c>
      <c r="I19" s="14">
        <f t="shared" si="2"/>
        <v>0</v>
      </c>
    </row>
    <row r="20" spans="1:9" x14ac:dyDescent="0.25">
      <c r="A20" t="s">
        <v>19</v>
      </c>
      <c r="B20" t="s">
        <v>28</v>
      </c>
      <c r="C20" s="10"/>
      <c r="D20" s="10"/>
      <c r="E20" s="10">
        <v>234</v>
      </c>
      <c r="F20" s="10"/>
      <c r="G20" s="10">
        <f t="shared" si="0"/>
        <v>234</v>
      </c>
      <c r="H20">
        <f t="shared" si="1"/>
        <v>7.0000000000000007E-2</v>
      </c>
      <c r="I20" s="14">
        <f t="shared" si="2"/>
        <v>1E-3</v>
      </c>
    </row>
    <row r="21" spans="1:9" x14ac:dyDescent="0.25">
      <c r="A21" t="s">
        <v>19</v>
      </c>
      <c r="B21" t="s">
        <v>29</v>
      </c>
      <c r="C21" s="10"/>
      <c r="D21" s="10"/>
      <c r="E21" s="10">
        <v>1936</v>
      </c>
      <c r="F21" s="10"/>
      <c r="G21" s="10">
        <f t="shared" si="0"/>
        <v>1936</v>
      </c>
      <c r="H21">
        <f t="shared" si="1"/>
        <v>0.62</v>
      </c>
      <c r="I21" s="14">
        <f t="shared" si="2"/>
        <v>4.0000000000000001E-3</v>
      </c>
    </row>
    <row r="22" spans="1:9" x14ac:dyDescent="0.25">
      <c r="A22" t="s">
        <v>19</v>
      </c>
      <c r="B22" t="s">
        <v>30</v>
      </c>
      <c r="C22" s="10"/>
      <c r="D22" s="10"/>
      <c r="E22" s="10">
        <v>490</v>
      </c>
      <c r="F22" s="10"/>
      <c r="G22" s="10">
        <f t="shared" si="0"/>
        <v>490</v>
      </c>
      <c r="H22">
        <f t="shared" si="1"/>
        <v>0.16</v>
      </c>
      <c r="I22" s="14">
        <f t="shared" si="2"/>
        <v>1E-3</v>
      </c>
    </row>
    <row r="23" spans="1:9" x14ac:dyDescent="0.25">
      <c r="A23" t="s">
        <v>19</v>
      </c>
      <c r="B23" t="s">
        <v>31</v>
      </c>
      <c r="C23" s="10"/>
      <c r="D23" s="10"/>
      <c r="E23" s="10">
        <v>150</v>
      </c>
      <c r="F23" s="10"/>
      <c r="G23" s="10">
        <f t="shared" si="0"/>
        <v>150</v>
      </c>
      <c r="H23">
        <f t="shared" si="1"/>
        <v>0.05</v>
      </c>
      <c r="I23" s="14">
        <f t="shared" si="2"/>
        <v>0</v>
      </c>
    </row>
    <row r="24" spans="1:9" x14ac:dyDescent="0.25">
      <c r="A24" t="s">
        <v>19</v>
      </c>
      <c r="B24" t="s">
        <v>32</v>
      </c>
      <c r="C24" s="10"/>
      <c r="D24" s="10"/>
      <c r="E24" s="10">
        <v>355</v>
      </c>
      <c r="F24" s="10"/>
      <c r="G24" s="10">
        <f t="shared" si="0"/>
        <v>355</v>
      </c>
      <c r="H24">
        <f t="shared" si="1"/>
        <v>0.11</v>
      </c>
      <c r="I24" s="14">
        <f t="shared" si="2"/>
        <v>1E-3</v>
      </c>
    </row>
    <row r="25" spans="1:9" x14ac:dyDescent="0.25">
      <c r="A25" t="s">
        <v>19</v>
      </c>
      <c r="B25" t="s">
        <v>42</v>
      </c>
      <c r="C25" s="10"/>
      <c r="D25" s="10">
        <v>192</v>
      </c>
      <c r="E25" s="10"/>
      <c r="F25" s="10"/>
      <c r="G25" s="10">
        <f t="shared" si="0"/>
        <v>192</v>
      </c>
      <c r="H25">
        <f t="shared" si="1"/>
        <v>0.06</v>
      </c>
      <c r="I25" s="14">
        <f t="shared" si="2"/>
        <v>0</v>
      </c>
    </row>
    <row r="26" spans="1:9" x14ac:dyDescent="0.25">
      <c r="A26" t="s">
        <v>19</v>
      </c>
      <c r="B26" t="s">
        <v>34</v>
      </c>
      <c r="C26" s="10"/>
      <c r="D26" s="10"/>
      <c r="E26" s="10">
        <v>825</v>
      </c>
      <c r="F26" s="10"/>
      <c r="G26" s="10">
        <f t="shared" si="0"/>
        <v>825</v>
      </c>
      <c r="H26">
        <f t="shared" si="1"/>
        <v>0.26</v>
      </c>
      <c r="I26" s="14">
        <f t="shared" si="2"/>
        <v>2E-3</v>
      </c>
    </row>
    <row r="27" spans="1:9" x14ac:dyDescent="0.25">
      <c r="A27" t="s">
        <v>19</v>
      </c>
      <c r="B27" t="s">
        <v>40</v>
      </c>
      <c r="C27" s="10"/>
      <c r="D27" s="10"/>
      <c r="E27" s="10">
        <v>3213</v>
      </c>
      <c r="F27" s="10"/>
      <c r="G27" s="10">
        <f t="shared" si="0"/>
        <v>3213</v>
      </c>
      <c r="H27">
        <f t="shared" si="1"/>
        <v>1.02</v>
      </c>
      <c r="I27" s="14">
        <f t="shared" si="2"/>
        <v>7.0000000000000001E-3</v>
      </c>
    </row>
    <row r="28" spans="1:9" x14ac:dyDescent="0.25">
      <c r="A28" t="s">
        <v>19</v>
      </c>
      <c r="B28" t="s">
        <v>35</v>
      </c>
      <c r="C28" s="10"/>
      <c r="D28" s="10"/>
      <c r="E28" s="10">
        <v>1760</v>
      </c>
      <c r="F28" s="10"/>
      <c r="G28" s="10">
        <f t="shared" si="0"/>
        <v>1760</v>
      </c>
      <c r="H28">
        <f t="shared" si="1"/>
        <v>0.56000000000000005</v>
      </c>
      <c r="I28" s="14">
        <f t="shared" si="2"/>
        <v>4.0000000000000001E-3</v>
      </c>
    </row>
    <row r="29" spans="1:9" x14ac:dyDescent="0.25">
      <c r="A29" t="s">
        <v>19</v>
      </c>
      <c r="B29" t="s">
        <v>36</v>
      </c>
      <c r="C29" s="10"/>
      <c r="D29" s="10"/>
      <c r="E29" s="10">
        <v>23260</v>
      </c>
      <c r="F29" s="10"/>
      <c r="G29" s="10">
        <f t="shared" si="0"/>
        <v>23260</v>
      </c>
      <c r="H29">
        <f t="shared" si="1"/>
        <v>7.4</v>
      </c>
      <c r="I29" s="14">
        <f t="shared" si="2"/>
        <v>5.1999999999999998E-2</v>
      </c>
    </row>
    <row r="30" spans="1:9" x14ac:dyDescent="0.25">
      <c r="A30" t="s">
        <v>19</v>
      </c>
      <c r="B30" t="s">
        <v>37</v>
      </c>
      <c r="C30" s="10"/>
      <c r="D30" s="10"/>
      <c r="E30" s="10">
        <v>1915</v>
      </c>
      <c r="F30" s="10"/>
      <c r="G30" s="10">
        <f t="shared" si="0"/>
        <v>1915</v>
      </c>
      <c r="H30">
        <f t="shared" si="1"/>
        <v>0.61</v>
      </c>
      <c r="I30" s="14">
        <f t="shared" si="2"/>
        <v>4.0000000000000001E-3</v>
      </c>
    </row>
    <row r="31" spans="1:9" x14ac:dyDescent="0.25">
      <c r="A31" t="s">
        <v>19</v>
      </c>
      <c r="B31" t="s">
        <v>38</v>
      </c>
      <c r="C31" s="10"/>
      <c r="D31" s="10"/>
      <c r="E31" s="10">
        <v>4280</v>
      </c>
      <c r="F31" s="10"/>
      <c r="G31" s="10">
        <f t="shared" si="0"/>
        <v>4280</v>
      </c>
      <c r="H31">
        <f t="shared" si="1"/>
        <v>1.36</v>
      </c>
      <c r="I31" s="14">
        <f t="shared" si="2"/>
        <v>8.9999999999999993E-3</v>
      </c>
    </row>
    <row r="32" spans="1:9" x14ac:dyDescent="0.25">
      <c r="A32" t="s">
        <v>19</v>
      </c>
      <c r="B32" t="s">
        <v>39</v>
      </c>
      <c r="C32" s="10"/>
      <c r="D32" s="10"/>
      <c r="E32" s="10">
        <v>25940</v>
      </c>
      <c r="F32" s="10"/>
      <c r="G32" s="10">
        <f t="shared" si="0"/>
        <v>25940</v>
      </c>
      <c r="H32">
        <f t="shared" si="1"/>
        <v>8.26</v>
      </c>
      <c r="I32" s="14">
        <f t="shared" si="2"/>
        <v>5.7000000000000002E-2</v>
      </c>
    </row>
    <row r="33" spans="1:9" x14ac:dyDescent="0.25">
      <c r="A33" t="s">
        <v>19</v>
      </c>
      <c r="B33" t="s">
        <v>22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19</v>
      </c>
      <c r="B34" t="s">
        <v>33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23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19</v>
      </c>
      <c r="B36" t="s">
        <v>67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43</v>
      </c>
      <c r="B37" t="s">
        <v>44</v>
      </c>
      <c r="C37" s="10">
        <v>69295</v>
      </c>
      <c r="D37" s="10"/>
      <c r="E37" s="10"/>
      <c r="F37" s="10"/>
      <c r="G37" s="10">
        <f t="shared" si="0"/>
        <v>69295</v>
      </c>
      <c r="H37">
        <f t="shared" si="1"/>
        <v>22.05</v>
      </c>
      <c r="I37" s="14">
        <f t="shared" si="2"/>
        <v>0.153</v>
      </c>
    </row>
    <row r="38" spans="1:9" x14ac:dyDescent="0.25">
      <c r="A38" t="s">
        <v>43</v>
      </c>
      <c r="B38" t="s">
        <v>46</v>
      </c>
      <c r="C38" s="10"/>
      <c r="D38" s="10"/>
      <c r="E38" s="10"/>
      <c r="F38" s="10">
        <v>11780</v>
      </c>
      <c r="G38" s="10">
        <f t="shared" si="0"/>
        <v>11780</v>
      </c>
      <c r="H38">
        <f t="shared" si="1"/>
        <v>3.75</v>
      </c>
      <c r="I38" s="14">
        <f t="shared" si="2"/>
        <v>2.5999999999999999E-2</v>
      </c>
    </row>
    <row r="39" spans="1:9" x14ac:dyDescent="0.25">
      <c r="A39" t="s">
        <v>43</v>
      </c>
      <c r="B39" t="s">
        <v>45</v>
      </c>
      <c r="C39" s="10"/>
      <c r="D39" s="10"/>
      <c r="E39" s="10">
        <v>15790</v>
      </c>
      <c r="F39" s="10"/>
      <c r="G39" s="10">
        <f t="shared" si="0"/>
        <v>15790</v>
      </c>
      <c r="H39">
        <f t="shared" si="1"/>
        <v>5.03</v>
      </c>
      <c r="I39" s="14">
        <f t="shared" si="2"/>
        <v>3.5000000000000003E-2</v>
      </c>
    </row>
    <row r="40" spans="1:9" x14ac:dyDescent="0.25">
      <c r="A40" s="3" t="s">
        <v>253</v>
      </c>
      <c r="B40" s="3"/>
      <c r="C40" s="8">
        <f t="shared" ref="C40:H40" si="3">SUM(C8:C39)</f>
        <v>355455</v>
      </c>
      <c r="D40" s="8">
        <f t="shared" si="3"/>
        <v>192</v>
      </c>
      <c r="E40" s="8">
        <f t="shared" si="3"/>
        <v>82578</v>
      </c>
      <c r="F40" s="8">
        <f t="shared" si="3"/>
        <v>13410</v>
      </c>
      <c r="G40" s="8">
        <f t="shared" si="3"/>
        <v>451635</v>
      </c>
      <c r="H40" s="3">
        <f t="shared" si="3"/>
        <v>143.74</v>
      </c>
    </row>
    <row r="41" spans="1:9" x14ac:dyDescent="0.25">
      <c r="A41" s="3" t="s">
        <v>14</v>
      </c>
      <c r="B41" s="3"/>
      <c r="C41" s="13">
        <f>ROUND(C40/G40,2)</f>
        <v>0.79</v>
      </c>
      <c r="D41" s="13">
        <f>ROUND(D40/G40,2)</f>
        <v>0</v>
      </c>
      <c r="E41" s="13">
        <f>ROUND(E40/G40,2)</f>
        <v>0.18</v>
      </c>
      <c r="F41" s="13">
        <f>ROUND(F40/G40,2)</f>
        <v>0.03</v>
      </c>
      <c r="G41" s="3"/>
      <c r="H41" s="3"/>
    </row>
    <row r="42" spans="1:9" x14ac:dyDescent="0.25">
      <c r="A42" s="3" t="s">
        <v>47</v>
      </c>
      <c r="B42" s="3"/>
      <c r="C42" s="3"/>
      <c r="D42" s="3"/>
      <c r="E42" s="3"/>
      <c r="F42" s="3"/>
      <c r="G42" s="3"/>
      <c r="H42" s="3"/>
    </row>
    <row r="43" spans="1:9" x14ac:dyDescent="0.25">
      <c r="A43" s="3" t="s">
        <v>48</v>
      </c>
      <c r="B43" s="3"/>
      <c r="C43" s="8">
        <v>286160</v>
      </c>
      <c r="D43" s="8">
        <v>192</v>
      </c>
      <c r="E43" s="8">
        <v>66778</v>
      </c>
      <c r="F43" s="8">
        <v>1630</v>
      </c>
      <c r="G43" s="8">
        <f>SUM(C43:F43)</f>
        <v>354760</v>
      </c>
      <c r="H43" s="3">
        <f>ROUND(G43/3142,2)</f>
        <v>112.91</v>
      </c>
    </row>
    <row r="44" spans="1:9" x14ac:dyDescent="0.25">
      <c r="A44" s="3" t="s">
        <v>49</v>
      </c>
      <c r="B44" s="3"/>
      <c r="C44" s="8">
        <v>69295</v>
      </c>
      <c r="D44" s="8">
        <v>0</v>
      </c>
      <c r="E44" s="8">
        <v>15790</v>
      </c>
      <c r="F44" s="8">
        <v>11780</v>
      </c>
      <c r="G44" s="8">
        <f>SUM(C44:F44)</f>
        <v>96865</v>
      </c>
      <c r="H44" s="3">
        <f>ROUND(G44/3142,2)</f>
        <v>30.83</v>
      </c>
    </row>
    <row r="45" spans="1:9" x14ac:dyDescent="0.25">
      <c r="A45" s="3" t="s">
        <v>50</v>
      </c>
      <c r="B45" s="3"/>
      <c r="C45" s="8">
        <v>0</v>
      </c>
      <c r="D45" s="8">
        <v>0</v>
      </c>
      <c r="E45" s="8">
        <v>10</v>
      </c>
      <c r="F45" s="8">
        <v>0</v>
      </c>
      <c r="G45" s="8">
        <f>SUM(C45:F45)</f>
        <v>10</v>
      </c>
      <c r="H45" s="3">
        <f>ROUND(G45/3142,2)</f>
        <v>0</v>
      </c>
    </row>
    <row r="46" spans="1:9" x14ac:dyDescent="0.25">
      <c r="A46" s="3"/>
      <c r="B46" s="3"/>
      <c r="C46" s="3"/>
      <c r="D46" s="3"/>
      <c r="E46" s="3"/>
      <c r="F46" s="3"/>
      <c r="G46" s="3"/>
      <c r="H46" s="3"/>
    </row>
    <row r="47" spans="1:9" x14ac:dyDescent="0.25">
      <c r="A47" s="3"/>
      <c r="B47" s="3"/>
      <c r="C47" s="3" t="s">
        <v>2</v>
      </c>
      <c r="D47" s="3">
        <v>2022</v>
      </c>
      <c r="E47" s="3" t="s">
        <v>51</v>
      </c>
      <c r="F47" s="3"/>
      <c r="G47" s="3"/>
      <c r="H47" s="3"/>
    </row>
    <row r="48" spans="1:9" x14ac:dyDescent="0.25">
      <c r="A48" s="3" t="s">
        <v>52</v>
      </c>
      <c r="B48" s="3"/>
      <c r="C48" s="13">
        <v>0.84660000000000002</v>
      </c>
      <c r="D48" s="13">
        <v>0.83030000000000004</v>
      </c>
      <c r="E48" s="13">
        <v>0.77659999999999996</v>
      </c>
      <c r="F48" s="3"/>
      <c r="G48" s="3"/>
      <c r="H48" s="3"/>
    </row>
    <row r="49" spans="1:8" x14ac:dyDescent="0.25">
      <c r="A49" s="3" t="s">
        <v>53</v>
      </c>
      <c r="B49" s="3"/>
      <c r="C49" s="13">
        <v>0.83209999999999995</v>
      </c>
      <c r="D49" s="13">
        <v>0.81659999999999999</v>
      </c>
      <c r="E49" s="13">
        <v>0.75900000000000001</v>
      </c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5" t="s">
        <v>256</v>
      </c>
      <c r="B51" s="3"/>
      <c r="C51" s="3" t="s">
        <v>2</v>
      </c>
      <c r="D51" s="3" t="s">
        <v>108</v>
      </c>
      <c r="E51" s="3" t="s">
        <v>55</v>
      </c>
      <c r="F51" s="3" t="s">
        <v>254</v>
      </c>
      <c r="G51" s="3"/>
      <c r="H51" s="3"/>
    </row>
    <row r="52" spans="1:8" x14ac:dyDescent="0.25">
      <c r="A52" s="3" t="s">
        <v>56</v>
      </c>
      <c r="B52" s="3"/>
      <c r="C52" s="3"/>
      <c r="D52" s="3">
        <v>47.26</v>
      </c>
      <c r="E52" s="3">
        <v>81.5</v>
      </c>
      <c r="F52" s="3">
        <v>50.61</v>
      </c>
      <c r="G52" s="3"/>
      <c r="H52" s="3"/>
    </row>
    <row r="53" spans="1:8" x14ac:dyDescent="0.25">
      <c r="A53" s="3" t="s">
        <v>57</v>
      </c>
      <c r="B53" s="3"/>
      <c r="C53" s="3"/>
      <c r="D53" s="3">
        <v>51.49</v>
      </c>
      <c r="E53" s="3">
        <v>58.24</v>
      </c>
      <c r="F53" s="3">
        <v>57.37</v>
      </c>
      <c r="G53" s="3"/>
      <c r="H53" s="3"/>
    </row>
    <row r="54" spans="1:8" x14ac:dyDescent="0.25">
      <c r="A54" s="3" t="s">
        <v>58</v>
      </c>
      <c r="B54" s="3"/>
      <c r="C54" s="3"/>
      <c r="D54" s="3">
        <v>217.25</v>
      </c>
      <c r="E54" s="3">
        <v>261.52999999999997</v>
      </c>
      <c r="F54" s="3">
        <v>249.57</v>
      </c>
      <c r="G54" s="3"/>
      <c r="H54" s="3"/>
    </row>
    <row r="55" spans="1:8" x14ac:dyDescent="0.25">
      <c r="A55" s="3" t="s">
        <v>59</v>
      </c>
      <c r="B55" s="3"/>
      <c r="C55" s="3"/>
      <c r="D55" s="3">
        <v>63.32</v>
      </c>
      <c r="E55" s="3">
        <v>103.11</v>
      </c>
      <c r="F55" s="3">
        <v>71.400000000000006</v>
      </c>
      <c r="G55" s="3"/>
      <c r="H55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59"/>
  <sheetViews>
    <sheetView topLeftCell="A27" workbookViewId="0">
      <selection activeCell="G56" sqref="G56:G59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2.855468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109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2012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40</v>
      </c>
      <c r="F9" s="10"/>
      <c r="G9" s="10">
        <f t="shared" ref="G9:G43" si="0">SUM(C9:F9)</f>
        <v>40</v>
      </c>
      <c r="H9">
        <f t="shared" ref="H9:H43" si="1">ROUND(G9/2012,2)</f>
        <v>0.02</v>
      </c>
      <c r="I9" s="14">
        <f t="shared" ref="I9:I40" si="2">ROUND(G9/$G$44,3)</f>
        <v>0</v>
      </c>
    </row>
    <row r="10" spans="1:9" x14ac:dyDescent="0.25">
      <c r="A10" t="s">
        <v>19</v>
      </c>
      <c r="B10" t="s">
        <v>20</v>
      </c>
      <c r="C10" s="10">
        <v>33900</v>
      </c>
      <c r="D10" s="10"/>
      <c r="E10" s="10"/>
      <c r="F10" s="10"/>
      <c r="G10" s="10">
        <f t="shared" si="0"/>
        <v>33900</v>
      </c>
      <c r="H10">
        <f t="shared" si="1"/>
        <v>16.850000000000001</v>
      </c>
      <c r="I10" s="14">
        <f t="shared" si="2"/>
        <v>8.3000000000000004E-2</v>
      </c>
    </row>
    <row r="11" spans="1:9" x14ac:dyDescent="0.25">
      <c r="A11" t="s">
        <v>19</v>
      </c>
      <c r="B11" t="s">
        <v>21</v>
      </c>
      <c r="C11" s="10">
        <v>35590</v>
      </c>
      <c r="D11" s="10"/>
      <c r="E11" s="10"/>
      <c r="F11" s="10">
        <v>40</v>
      </c>
      <c r="G11" s="10">
        <f t="shared" si="0"/>
        <v>35630</v>
      </c>
      <c r="H11">
        <f t="shared" si="1"/>
        <v>17.71</v>
      </c>
      <c r="I11" s="14">
        <f t="shared" si="2"/>
        <v>8.6999999999999994E-2</v>
      </c>
    </row>
    <row r="12" spans="1:9" x14ac:dyDescent="0.25">
      <c r="A12" t="s">
        <v>19</v>
      </c>
      <c r="B12" t="s">
        <v>22</v>
      </c>
      <c r="C12" s="10"/>
      <c r="D12" s="10"/>
      <c r="E12" s="10">
        <v>1110</v>
      </c>
      <c r="F12" s="10"/>
      <c r="G12" s="10">
        <f t="shared" si="0"/>
        <v>1110</v>
      </c>
      <c r="H12">
        <f t="shared" si="1"/>
        <v>0.55000000000000004</v>
      </c>
      <c r="I12" s="14">
        <f t="shared" si="2"/>
        <v>3.0000000000000001E-3</v>
      </c>
    </row>
    <row r="13" spans="1:9" x14ac:dyDescent="0.25">
      <c r="A13" t="s">
        <v>19</v>
      </c>
      <c r="B13" t="s">
        <v>23</v>
      </c>
      <c r="C13" s="10"/>
      <c r="D13" s="10"/>
      <c r="E13" s="10">
        <v>41170</v>
      </c>
      <c r="F13" s="10"/>
      <c r="G13" s="10">
        <f t="shared" si="0"/>
        <v>41170</v>
      </c>
      <c r="H13">
        <f t="shared" si="1"/>
        <v>20.46</v>
      </c>
      <c r="I13" s="14">
        <f t="shared" si="2"/>
        <v>0.10100000000000001</v>
      </c>
    </row>
    <row r="14" spans="1:9" x14ac:dyDescent="0.25">
      <c r="A14" t="s">
        <v>19</v>
      </c>
      <c r="B14" t="s">
        <v>24</v>
      </c>
      <c r="C14" s="10">
        <v>48940</v>
      </c>
      <c r="D14" s="10"/>
      <c r="E14" s="10"/>
      <c r="F14" s="10"/>
      <c r="G14" s="10">
        <f t="shared" si="0"/>
        <v>48940</v>
      </c>
      <c r="H14">
        <f t="shared" si="1"/>
        <v>24.32</v>
      </c>
      <c r="I14" s="14">
        <f t="shared" si="2"/>
        <v>0.12</v>
      </c>
    </row>
    <row r="15" spans="1:9" x14ac:dyDescent="0.25">
      <c r="A15" t="s">
        <v>19</v>
      </c>
      <c r="B15" t="s">
        <v>66</v>
      </c>
      <c r="C15" s="10"/>
      <c r="D15" s="10"/>
      <c r="E15" s="10">
        <v>1510</v>
      </c>
      <c r="F15" s="10"/>
      <c r="G15" s="10">
        <f t="shared" si="0"/>
        <v>1510</v>
      </c>
      <c r="H15">
        <f t="shared" si="1"/>
        <v>0.75</v>
      </c>
      <c r="I15" s="14">
        <f t="shared" si="2"/>
        <v>4.0000000000000001E-3</v>
      </c>
    </row>
    <row r="16" spans="1:9" x14ac:dyDescent="0.25">
      <c r="A16" t="s">
        <v>19</v>
      </c>
      <c r="B16" t="s">
        <v>25</v>
      </c>
      <c r="C16" s="10">
        <v>70780</v>
      </c>
      <c r="D16" s="10"/>
      <c r="E16" s="10"/>
      <c r="F16" s="10"/>
      <c r="G16" s="10">
        <f t="shared" si="0"/>
        <v>70780</v>
      </c>
      <c r="H16">
        <f t="shared" si="1"/>
        <v>35.18</v>
      </c>
      <c r="I16" s="14">
        <f t="shared" si="2"/>
        <v>0.17399999999999999</v>
      </c>
    </row>
    <row r="17" spans="1:9" x14ac:dyDescent="0.25">
      <c r="A17" t="s">
        <v>19</v>
      </c>
      <c r="B17" t="s">
        <v>26</v>
      </c>
      <c r="C17" s="10"/>
      <c r="D17" s="10"/>
      <c r="E17" s="10">
        <v>173</v>
      </c>
      <c r="F17" s="10"/>
      <c r="G17" s="10">
        <f t="shared" si="0"/>
        <v>173</v>
      </c>
      <c r="H17">
        <f t="shared" si="1"/>
        <v>0.09</v>
      </c>
      <c r="I17" s="14">
        <f t="shared" si="2"/>
        <v>0</v>
      </c>
    </row>
    <row r="18" spans="1:9" x14ac:dyDescent="0.25">
      <c r="A18" t="s">
        <v>19</v>
      </c>
      <c r="B18" t="s">
        <v>27</v>
      </c>
      <c r="C18" s="10"/>
      <c r="D18" s="10"/>
      <c r="E18" s="10">
        <v>156</v>
      </c>
      <c r="F18" s="10"/>
      <c r="G18" s="10">
        <f t="shared" si="0"/>
        <v>156</v>
      </c>
      <c r="H18">
        <f t="shared" si="1"/>
        <v>0.08</v>
      </c>
      <c r="I18" s="14">
        <f t="shared" si="2"/>
        <v>0</v>
      </c>
    </row>
    <row r="19" spans="1:9" x14ac:dyDescent="0.25">
      <c r="A19" t="s">
        <v>19</v>
      </c>
      <c r="B19" t="s">
        <v>29</v>
      </c>
      <c r="C19" s="10"/>
      <c r="D19" s="10"/>
      <c r="E19" s="10">
        <v>2320</v>
      </c>
      <c r="F19" s="10"/>
      <c r="G19" s="10">
        <f t="shared" si="0"/>
        <v>2320</v>
      </c>
      <c r="H19">
        <f t="shared" si="1"/>
        <v>1.1499999999999999</v>
      </c>
      <c r="I19" s="14">
        <f t="shared" si="2"/>
        <v>6.0000000000000001E-3</v>
      </c>
    </row>
    <row r="20" spans="1:9" x14ac:dyDescent="0.25">
      <c r="A20" t="s">
        <v>19</v>
      </c>
      <c r="B20" t="s">
        <v>30</v>
      </c>
      <c r="C20" s="10"/>
      <c r="D20" s="10"/>
      <c r="E20" s="10">
        <v>190</v>
      </c>
      <c r="F20" s="10"/>
      <c r="G20" s="10">
        <f t="shared" si="0"/>
        <v>190</v>
      </c>
      <c r="H20">
        <f t="shared" si="1"/>
        <v>0.09</v>
      </c>
      <c r="I20" s="14">
        <f t="shared" si="2"/>
        <v>0</v>
      </c>
    </row>
    <row r="21" spans="1:9" x14ac:dyDescent="0.25">
      <c r="A21" t="s">
        <v>19</v>
      </c>
      <c r="B21" t="s">
        <v>32</v>
      </c>
      <c r="C21" s="10"/>
      <c r="D21" s="10"/>
      <c r="E21" s="10">
        <v>745</v>
      </c>
      <c r="F21" s="10"/>
      <c r="G21" s="10">
        <f t="shared" si="0"/>
        <v>745</v>
      </c>
      <c r="H21">
        <f t="shared" si="1"/>
        <v>0.37</v>
      </c>
      <c r="I21" s="14">
        <f t="shared" si="2"/>
        <v>2E-3</v>
      </c>
    </row>
    <row r="22" spans="1:9" x14ac:dyDescent="0.25">
      <c r="A22" t="s">
        <v>19</v>
      </c>
      <c r="B22" t="s">
        <v>42</v>
      </c>
      <c r="C22" s="10"/>
      <c r="D22" s="10">
        <v>101</v>
      </c>
      <c r="E22" s="10"/>
      <c r="F22" s="10"/>
      <c r="G22" s="10">
        <f t="shared" si="0"/>
        <v>101</v>
      </c>
      <c r="H22">
        <f t="shared" si="1"/>
        <v>0.05</v>
      </c>
      <c r="I22" s="14">
        <f t="shared" si="2"/>
        <v>0</v>
      </c>
    </row>
    <row r="23" spans="1:9" x14ac:dyDescent="0.25">
      <c r="A23" t="s">
        <v>19</v>
      </c>
      <c r="B23" t="s">
        <v>67</v>
      </c>
      <c r="C23" s="10"/>
      <c r="D23" s="10"/>
      <c r="E23" s="10">
        <v>360</v>
      </c>
      <c r="F23" s="10"/>
      <c r="G23" s="10">
        <f t="shared" si="0"/>
        <v>360</v>
      </c>
      <c r="H23">
        <f t="shared" si="1"/>
        <v>0.18</v>
      </c>
      <c r="I23" s="14">
        <f t="shared" si="2"/>
        <v>1E-3</v>
      </c>
    </row>
    <row r="24" spans="1:9" x14ac:dyDescent="0.25">
      <c r="A24" t="s">
        <v>19</v>
      </c>
      <c r="B24" t="s">
        <v>33</v>
      </c>
      <c r="C24" s="10"/>
      <c r="D24" s="10">
        <v>150</v>
      </c>
      <c r="E24" s="10"/>
      <c r="F24" s="10"/>
      <c r="G24" s="10">
        <f t="shared" si="0"/>
        <v>150</v>
      </c>
      <c r="H24">
        <f t="shared" si="1"/>
        <v>7.0000000000000007E-2</v>
      </c>
      <c r="I24" s="14">
        <f t="shared" si="2"/>
        <v>0</v>
      </c>
    </row>
    <row r="25" spans="1:9" x14ac:dyDescent="0.25">
      <c r="A25" t="s">
        <v>19</v>
      </c>
      <c r="B25" t="s">
        <v>34</v>
      </c>
      <c r="C25" s="10"/>
      <c r="D25" s="10"/>
      <c r="E25" s="10">
        <v>950</v>
      </c>
      <c r="F25" s="10"/>
      <c r="G25" s="10">
        <f t="shared" si="0"/>
        <v>950</v>
      </c>
      <c r="H25">
        <f t="shared" si="1"/>
        <v>0.47</v>
      </c>
      <c r="I25" s="14">
        <f t="shared" si="2"/>
        <v>2E-3</v>
      </c>
    </row>
    <row r="26" spans="1:9" x14ac:dyDescent="0.25">
      <c r="A26" t="s">
        <v>19</v>
      </c>
      <c r="B26" t="s">
        <v>40</v>
      </c>
      <c r="C26" s="10"/>
      <c r="D26" s="10"/>
      <c r="E26" s="10">
        <v>3818</v>
      </c>
      <c r="F26" s="10"/>
      <c r="G26" s="10">
        <f t="shared" si="0"/>
        <v>3818</v>
      </c>
      <c r="H26">
        <f t="shared" si="1"/>
        <v>1.9</v>
      </c>
      <c r="I26" s="14">
        <f t="shared" si="2"/>
        <v>8.9999999999999993E-3</v>
      </c>
    </row>
    <row r="27" spans="1:9" x14ac:dyDescent="0.25">
      <c r="A27" t="s">
        <v>19</v>
      </c>
      <c r="B27" t="s">
        <v>35</v>
      </c>
      <c r="C27" s="10"/>
      <c r="D27" s="10"/>
      <c r="E27" s="10">
        <v>2400</v>
      </c>
      <c r="F27" s="10"/>
      <c r="G27" s="10">
        <f t="shared" si="0"/>
        <v>2400</v>
      </c>
      <c r="H27">
        <f t="shared" si="1"/>
        <v>1.19</v>
      </c>
      <c r="I27" s="14">
        <f t="shared" si="2"/>
        <v>6.0000000000000001E-3</v>
      </c>
    </row>
    <row r="28" spans="1:9" x14ac:dyDescent="0.25">
      <c r="A28" t="s">
        <v>19</v>
      </c>
      <c r="B28" t="s">
        <v>36</v>
      </c>
      <c r="C28" s="10"/>
      <c r="D28" s="10"/>
      <c r="E28" s="10">
        <v>26780</v>
      </c>
      <c r="F28" s="10"/>
      <c r="G28" s="10">
        <f t="shared" si="0"/>
        <v>26780</v>
      </c>
      <c r="H28">
        <f t="shared" si="1"/>
        <v>13.31</v>
      </c>
      <c r="I28" s="14">
        <f t="shared" si="2"/>
        <v>6.6000000000000003E-2</v>
      </c>
    </row>
    <row r="29" spans="1:9" x14ac:dyDescent="0.25">
      <c r="A29" t="s">
        <v>19</v>
      </c>
      <c r="B29" t="s">
        <v>38</v>
      </c>
      <c r="C29" s="10"/>
      <c r="D29" s="10"/>
      <c r="E29" s="10">
        <v>5390</v>
      </c>
      <c r="F29" s="10"/>
      <c r="G29" s="10">
        <f t="shared" si="0"/>
        <v>5390</v>
      </c>
      <c r="H29">
        <f t="shared" si="1"/>
        <v>2.68</v>
      </c>
      <c r="I29" s="14">
        <f t="shared" si="2"/>
        <v>1.2999999999999999E-2</v>
      </c>
    </row>
    <row r="30" spans="1:9" x14ac:dyDescent="0.25">
      <c r="A30" t="s">
        <v>19</v>
      </c>
      <c r="B30" t="s">
        <v>39</v>
      </c>
      <c r="C30" s="10"/>
      <c r="D30" s="10"/>
      <c r="E30" s="10">
        <v>29790</v>
      </c>
      <c r="F30" s="10"/>
      <c r="G30" s="10">
        <f t="shared" si="0"/>
        <v>29790</v>
      </c>
      <c r="H30">
        <f t="shared" si="1"/>
        <v>14.81</v>
      </c>
      <c r="I30" s="14">
        <f t="shared" si="2"/>
        <v>7.2999999999999995E-2</v>
      </c>
    </row>
    <row r="31" spans="1:9" x14ac:dyDescent="0.25">
      <c r="A31" t="s">
        <v>19</v>
      </c>
      <c r="B31" t="s">
        <v>76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41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19</v>
      </c>
      <c r="B33" t="s">
        <v>28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19</v>
      </c>
      <c r="B34" t="s">
        <v>31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110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19</v>
      </c>
      <c r="B36" t="s">
        <v>111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19</v>
      </c>
      <c r="B37" t="s">
        <v>71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t="s">
        <v>19</v>
      </c>
      <c r="B38" t="s">
        <v>112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t="s">
        <v>43</v>
      </c>
      <c r="B39" t="s">
        <v>44</v>
      </c>
      <c r="C39" s="10">
        <v>71460</v>
      </c>
      <c r="D39" s="10"/>
      <c r="E39" s="10"/>
      <c r="F39" s="10"/>
      <c r="G39" s="10">
        <f t="shared" si="0"/>
        <v>71460</v>
      </c>
      <c r="H39">
        <f t="shared" si="1"/>
        <v>35.520000000000003</v>
      </c>
      <c r="I39" s="14">
        <f t="shared" si="2"/>
        <v>0.17499999999999999</v>
      </c>
    </row>
    <row r="40" spans="1:9" x14ac:dyDescent="0.25">
      <c r="A40" t="s">
        <v>43</v>
      </c>
      <c r="B40" t="s">
        <v>45</v>
      </c>
      <c r="C40" s="10"/>
      <c r="D40" s="10"/>
      <c r="E40" s="10">
        <v>29340</v>
      </c>
      <c r="F40" s="10"/>
      <c r="G40" s="10">
        <f t="shared" si="0"/>
        <v>29340</v>
      </c>
      <c r="H40">
        <f t="shared" si="1"/>
        <v>14.58</v>
      </c>
      <c r="I40" s="14">
        <f t="shared" si="2"/>
        <v>7.1999999999999995E-2</v>
      </c>
    </row>
    <row r="41" spans="1:9" x14ac:dyDescent="0.25">
      <c r="A41" t="s">
        <v>43</v>
      </c>
      <c r="B41" t="s">
        <v>46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ROUND(G41/$G$44,3)</f>
        <v>0</v>
      </c>
    </row>
    <row r="42" spans="1:9" x14ac:dyDescent="0.25">
      <c r="A42" t="s">
        <v>15</v>
      </c>
      <c r="B42" t="s">
        <v>18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>ROUND(G42/$G$44,3)</f>
        <v>0</v>
      </c>
    </row>
    <row r="43" spans="1:9" x14ac:dyDescent="0.25">
      <c r="A43" t="s">
        <v>15</v>
      </c>
      <c r="B43" t="s">
        <v>17</v>
      </c>
      <c r="C43" s="10"/>
      <c r="D43" s="10"/>
      <c r="E43" s="10"/>
      <c r="F43" s="10"/>
      <c r="G43" s="10">
        <f t="shared" si="0"/>
        <v>0</v>
      </c>
      <c r="H43">
        <f t="shared" si="1"/>
        <v>0</v>
      </c>
      <c r="I43" s="14">
        <f>ROUND(G43/$G$44,3)</f>
        <v>0</v>
      </c>
    </row>
    <row r="44" spans="1:9" x14ac:dyDescent="0.25">
      <c r="A44" s="3" t="s">
        <v>253</v>
      </c>
      <c r="B44" s="3"/>
      <c r="C44" s="8">
        <f t="shared" ref="C44:H44" si="4">SUM(C8:C43)</f>
        <v>260670</v>
      </c>
      <c r="D44" s="8">
        <f t="shared" si="4"/>
        <v>251</v>
      </c>
      <c r="E44" s="8">
        <f t="shared" si="4"/>
        <v>146242</v>
      </c>
      <c r="F44" s="8">
        <f t="shared" si="4"/>
        <v>40</v>
      </c>
      <c r="G44" s="8">
        <f t="shared" si="4"/>
        <v>407203</v>
      </c>
      <c r="H44" s="3">
        <f t="shared" si="4"/>
        <v>202.38000000000005</v>
      </c>
    </row>
    <row r="45" spans="1:9" x14ac:dyDescent="0.25">
      <c r="A45" s="3" t="s">
        <v>14</v>
      </c>
      <c r="B45" s="3"/>
      <c r="C45" s="13">
        <f>ROUND(C44/G44,2)</f>
        <v>0.64</v>
      </c>
      <c r="D45" s="13">
        <f>ROUND(D44/G44,2)</f>
        <v>0</v>
      </c>
      <c r="E45" s="13">
        <f>ROUND(E44/G44,2)</f>
        <v>0.36</v>
      </c>
      <c r="F45" s="13">
        <f>ROUND(F44/G44,2)</f>
        <v>0</v>
      </c>
      <c r="G45" s="3"/>
      <c r="H45" s="3"/>
    </row>
    <row r="46" spans="1:9" x14ac:dyDescent="0.25">
      <c r="A46" s="3" t="s">
        <v>47</v>
      </c>
      <c r="B46" s="3"/>
      <c r="C46" s="3"/>
      <c r="D46" s="3"/>
      <c r="E46" s="3"/>
      <c r="F46" s="3"/>
      <c r="G46" s="3"/>
      <c r="H46" s="3"/>
    </row>
    <row r="47" spans="1:9" x14ac:dyDescent="0.25">
      <c r="A47" s="3" t="s">
        <v>48</v>
      </c>
      <c r="B47" s="3"/>
      <c r="C47" s="8">
        <v>189210</v>
      </c>
      <c r="D47" s="8">
        <v>251</v>
      </c>
      <c r="E47" s="8">
        <v>116902</v>
      </c>
      <c r="F47" s="8">
        <v>40</v>
      </c>
      <c r="G47" s="8">
        <f>SUM(C47:F47)</f>
        <v>306403</v>
      </c>
      <c r="H47" s="3">
        <f>ROUND(G47/2012,2)</f>
        <v>152.29</v>
      </c>
    </row>
    <row r="48" spans="1:9" x14ac:dyDescent="0.25">
      <c r="A48" s="3" t="s">
        <v>49</v>
      </c>
      <c r="B48" s="3"/>
      <c r="C48" s="8">
        <v>71460</v>
      </c>
      <c r="D48" s="8">
        <v>0</v>
      </c>
      <c r="E48" s="8">
        <v>29340</v>
      </c>
      <c r="F48" s="8">
        <v>0</v>
      </c>
      <c r="G48" s="8">
        <f>SUM(C48:F48)</f>
        <v>100800</v>
      </c>
      <c r="H48" s="3">
        <f>ROUND(G48/2012,2)</f>
        <v>50.1</v>
      </c>
    </row>
    <row r="49" spans="1:8" x14ac:dyDescent="0.25">
      <c r="A49" s="3" t="s">
        <v>50</v>
      </c>
      <c r="B49" s="3"/>
      <c r="C49" s="8">
        <v>0</v>
      </c>
      <c r="D49" s="8">
        <v>0</v>
      </c>
      <c r="E49" s="8">
        <v>0</v>
      </c>
      <c r="F49" s="8">
        <v>0</v>
      </c>
      <c r="G49" s="8">
        <f>SUM(C49:F49)</f>
        <v>0</v>
      </c>
      <c r="H49" s="3">
        <f>ROUND(G49/2012,2)</f>
        <v>0</v>
      </c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 t="s">
        <v>2</v>
      </c>
      <c r="D51" s="3">
        <v>2022</v>
      </c>
      <c r="E51" s="3" t="s">
        <v>51</v>
      </c>
      <c r="F51" s="3"/>
      <c r="G51" s="3"/>
      <c r="H51" s="3"/>
    </row>
    <row r="52" spans="1:8" x14ac:dyDescent="0.25">
      <c r="A52" s="3" t="s">
        <v>52</v>
      </c>
      <c r="B52" s="3"/>
      <c r="C52" s="13">
        <v>0.80420000000000003</v>
      </c>
      <c r="D52" s="13">
        <v>0.79530000000000001</v>
      </c>
      <c r="E52" s="13">
        <v>0.77659999999999996</v>
      </c>
      <c r="F52" s="3"/>
      <c r="G52" s="3"/>
      <c r="H52" s="3"/>
    </row>
    <row r="53" spans="1:8" x14ac:dyDescent="0.25">
      <c r="A53" s="3" t="s">
        <v>53</v>
      </c>
      <c r="B53" s="3"/>
      <c r="C53" s="13">
        <v>0.79420000000000002</v>
      </c>
      <c r="D53" s="13">
        <v>0.78410000000000002</v>
      </c>
      <c r="E53" s="13">
        <v>0.75900000000000001</v>
      </c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5" t="s">
        <v>256</v>
      </c>
      <c r="B55" s="3"/>
      <c r="C55" s="3" t="s">
        <v>2</v>
      </c>
      <c r="D55" s="3" t="s">
        <v>113</v>
      </c>
      <c r="E55" s="3" t="s">
        <v>55</v>
      </c>
      <c r="F55" s="3" t="s">
        <v>254</v>
      </c>
      <c r="G55" s="3"/>
      <c r="H55" s="3"/>
    </row>
    <row r="56" spans="1:8" x14ac:dyDescent="0.25">
      <c r="A56" s="3" t="s">
        <v>56</v>
      </c>
      <c r="B56" s="3"/>
      <c r="C56" s="3"/>
      <c r="D56" s="3">
        <v>69.010000000000005</v>
      </c>
      <c r="E56" s="3">
        <v>81.5</v>
      </c>
      <c r="F56" s="3">
        <v>50.61</v>
      </c>
      <c r="G56" s="3"/>
      <c r="H56" s="3"/>
    </row>
    <row r="57" spans="1:8" x14ac:dyDescent="0.25">
      <c r="A57" s="3" t="s">
        <v>57</v>
      </c>
      <c r="B57" s="3"/>
      <c r="C57" s="3"/>
      <c r="D57" s="3">
        <v>69.67</v>
      </c>
      <c r="E57" s="3">
        <v>58.24</v>
      </c>
      <c r="F57" s="3">
        <v>57.37</v>
      </c>
      <c r="G57" s="3"/>
      <c r="H57" s="3"/>
    </row>
    <row r="58" spans="1:8" x14ac:dyDescent="0.25">
      <c r="A58" s="3" t="s">
        <v>58</v>
      </c>
      <c r="B58" s="3"/>
      <c r="C58" s="3"/>
      <c r="D58" s="3">
        <v>276.77</v>
      </c>
      <c r="E58" s="3">
        <v>261.52999999999997</v>
      </c>
      <c r="F58" s="3">
        <v>249.57</v>
      </c>
      <c r="G58" s="3"/>
      <c r="H58" s="3"/>
    </row>
    <row r="59" spans="1:8" x14ac:dyDescent="0.25">
      <c r="A59" s="3" t="s">
        <v>59</v>
      </c>
      <c r="B59" s="3"/>
      <c r="C59" s="3"/>
      <c r="D59" s="3">
        <v>98.55</v>
      </c>
      <c r="E59" s="3">
        <v>103.11</v>
      </c>
      <c r="F59" s="3">
        <v>71.400000000000006</v>
      </c>
      <c r="G59" s="3"/>
      <c r="H5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52"/>
  <sheetViews>
    <sheetView topLeftCell="A27" workbookViewId="0">
      <selection activeCell="G49" sqref="G49:G52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2.855468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114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2253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17</v>
      </c>
      <c r="C9" s="10"/>
      <c r="D9" s="10"/>
      <c r="E9" s="10"/>
      <c r="F9" s="10">
        <v>130</v>
      </c>
      <c r="G9" s="10">
        <f t="shared" ref="G9:G36" si="0">SUM(C9:F9)</f>
        <v>130</v>
      </c>
      <c r="H9">
        <f t="shared" ref="H9:H36" si="1">ROUND(G9/2253,2)</f>
        <v>0.06</v>
      </c>
      <c r="I9" s="14">
        <f t="shared" ref="I9:I36" si="2">ROUND(G9/$G$37,3)</f>
        <v>0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>
        <f t="shared" si="1"/>
        <v>0</v>
      </c>
      <c r="I10" s="14">
        <f t="shared" si="2"/>
        <v>0</v>
      </c>
    </row>
    <row r="11" spans="1:9" x14ac:dyDescent="0.25">
      <c r="A11" t="s">
        <v>19</v>
      </c>
      <c r="B11" t="s">
        <v>64</v>
      </c>
      <c r="C11" s="10"/>
      <c r="D11" s="10"/>
      <c r="E11" s="10">
        <v>25</v>
      </c>
      <c r="F11" s="10"/>
      <c r="G11" s="10">
        <f t="shared" si="0"/>
        <v>25</v>
      </c>
      <c r="H11">
        <f t="shared" si="1"/>
        <v>0.01</v>
      </c>
      <c r="I11" s="14">
        <f t="shared" si="2"/>
        <v>0</v>
      </c>
    </row>
    <row r="12" spans="1:9" x14ac:dyDescent="0.25">
      <c r="A12" t="s">
        <v>19</v>
      </c>
      <c r="B12" t="s">
        <v>20</v>
      </c>
      <c r="C12" s="10">
        <v>37900</v>
      </c>
      <c r="D12" s="10"/>
      <c r="E12" s="10"/>
      <c r="F12" s="10"/>
      <c r="G12" s="10">
        <f t="shared" si="0"/>
        <v>37900</v>
      </c>
      <c r="H12">
        <f t="shared" si="1"/>
        <v>16.82</v>
      </c>
      <c r="I12" s="14">
        <f t="shared" si="2"/>
        <v>8.1000000000000003E-2</v>
      </c>
    </row>
    <row r="13" spans="1:9" x14ac:dyDescent="0.25">
      <c r="A13" t="s">
        <v>19</v>
      </c>
      <c r="B13" t="s">
        <v>21</v>
      </c>
      <c r="C13" s="10">
        <v>42720</v>
      </c>
      <c r="D13" s="10"/>
      <c r="E13" s="10"/>
      <c r="F13" s="10"/>
      <c r="G13" s="10">
        <f t="shared" si="0"/>
        <v>42720</v>
      </c>
      <c r="H13">
        <f t="shared" si="1"/>
        <v>18.96</v>
      </c>
      <c r="I13" s="14">
        <f t="shared" si="2"/>
        <v>9.0999999999999998E-2</v>
      </c>
    </row>
    <row r="14" spans="1:9" x14ac:dyDescent="0.25">
      <c r="A14" t="s">
        <v>19</v>
      </c>
      <c r="B14" t="s">
        <v>23</v>
      </c>
      <c r="C14" s="10"/>
      <c r="D14" s="10"/>
      <c r="E14" s="10">
        <v>41600</v>
      </c>
      <c r="F14" s="10"/>
      <c r="G14" s="10">
        <f t="shared" si="0"/>
        <v>41600</v>
      </c>
      <c r="H14">
        <f t="shared" si="1"/>
        <v>18.46</v>
      </c>
      <c r="I14" s="14">
        <f t="shared" si="2"/>
        <v>8.7999999999999995E-2</v>
      </c>
    </row>
    <row r="15" spans="1:9" x14ac:dyDescent="0.25">
      <c r="A15" t="s">
        <v>19</v>
      </c>
      <c r="B15" t="s">
        <v>24</v>
      </c>
      <c r="C15" s="10">
        <v>53640</v>
      </c>
      <c r="D15" s="10"/>
      <c r="E15" s="10"/>
      <c r="F15" s="10"/>
      <c r="G15" s="10">
        <f t="shared" si="0"/>
        <v>53640</v>
      </c>
      <c r="H15">
        <f t="shared" si="1"/>
        <v>23.81</v>
      </c>
      <c r="I15" s="14">
        <f t="shared" si="2"/>
        <v>0.114</v>
      </c>
    </row>
    <row r="16" spans="1:9" x14ac:dyDescent="0.25">
      <c r="A16" t="s">
        <v>19</v>
      </c>
      <c r="B16" t="s">
        <v>66</v>
      </c>
      <c r="C16" s="10"/>
      <c r="D16" s="10"/>
      <c r="E16" s="10">
        <v>770</v>
      </c>
      <c r="F16" s="10"/>
      <c r="G16" s="10">
        <f t="shared" si="0"/>
        <v>770</v>
      </c>
      <c r="H16">
        <f t="shared" si="1"/>
        <v>0.34</v>
      </c>
      <c r="I16" s="14">
        <f t="shared" si="2"/>
        <v>2E-3</v>
      </c>
    </row>
    <row r="17" spans="1:9" x14ac:dyDescent="0.25">
      <c r="A17" t="s">
        <v>19</v>
      </c>
      <c r="B17" t="s">
        <v>25</v>
      </c>
      <c r="C17" s="10">
        <v>84710</v>
      </c>
      <c r="D17" s="10"/>
      <c r="E17" s="10"/>
      <c r="F17" s="10"/>
      <c r="G17" s="10">
        <f t="shared" si="0"/>
        <v>84710</v>
      </c>
      <c r="H17">
        <f t="shared" si="1"/>
        <v>37.6</v>
      </c>
      <c r="I17" s="14">
        <f t="shared" si="2"/>
        <v>0.18</v>
      </c>
    </row>
    <row r="18" spans="1:9" x14ac:dyDescent="0.25">
      <c r="A18" t="s">
        <v>19</v>
      </c>
      <c r="B18" t="s">
        <v>26</v>
      </c>
      <c r="C18" s="10"/>
      <c r="D18" s="10"/>
      <c r="E18" s="10">
        <v>159</v>
      </c>
      <c r="F18" s="10"/>
      <c r="G18" s="10">
        <f t="shared" si="0"/>
        <v>159</v>
      </c>
      <c r="H18">
        <f t="shared" si="1"/>
        <v>7.0000000000000007E-2</v>
      </c>
      <c r="I18" s="14">
        <f t="shared" si="2"/>
        <v>0</v>
      </c>
    </row>
    <row r="19" spans="1:9" x14ac:dyDescent="0.25">
      <c r="A19" t="s">
        <v>19</v>
      </c>
      <c r="B19" t="s">
        <v>27</v>
      </c>
      <c r="C19" s="10"/>
      <c r="D19" s="10"/>
      <c r="E19" s="10">
        <v>85</v>
      </c>
      <c r="F19" s="10"/>
      <c r="G19" s="10">
        <f t="shared" si="0"/>
        <v>85</v>
      </c>
      <c r="H19">
        <f t="shared" si="1"/>
        <v>0.04</v>
      </c>
      <c r="I19" s="14">
        <f t="shared" si="2"/>
        <v>0</v>
      </c>
    </row>
    <row r="20" spans="1:9" x14ac:dyDescent="0.25">
      <c r="A20" t="s">
        <v>19</v>
      </c>
      <c r="B20" t="s">
        <v>28</v>
      </c>
      <c r="C20" s="10"/>
      <c r="D20" s="10"/>
      <c r="E20" s="10">
        <v>114</v>
      </c>
      <c r="F20" s="10"/>
      <c r="G20" s="10">
        <f t="shared" si="0"/>
        <v>114</v>
      </c>
      <c r="H20">
        <f t="shared" si="1"/>
        <v>0.05</v>
      </c>
      <c r="I20" s="14">
        <f t="shared" si="2"/>
        <v>0</v>
      </c>
    </row>
    <row r="21" spans="1:9" x14ac:dyDescent="0.25">
      <c r="A21" t="s">
        <v>19</v>
      </c>
      <c r="B21" t="s">
        <v>29</v>
      </c>
      <c r="C21" s="10"/>
      <c r="D21" s="10"/>
      <c r="E21" s="10">
        <v>810</v>
      </c>
      <c r="F21" s="10"/>
      <c r="G21" s="10">
        <f t="shared" si="0"/>
        <v>810</v>
      </c>
      <c r="H21">
        <f t="shared" si="1"/>
        <v>0.36</v>
      </c>
      <c r="I21" s="14">
        <f t="shared" si="2"/>
        <v>2E-3</v>
      </c>
    </row>
    <row r="22" spans="1:9" x14ac:dyDescent="0.25">
      <c r="A22" t="s">
        <v>19</v>
      </c>
      <c r="B22" t="s">
        <v>30</v>
      </c>
      <c r="C22" s="10"/>
      <c r="D22" s="10"/>
      <c r="E22" s="10">
        <v>130</v>
      </c>
      <c r="F22" s="10"/>
      <c r="G22" s="10">
        <f t="shared" si="0"/>
        <v>130</v>
      </c>
      <c r="H22">
        <f t="shared" si="1"/>
        <v>0.06</v>
      </c>
      <c r="I22" s="14">
        <f t="shared" si="2"/>
        <v>0</v>
      </c>
    </row>
    <row r="23" spans="1:9" x14ac:dyDescent="0.25">
      <c r="A23" t="s">
        <v>19</v>
      </c>
      <c r="B23" t="s">
        <v>42</v>
      </c>
      <c r="C23" s="10"/>
      <c r="D23" s="10">
        <v>83</v>
      </c>
      <c r="E23" s="10"/>
      <c r="F23" s="10"/>
      <c r="G23" s="10">
        <f t="shared" si="0"/>
        <v>83</v>
      </c>
      <c r="H23">
        <f t="shared" si="1"/>
        <v>0.04</v>
      </c>
      <c r="I23" s="14">
        <f t="shared" si="2"/>
        <v>0</v>
      </c>
    </row>
    <row r="24" spans="1:9" x14ac:dyDescent="0.25">
      <c r="A24" t="s">
        <v>19</v>
      </c>
      <c r="B24" t="s">
        <v>33</v>
      </c>
      <c r="C24" s="10"/>
      <c r="D24" s="10">
        <v>160</v>
      </c>
      <c r="E24" s="10">
        <v>20</v>
      </c>
      <c r="F24" s="10"/>
      <c r="G24" s="10">
        <f t="shared" si="0"/>
        <v>180</v>
      </c>
      <c r="H24">
        <f t="shared" si="1"/>
        <v>0.08</v>
      </c>
      <c r="I24" s="14">
        <f t="shared" si="2"/>
        <v>0</v>
      </c>
    </row>
    <row r="25" spans="1:9" x14ac:dyDescent="0.25">
      <c r="A25" t="s">
        <v>19</v>
      </c>
      <c r="B25" t="s">
        <v>67</v>
      </c>
      <c r="C25" s="10"/>
      <c r="D25" s="10"/>
      <c r="E25" s="10">
        <v>610</v>
      </c>
      <c r="F25" s="10"/>
      <c r="G25" s="10">
        <f t="shared" si="0"/>
        <v>610</v>
      </c>
      <c r="H25">
        <f t="shared" si="1"/>
        <v>0.27</v>
      </c>
      <c r="I25" s="14">
        <f t="shared" si="2"/>
        <v>1E-3</v>
      </c>
    </row>
    <row r="26" spans="1:9" x14ac:dyDescent="0.25">
      <c r="A26" t="s">
        <v>19</v>
      </c>
      <c r="B26" t="s">
        <v>34</v>
      </c>
      <c r="C26" s="10"/>
      <c r="D26" s="10"/>
      <c r="E26" s="10">
        <v>1478</v>
      </c>
      <c r="F26" s="10"/>
      <c r="G26" s="10">
        <f t="shared" si="0"/>
        <v>1478</v>
      </c>
      <c r="H26">
        <f t="shared" si="1"/>
        <v>0.66</v>
      </c>
      <c r="I26" s="14">
        <f t="shared" si="2"/>
        <v>3.0000000000000001E-3</v>
      </c>
    </row>
    <row r="27" spans="1:9" x14ac:dyDescent="0.25">
      <c r="A27" t="s">
        <v>19</v>
      </c>
      <c r="B27" t="s">
        <v>40</v>
      </c>
      <c r="C27" s="10"/>
      <c r="D27" s="10"/>
      <c r="E27" s="10">
        <v>2746</v>
      </c>
      <c r="F27" s="10"/>
      <c r="G27" s="10">
        <f t="shared" si="0"/>
        <v>2746</v>
      </c>
      <c r="H27">
        <f t="shared" si="1"/>
        <v>1.22</v>
      </c>
      <c r="I27" s="14">
        <f t="shared" si="2"/>
        <v>6.0000000000000001E-3</v>
      </c>
    </row>
    <row r="28" spans="1:9" x14ac:dyDescent="0.25">
      <c r="A28" t="s">
        <v>19</v>
      </c>
      <c r="B28" t="s">
        <v>35</v>
      </c>
      <c r="C28" s="10"/>
      <c r="D28" s="10"/>
      <c r="E28" s="10">
        <v>1814</v>
      </c>
      <c r="F28" s="10"/>
      <c r="G28" s="10">
        <f t="shared" si="0"/>
        <v>1814</v>
      </c>
      <c r="H28">
        <f t="shared" si="1"/>
        <v>0.81</v>
      </c>
      <c r="I28" s="14">
        <f t="shared" si="2"/>
        <v>4.0000000000000001E-3</v>
      </c>
    </row>
    <row r="29" spans="1:9" x14ac:dyDescent="0.25">
      <c r="A29" t="s">
        <v>19</v>
      </c>
      <c r="B29" t="s">
        <v>36</v>
      </c>
      <c r="C29" s="10"/>
      <c r="D29" s="10"/>
      <c r="E29" s="10">
        <v>26635</v>
      </c>
      <c r="F29" s="10"/>
      <c r="G29" s="10">
        <f t="shared" si="0"/>
        <v>26635</v>
      </c>
      <c r="H29">
        <f t="shared" si="1"/>
        <v>11.82</v>
      </c>
      <c r="I29" s="14">
        <f t="shared" si="2"/>
        <v>5.7000000000000002E-2</v>
      </c>
    </row>
    <row r="30" spans="1:9" x14ac:dyDescent="0.25">
      <c r="A30" t="s">
        <v>19</v>
      </c>
      <c r="B30" t="s">
        <v>38</v>
      </c>
      <c r="C30" s="10"/>
      <c r="D30" s="10"/>
      <c r="E30" s="10">
        <v>8010</v>
      </c>
      <c r="F30" s="10"/>
      <c r="G30" s="10">
        <f t="shared" si="0"/>
        <v>8010</v>
      </c>
      <c r="H30">
        <f t="shared" si="1"/>
        <v>3.56</v>
      </c>
      <c r="I30" s="14">
        <f t="shared" si="2"/>
        <v>1.7000000000000001E-2</v>
      </c>
    </row>
    <row r="31" spans="1:9" x14ac:dyDescent="0.25">
      <c r="A31" t="s">
        <v>19</v>
      </c>
      <c r="B31" t="s">
        <v>39</v>
      </c>
      <c r="C31" s="10"/>
      <c r="D31" s="10"/>
      <c r="E31" s="10">
        <v>44360</v>
      </c>
      <c r="F31" s="10"/>
      <c r="G31" s="10">
        <f t="shared" si="0"/>
        <v>44360</v>
      </c>
      <c r="H31">
        <f t="shared" si="1"/>
        <v>19.690000000000001</v>
      </c>
      <c r="I31" s="14">
        <f t="shared" si="2"/>
        <v>9.4E-2</v>
      </c>
    </row>
    <row r="32" spans="1:9" x14ac:dyDescent="0.25">
      <c r="A32" t="s">
        <v>19</v>
      </c>
      <c r="B32" t="s">
        <v>22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19</v>
      </c>
      <c r="B33" t="s">
        <v>31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43</v>
      </c>
      <c r="B34" t="s">
        <v>44</v>
      </c>
      <c r="C34" s="10">
        <v>80940</v>
      </c>
      <c r="D34" s="10"/>
      <c r="E34" s="10"/>
      <c r="F34" s="10"/>
      <c r="G34" s="10">
        <f t="shared" si="0"/>
        <v>80940</v>
      </c>
      <c r="H34">
        <f t="shared" si="1"/>
        <v>35.93</v>
      </c>
      <c r="I34" s="14">
        <f t="shared" si="2"/>
        <v>0.17199999999999999</v>
      </c>
    </row>
    <row r="35" spans="1:9" x14ac:dyDescent="0.25">
      <c r="A35" t="s">
        <v>43</v>
      </c>
      <c r="B35" t="s">
        <v>46</v>
      </c>
      <c r="C35" s="10"/>
      <c r="D35" s="10"/>
      <c r="E35" s="10"/>
      <c r="F35" s="10">
        <v>13580</v>
      </c>
      <c r="G35" s="10">
        <f t="shared" si="0"/>
        <v>13580</v>
      </c>
      <c r="H35">
        <f t="shared" si="1"/>
        <v>6.03</v>
      </c>
      <c r="I35" s="14">
        <f t="shared" si="2"/>
        <v>2.9000000000000001E-2</v>
      </c>
    </row>
    <row r="36" spans="1:9" x14ac:dyDescent="0.25">
      <c r="A36" t="s">
        <v>43</v>
      </c>
      <c r="B36" t="s">
        <v>45</v>
      </c>
      <c r="C36" s="10"/>
      <c r="D36" s="10"/>
      <c r="E36" s="10">
        <v>27180</v>
      </c>
      <c r="F36" s="10"/>
      <c r="G36" s="10">
        <f t="shared" si="0"/>
        <v>27180</v>
      </c>
      <c r="H36">
        <f t="shared" si="1"/>
        <v>12.06</v>
      </c>
      <c r="I36" s="14">
        <f t="shared" si="2"/>
        <v>5.8000000000000003E-2</v>
      </c>
    </row>
    <row r="37" spans="1:9" x14ac:dyDescent="0.25">
      <c r="A37" s="3" t="s">
        <v>253</v>
      </c>
      <c r="B37" s="3"/>
      <c r="C37" s="8">
        <f t="shared" ref="C37:H37" si="3">SUM(C8:C36)</f>
        <v>299910</v>
      </c>
      <c r="D37" s="8">
        <f t="shared" si="3"/>
        <v>243</v>
      </c>
      <c r="E37" s="8">
        <f t="shared" si="3"/>
        <v>156546</v>
      </c>
      <c r="F37" s="8">
        <f t="shared" si="3"/>
        <v>13710</v>
      </c>
      <c r="G37" s="8">
        <f t="shared" si="3"/>
        <v>470409</v>
      </c>
      <c r="H37" s="3">
        <f t="shared" si="3"/>
        <v>208.81</v>
      </c>
    </row>
    <row r="38" spans="1:9" x14ac:dyDescent="0.25">
      <c r="A38" s="3" t="s">
        <v>14</v>
      </c>
      <c r="B38" s="3"/>
      <c r="C38" s="13">
        <f>ROUND(C37/G37,2)</f>
        <v>0.64</v>
      </c>
      <c r="D38" s="13">
        <f>ROUND(D37/G37,2)</f>
        <v>0</v>
      </c>
      <c r="E38" s="13">
        <f>ROUND(E37/G37,2)</f>
        <v>0.33</v>
      </c>
      <c r="F38" s="13">
        <f>ROUND(F37/G37,2)</f>
        <v>0.03</v>
      </c>
      <c r="G38" s="3"/>
      <c r="H38" s="3"/>
    </row>
    <row r="39" spans="1:9" x14ac:dyDescent="0.25">
      <c r="A39" s="3" t="s">
        <v>47</v>
      </c>
      <c r="B39" s="3"/>
      <c r="C39" s="3"/>
      <c r="D39" s="3"/>
      <c r="E39" s="3"/>
      <c r="F39" s="3"/>
      <c r="G39" s="3"/>
      <c r="H39" s="3"/>
    </row>
    <row r="40" spans="1:9" x14ac:dyDescent="0.25">
      <c r="A40" s="3" t="s">
        <v>48</v>
      </c>
      <c r="B40" s="3"/>
      <c r="C40" s="8">
        <v>218970</v>
      </c>
      <c r="D40" s="8">
        <v>243</v>
      </c>
      <c r="E40" s="8">
        <v>129366</v>
      </c>
      <c r="F40" s="8">
        <v>0</v>
      </c>
      <c r="G40" s="8">
        <f>SUM(C40:F40)</f>
        <v>348579</v>
      </c>
      <c r="H40" s="3">
        <f>ROUND(G40/2253,2)</f>
        <v>154.72</v>
      </c>
    </row>
    <row r="41" spans="1:9" x14ac:dyDescent="0.25">
      <c r="A41" s="3" t="s">
        <v>49</v>
      </c>
      <c r="B41" s="3"/>
      <c r="C41" s="8">
        <v>80940</v>
      </c>
      <c r="D41" s="8">
        <v>0</v>
      </c>
      <c r="E41" s="8">
        <v>27180</v>
      </c>
      <c r="F41" s="8">
        <v>13580</v>
      </c>
      <c r="G41" s="8">
        <f>SUM(C41:F41)</f>
        <v>121700</v>
      </c>
      <c r="H41" s="3">
        <f>ROUND(G41/2253,2)</f>
        <v>54.02</v>
      </c>
    </row>
    <row r="42" spans="1:9" x14ac:dyDescent="0.25">
      <c r="A42" s="3" t="s">
        <v>50</v>
      </c>
      <c r="B42" s="3"/>
      <c r="C42" s="8">
        <v>0</v>
      </c>
      <c r="D42" s="8">
        <v>0</v>
      </c>
      <c r="E42" s="8">
        <v>0</v>
      </c>
      <c r="F42" s="8">
        <v>130</v>
      </c>
      <c r="G42" s="8">
        <f>SUM(C42:F42)</f>
        <v>130</v>
      </c>
      <c r="H42" s="3">
        <f>ROUND(G42/2253,2)</f>
        <v>0.06</v>
      </c>
    </row>
    <row r="43" spans="1:9" x14ac:dyDescent="0.25">
      <c r="A43" s="3"/>
      <c r="B43" s="3"/>
      <c r="C43" s="3"/>
      <c r="D43" s="3"/>
      <c r="E43" s="3"/>
      <c r="F43" s="3"/>
      <c r="G43" s="3"/>
      <c r="H43" s="3"/>
    </row>
    <row r="44" spans="1:9" x14ac:dyDescent="0.25">
      <c r="A44" s="3"/>
      <c r="B44" s="3"/>
      <c r="C44" s="3" t="s">
        <v>2</v>
      </c>
      <c r="D44" s="3">
        <v>2022</v>
      </c>
      <c r="E44" s="3" t="s">
        <v>51</v>
      </c>
      <c r="F44" s="3"/>
      <c r="G44" s="3"/>
      <c r="H44" s="3"/>
    </row>
    <row r="45" spans="1:9" x14ac:dyDescent="0.25">
      <c r="A45" s="3" t="s">
        <v>52</v>
      </c>
      <c r="B45" s="3"/>
      <c r="C45" s="13">
        <v>0.81120000000000003</v>
      </c>
      <c r="D45" s="13">
        <v>0.79869999999999997</v>
      </c>
      <c r="E45" s="13">
        <v>0.77659999999999996</v>
      </c>
      <c r="F45" s="3"/>
      <c r="G45" s="3"/>
      <c r="H45" s="3"/>
    </row>
    <row r="46" spans="1:9" x14ac:dyDescent="0.25">
      <c r="A46" s="3" t="s">
        <v>53</v>
      </c>
      <c r="B46" s="3"/>
      <c r="C46" s="13">
        <v>0.80169999999999997</v>
      </c>
      <c r="D46" s="13">
        <v>0.78800000000000003</v>
      </c>
      <c r="E46" s="13">
        <v>0.75900000000000001</v>
      </c>
      <c r="F46" s="3"/>
      <c r="G46" s="3"/>
      <c r="H46" s="3"/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A48" s="5" t="s">
        <v>256</v>
      </c>
      <c r="B48" s="3"/>
      <c r="C48" s="3" t="s">
        <v>2</v>
      </c>
      <c r="D48" s="3" t="s">
        <v>115</v>
      </c>
      <c r="E48" s="3" t="s">
        <v>55</v>
      </c>
      <c r="F48" s="3" t="s">
        <v>254</v>
      </c>
      <c r="G48" s="3"/>
      <c r="H48" s="3"/>
    </row>
    <row r="49" spans="1:8" x14ac:dyDescent="0.25">
      <c r="A49" s="3" t="s">
        <v>56</v>
      </c>
      <c r="B49" s="3"/>
      <c r="C49" s="3"/>
      <c r="D49" s="3">
        <v>64.88</v>
      </c>
      <c r="E49" s="3">
        <v>81.5</v>
      </c>
      <c r="F49" s="3">
        <v>50.61</v>
      </c>
      <c r="G49" s="3"/>
      <c r="H49" s="3"/>
    </row>
    <row r="50" spans="1:8" x14ac:dyDescent="0.25">
      <c r="A50" s="3" t="s">
        <v>57</v>
      </c>
      <c r="B50" s="3"/>
      <c r="C50" s="3"/>
      <c r="D50" s="3">
        <v>78.44</v>
      </c>
      <c r="E50" s="3">
        <v>58.24</v>
      </c>
      <c r="F50" s="3">
        <v>57.37</v>
      </c>
      <c r="G50" s="3"/>
      <c r="H50" s="3"/>
    </row>
    <row r="51" spans="1:8" x14ac:dyDescent="0.25">
      <c r="A51" s="3" t="s">
        <v>58</v>
      </c>
      <c r="B51" s="3"/>
      <c r="C51" s="3"/>
      <c r="D51" s="3">
        <v>312.14</v>
      </c>
      <c r="E51" s="3">
        <v>261.52999999999997</v>
      </c>
      <c r="F51" s="3">
        <v>249.57</v>
      </c>
      <c r="G51" s="3"/>
      <c r="H51" s="3"/>
    </row>
    <row r="52" spans="1:8" x14ac:dyDescent="0.25">
      <c r="A52" s="3" t="s">
        <v>59</v>
      </c>
      <c r="B52" s="3"/>
      <c r="C52" s="3"/>
      <c r="D52" s="3">
        <v>97.9</v>
      </c>
      <c r="E52" s="3">
        <v>103.11</v>
      </c>
      <c r="F52" s="3">
        <v>71.400000000000006</v>
      </c>
      <c r="G52" s="3"/>
      <c r="H5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3"/>
  <sheetViews>
    <sheetView topLeftCell="A27" workbookViewId="0">
      <selection activeCell="G50" sqref="G50:G53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0.855468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851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15</v>
      </c>
      <c r="G9" s="10">
        <f t="shared" ref="G9:G37" si="0">SUM(C9:F9)</f>
        <v>15</v>
      </c>
      <c r="H9">
        <f t="shared" ref="H9:H37" si="1">ROUND(G9/851,2)</f>
        <v>0.02</v>
      </c>
      <c r="I9" s="4">
        <f t="shared" ref="I9:I37" si="2">ROUND(G9/$G$38,3)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210</v>
      </c>
      <c r="G10" s="10">
        <f t="shared" si="0"/>
        <v>210</v>
      </c>
      <c r="H10">
        <f t="shared" si="1"/>
        <v>0.25</v>
      </c>
      <c r="I10" s="4">
        <f t="shared" si="2"/>
        <v>1E-3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4">
        <f t="shared" si="2"/>
        <v>0</v>
      </c>
    </row>
    <row r="12" spans="1:9" x14ac:dyDescent="0.25">
      <c r="A12" t="s">
        <v>19</v>
      </c>
      <c r="B12" t="s">
        <v>20</v>
      </c>
      <c r="C12" s="10">
        <v>17870</v>
      </c>
      <c r="D12" s="10"/>
      <c r="E12" s="10">
        <v>2113.5500000000002</v>
      </c>
      <c r="F12" s="10"/>
      <c r="G12" s="10">
        <f t="shared" si="0"/>
        <v>19983.55</v>
      </c>
      <c r="H12">
        <f t="shared" si="1"/>
        <v>23.48</v>
      </c>
      <c r="I12" s="4">
        <f t="shared" si="2"/>
        <v>0.106</v>
      </c>
    </row>
    <row r="13" spans="1:9" x14ac:dyDescent="0.25">
      <c r="A13" t="s">
        <v>19</v>
      </c>
      <c r="B13" t="s">
        <v>21</v>
      </c>
      <c r="C13" s="10">
        <v>16800</v>
      </c>
      <c r="D13" s="10"/>
      <c r="E13" s="10">
        <v>643.77</v>
      </c>
      <c r="F13" s="10"/>
      <c r="G13" s="10">
        <f t="shared" si="0"/>
        <v>17443.77</v>
      </c>
      <c r="H13">
        <f t="shared" si="1"/>
        <v>20.5</v>
      </c>
      <c r="I13" s="4">
        <f t="shared" si="2"/>
        <v>9.1999999999999998E-2</v>
      </c>
    </row>
    <row r="14" spans="1:9" x14ac:dyDescent="0.25">
      <c r="A14" t="s">
        <v>19</v>
      </c>
      <c r="B14" t="s">
        <v>22</v>
      </c>
      <c r="C14" s="10"/>
      <c r="D14" s="10"/>
      <c r="E14" s="10">
        <v>312.5</v>
      </c>
      <c r="F14" s="10"/>
      <c r="G14" s="10">
        <f t="shared" si="0"/>
        <v>312.5</v>
      </c>
      <c r="H14">
        <f t="shared" si="1"/>
        <v>0.37</v>
      </c>
      <c r="I14" s="4">
        <f t="shared" si="2"/>
        <v>2E-3</v>
      </c>
    </row>
    <row r="15" spans="1:9" x14ac:dyDescent="0.25">
      <c r="A15" t="s">
        <v>19</v>
      </c>
      <c r="B15" t="s">
        <v>23</v>
      </c>
      <c r="C15" s="10"/>
      <c r="D15" s="10"/>
      <c r="E15" s="10">
        <v>19057.330000000002</v>
      </c>
      <c r="F15" s="10"/>
      <c r="G15" s="10">
        <f t="shared" si="0"/>
        <v>19057.330000000002</v>
      </c>
      <c r="H15">
        <f t="shared" si="1"/>
        <v>22.39</v>
      </c>
      <c r="I15" s="4">
        <f t="shared" si="2"/>
        <v>0.10100000000000001</v>
      </c>
    </row>
    <row r="16" spans="1:9" x14ac:dyDescent="0.25">
      <c r="A16" t="s">
        <v>19</v>
      </c>
      <c r="B16" t="s">
        <v>24</v>
      </c>
      <c r="C16" s="10">
        <v>20030</v>
      </c>
      <c r="D16" s="10"/>
      <c r="E16" s="10">
        <v>4622.7700000000004</v>
      </c>
      <c r="F16" s="10"/>
      <c r="G16" s="10">
        <f t="shared" si="0"/>
        <v>24652.77</v>
      </c>
      <c r="H16">
        <f t="shared" si="1"/>
        <v>28.97</v>
      </c>
      <c r="I16" s="4">
        <f t="shared" si="2"/>
        <v>0.13</v>
      </c>
    </row>
    <row r="17" spans="1:9" x14ac:dyDescent="0.25">
      <c r="A17" t="s">
        <v>19</v>
      </c>
      <c r="B17" t="s">
        <v>25</v>
      </c>
      <c r="C17" s="10">
        <v>24050</v>
      </c>
      <c r="D17" s="10"/>
      <c r="E17" s="10"/>
      <c r="F17" s="10"/>
      <c r="G17" s="10">
        <f t="shared" si="0"/>
        <v>24050</v>
      </c>
      <c r="H17">
        <f t="shared" si="1"/>
        <v>28.26</v>
      </c>
      <c r="I17" s="4">
        <f t="shared" si="2"/>
        <v>0.127</v>
      </c>
    </row>
    <row r="18" spans="1:9" x14ac:dyDescent="0.25">
      <c r="A18" t="s">
        <v>19</v>
      </c>
      <c r="B18" t="s">
        <v>26</v>
      </c>
      <c r="C18" s="10"/>
      <c r="D18" s="10"/>
      <c r="E18" s="10">
        <v>98</v>
      </c>
      <c r="F18" s="10"/>
      <c r="G18" s="10">
        <f t="shared" si="0"/>
        <v>98</v>
      </c>
      <c r="H18">
        <f t="shared" si="1"/>
        <v>0.12</v>
      </c>
      <c r="I18" s="4">
        <f t="shared" si="2"/>
        <v>1E-3</v>
      </c>
    </row>
    <row r="19" spans="1:9" x14ac:dyDescent="0.25">
      <c r="A19" t="s">
        <v>19</v>
      </c>
      <c r="B19" t="s">
        <v>27</v>
      </c>
      <c r="C19" s="10"/>
      <c r="D19" s="10"/>
      <c r="E19" s="10">
        <v>65</v>
      </c>
      <c r="F19" s="10"/>
      <c r="G19" s="10">
        <f t="shared" si="0"/>
        <v>65</v>
      </c>
      <c r="H19">
        <f t="shared" si="1"/>
        <v>0.08</v>
      </c>
      <c r="I19" s="4">
        <f t="shared" si="2"/>
        <v>0</v>
      </c>
    </row>
    <row r="20" spans="1:9" x14ac:dyDescent="0.25">
      <c r="A20" t="s">
        <v>19</v>
      </c>
      <c r="B20" t="s">
        <v>28</v>
      </c>
      <c r="C20" s="10"/>
      <c r="D20" s="10"/>
      <c r="E20" s="10">
        <v>15.95</v>
      </c>
      <c r="F20" s="10"/>
      <c r="G20" s="10">
        <f t="shared" si="0"/>
        <v>15.95</v>
      </c>
      <c r="H20">
        <f t="shared" si="1"/>
        <v>0.02</v>
      </c>
      <c r="I20" s="4">
        <f t="shared" si="2"/>
        <v>0</v>
      </c>
    </row>
    <row r="21" spans="1:9" x14ac:dyDescent="0.25">
      <c r="A21" t="s">
        <v>19</v>
      </c>
      <c r="B21" t="s">
        <v>29</v>
      </c>
      <c r="C21" s="10"/>
      <c r="D21" s="10"/>
      <c r="E21" s="10">
        <v>594.03</v>
      </c>
      <c r="F21" s="10"/>
      <c r="G21" s="10">
        <f t="shared" si="0"/>
        <v>594.03</v>
      </c>
      <c r="H21">
        <f t="shared" si="1"/>
        <v>0.7</v>
      </c>
      <c r="I21" s="4">
        <f t="shared" si="2"/>
        <v>3.0000000000000001E-3</v>
      </c>
    </row>
    <row r="22" spans="1:9" x14ac:dyDescent="0.25">
      <c r="A22" t="s">
        <v>19</v>
      </c>
      <c r="B22" t="s">
        <v>30</v>
      </c>
      <c r="C22" s="10"/>
      <c r="D22" s="10"/>
      <c r="E22" s="10">
        <v>103.63</v>
      </c>
      <c r="F22" s="10"/>
      <c r="G22" s="10">
        <f t="shared" si="0"/>
        <v>103.63</v>
      </c>
      <c r="H22">
        <f t="shared" si="1"/>
        <v>0.12</v>
      </c>
      <c r="I22" s="4">
        <f t="shared" si="2"/>
        <v>1E-3</v>
      </c>
    </row>
    <row r="23" spans="1:9" x14ac:dyDescent="0.25">
      <c r="A23" t="s">
        <v>19</v>
      </c>
      <c r="B23" t="s">
        <v>31</v>
      </c>
      <c r="C23" s="10"/>
      <c r="D23" s="10"/>
      <c r="E23" s="10">
        <v>71.430000000000007</v>
      </c>
      <c r="F23" s="10"/>
      <c r="G23" s="10">
        <f t="shared" si="0"/>
        <v>71.430000000000007</v>
      </c>
      <c r="H23">
        <f t="shared" si="1"/>
        <v>0.08</v>
      </c>
      <c r="I23" s="4">
        <f t="shared" si="2"/>
        <v>0</v>
      </c>
    </row>
    <row r="24" spans="1:9" x14ac:dyDescent="0.25">
      <c r="A24" t="s">
        <v>19</v>
      </c>
      <c r="B24" t="s">
        <v>32</v>
      </c>
      <c r="C24" s="10"/>
      <c r="D24" s="10"/>
      <c r="E24" s="10">
        <v>347.18</v>
      </c>
      <c r="F24" s="10"/>
      <c r="G24" s="10">
        <f t="shared" si="0"/>
        <v>347.18</v>
      </c>
      <c r="H24">
        <f t="shared" si="1"/>
        <v>0.41</v>
      </c>
      <c r="I24" s="4">
        <f t="shared" si="2"/>
        <v>2E-3</v>
      </c>
    </row>
    <row r="25" spans="1:9" x14ac:dyDescent="0.25">
      <c r="A25" t="s">
        <v>19</v>
      </c>
      <c r="B25" t="s">
        <v>33</v>
      </c>
      <c r="C25" s="10"/>
      <c r="D25" s="10"/>
      <c r="E25" s="10">
        <v>141.16999999999999</v>
      </c>
      <c r="F25" s="10"/>
      <c r="G25" s="10">
        <f t="shared" si="0"/>
        <v>141.16999999999999</v>
      </c>
      <c r="H25">
        <f t="shared" si="1"/>
        <v>0.17</v>
      </c>
      <c r="I25" s="4">
        <f t="shared" si="2"/>
        <v>1E-3</v>
      </c>
    </row>
    <row r="26" spans="1:9" x14ac:dyDescent="0.25">
      <c r="A26" t="s">
        <v>19</v>
      </c>
      <c r="B26" t="s">
        <v>34</v>
      </c>
      <c r="C26" s="10"/>
      <c r="D26" s="10"/>
      <c r="E26" s="10">
        <v>203.01</v>
      </c>
      <c r="F26" s="10"/>
      <c r="G26" s="10">
        <f t="shared" si="0"/>
        <v>203.01</v>
      </c>
      <c r="H26">
        <f t="shared" si="1"/>
        <v>0.24</v>
      </c>
      <c r="I26" s="4">
        <f t="shared" si="2"/>
        <v>1E-3</v>
      </c>
    </row>
    <row r="27" spans="1:9" x14ac:dyDescent="0.25">
      <c r="A27" t="s">
        <v>19</v>
      </c>
      <c r="B27" t="s">
        <v>35</v>
      </c>
      <c r="C27" s="10"/>
      <c r="D27" s="10"/>
      <c r="E27" s="10">
        <v>1234.58</v>
      </c>
      <c r="F27" s="10"/>
      <c r="G27" s="10">
        <f t="shared" si="0"/>
        <v>1234.58</v>
      </c>
      <c r="H27">
        <f t="shared" si="1"/>
        <v>1.45</v>
      </c>
      <c r="I27" s="4">
        <f t="shared" si="2"/>
        <v>7.0000000000000001E-3</v>
      </c>
    </row>
    <row r="28" spans="1:9" x14ac:dyDescent="0.25">
      <c r="A28" t="s">
        <v>19</v>
      </c>
      <c r="B28" t="s">
        <v>36</v>
      </c>
      <c r="C28" s="10"/>
      <c r="D28" s="10"/>
      <c r="E28" s="10">
        <v>13395.25</v>
      </c>
      <c r="F28" s="10"/>
      <c r="G28" s="10">
        <f t="shared" si="0"/>
        <v>13395.25</v>
      </c>
      <c r="H28">
        <f t="shared" si="1"/>
        <v>15.74</v>
      </c>
      <c r="I28" s="4">
        <f t="shared" si="2"/>
        <v>7.0999999999999994E-2</v>
      </c>
    </row>
    <row r="29" spans="1:9" x14ac:dyDescent="0.25">
      <c r="A29" t="s">
        <v>19</v>
      </c>
      <c r="B29" t="s">
        <v>37</v>
      </c>
      <c r="C29" s="10"/>
      <c r="D29" s="10"/>
      <c r="E29" s="10">
        <v>795.77</v>
      </c>
      <c r="F29" s="10"/>
      <c r="G29" s="10">
        <f t="shared" si="0"/>
        <v>795.77</v>
      </c>
      <c r="H29">
        <f t="shared" si="1"/>
        <v>0.94</v>
      </c>
      <c r="I29" s="4">
        <f t="shared" si="2"/>
        <v>4.0000000000000001E-3</v>
      </c>
    </row>
    <row r="30" spans="1:9" x14ac:dyDescent="0.25">
      <c r="A30" t="s">
        <v>19</v>
      </c>
      <c r="B30" t="s">
        <v>38</v>
      </c>
      <c r="C30" s="10"/>
      <c r="D30" s="10"/>
      <c r="E30" s="10">
        <v>4852.1499999999996</v>
      </c>
      <c r="F30" s="10"/>
      <c r="G30" s="10">
        <f t="shared" si="0"/>
        <v>4852.1499999999996</v>
      </c>
      <c r="H30">
        <f t="shared" si="1"/>
        <v>5.7</v>
      </c>
      <c r="I30" s="4">
        <f t="shared" si="2"/>
        <v>2.5999999999999999E-2</v>
      </c>
    </row>
    <row r="31" spans="1:9" x14ac:dyDescent="0.25">
      <c r="A31" t="s">
        <v>19</v>
      </c>
      <c r="B31" t="s">
        <v>39</v>
      </c>
      <c r="C31" s="10"/>
      <c r="D31" s="10"/>
      <c r="E31" s="10">
        <v>8341.43</v>
      </c>
      <c r="F31" s="10"/>
      <c r="G31" s="10">
        <f t="shared" si="0"/>
        <v>8341.43</v>
      </c>
      <c r="H31">
        <f t="shared" si="1"/>
        <v>9.8000000000000007</v>
      </c>
      <c r="I31" s="4">
        <f t="shared" si="2"/>
        <v>4.3999999999999997E-2</v>
      </c>
    </row>
    <row r="32" spans="1:9" x14ac:dyDescent="0.25">
      <c r="A32" t="s">
        <v>19</v>
      </c>
      <c r="B32" t="s">
        <v>40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4">
        <f t="shared" si="2"/>
        <v>0</v>
      </c>
    </row>
    <row r="33" spans="1:9" x14ac:dyDescent="0.25">
      <c r="A33" t="s">
        <v>19</v>
      </c>
      <c r="B33" t="s">
        <v>41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4">
        <f t="shared" si="2"/>
        <v>0</v>
      </c>
    </row>
    <row r="34" spans="1:9" x14ac:dyDescent="0.25">
      <c r="A34" t="s">
        <v>19</v>
      </c>
      <c r="B34" t="s">
        <v>42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4">
        <f t="shared" si="2"/>
        <v>0</v>
      </c>
    </row>
    <row r="35" spans="1:9" x14ac:dyDescent="0.25">
      <c r="A35" t="s">
        <v>43</v>
      </c>
      <c r="B35" t="s">
        <v>44</v>
      </c>
      <c r="C35" s="10">
        <v>42060</v>
      </c>
      <c r="D35" s="10"/>
      <c r="E35" s="10"/>
      <c r="F35" s="10"/>
      <c r="G35" s="10">
        <f t="shared" si="0"/>
        <v>42060</v>
      </c>
      <c r="H35">
        <f t="shared" si="1"/>
        <v>49.42</v>
      </c>
      <c r="I35" s="4">
        <f t="shared" si="2"/>
        <v>0.222</v>
      </c>
    </row>
    <row r="36" spans="1:9" x14ac:dyDescent="0.25">
      <c r="A36" t="s">
        <v>43</v>
      </c>
      <c r="B36" t="s">
        <v>45</v>
      </c>
      <c r="C36" s="10"/>
      <c r="D36" s="10"/>
      <c r="E36" s="10">
        <v>11120.62</v>
      </c>
      <c r="F36" s="10"/>
      <c r="G36" s="10">
        <f t="shared" si="0"/>
        <v>11120.62</v>
      </c>
      <c r="H36">
        <f t="shared" si="1"/>
        <v>13.07</v>
      </c>
      <c r="I36" s="4">
        <f t="shared" si="2"/>
        <v>5.8999999999999997E-2</v>
      </c>
    </row>
    <row r="37" spans="1:9" x14ac:dyDescent="0.25">
      <c r="A37" t="s">
        <v>43</v>
      </c>
      <c r="B37" t="s">
        <v>46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4">
        <f t="shared" si="2"/>
        <v>0</v>
      </c>
    </row>
    <row r="38" spans="1:9" x14ac:dyDescent="0.25">
      <c r="A38" s="3" t="s">
        <v>253</v>
      </c>
      <c r="B38" s="3"/>
      <c r="C38" s="8">
        <f t="shared" ref="C38:H38" si="3">SUM(C8:C37)</f>
        <v>120810</v>
      </c>
      <c r="D38" s="8">
        <f t="shared" si="3"/>
        <v>0</v>
      </c>
      <c r="E38" s="8">
        <f t="shared" si="3"/>
        <v>68129.119999999995</v>
      </c>
      <c r="F38" s="8">
        <f t="shared" si="3"/>
        <v>225</v>
      </c>
      <c r="G38" s="8">
        <f t="shared" si="3"/>
        <v>189164.11999999997</v>
      </c>
      <c r="H38" s="3">
        <f t="shared" si="3"/>
        <v>222.3</v>
      </c>
    </row>
    <row r="39" spans="1:9" x14ac:dyDescent="0.25">
      <c r="A39" s="3" t="s">
        <v>14</v>
      </c>
      <c r="B39" s="3"/>
      <c r="C39" s="12">
        <f>ROUND(C38/G38,2)</f>
        <v>0.64</v>
      </c>
      <c r="D39" s="12">
        <f>ROUND(D38/G38,2)</f>
        <v>0</v>
      </c>
      <c r="E39" s="12">
        <f>ROUND(E38/G38,2)</f>
        <v>0.36</v>
      </c>
      <c r="F39" s="12">
        <f>ROUND(F38/G38,2)</f>
        <v>0</v>
      </c>
      <c r="G39" s="3"/>
      <c r="H39" s="3"/>
    </row>
    <row r="40" spans="1:9" x14ac:dyDescent="0.25">
      <c r="A40" s="3" t="s">
        <v>47</v>
      </c>
      <c r="B40" s="3"/>
      <c r="C40" s="3"/>
      <c r="D40" s="3"/>
      <c r="E40" s="3"/>
      <c r="F40" s="3"/>
      <c r="G40" s="3"/>
      <c r="H40" s="3"/>
    </row>
    <row r="41" spans="1:9" x14ac:dyDescent="0.25">
      <c r="A41" s="3" t="s">
        <v>48</v>
      </c>
      <c r="B41" s="3"/>
      <c r="C41" s="8">
        <v>78750</v>
      </c>
      <c r="D41" s="8">
        <v>0</v>
      </c>
      <c r="E41" s="8">
        <v>57008.5</v>
      </c>
      <c r="F41" s="8">
        <v>0</v>
      </c>
      <c r="G41" s="8">
        <f>SUM(C41:F41)</f>
        <v>135758.5</v>
      </c>
      <c r="H41" s="8">
        <f>ROUND(G41/851,2)</f>
        <v>159.53</v>
      </c>
    </row>
    <row r="42" spans="1:9" x14ac:dyDescent="0.25">
      <c r="A42" s="3" t="s">
        <v>49</v>
      </c>
      <c r="B42" s="3"/>
      <c r="C42" s="8">
        <v>42060</v>
      </c>
      <c r="D42" s="8">
        <v>0</v>
      </c>
      <c r="E42" s="8">
        <v>11120.62</v>
      </c>
      <c r="F42" s="8">
        <v>0</v>
      </c>
      <c r="G42" s="8">
        <f>SUM(C42:F42)</f>
        <v>53180.62</v>
      </c>
      <c r="H42" s="8">
        <f>ROUND(G42/851,2)</f>
        <v>62.49</v>
      </c>
    </row>
    <row r="43" spans="1:9" x14ac:dyDescent="0.25">
      <c r="A43" s="3" t="s">
        <v>50</v>
      </c>
      <c r="B43" s="3"/>
      <c r="C43" s="8">
        <v>0</v>
      </c>
      <c r="D43" s="8">
        <v>0</v>
      </c>
      <c r="E43" s="8">
        <v>0</v>
      </c>
      <c r="F43" s="8">
        <v>225</v>
      </c>
      <c r="G43" s="8">
        <f>SUM(C43:F43)</f>
        <v>225</v>
      </c>
      <c r="H43" s="8">
        <f>ROUND(G43/851,2)</f>
        <v>0.26</v>
      </c>
    </row>
    <row r="44" spans="1:9" x14ac:dyDescent="0.25">
      <c r="A44" s="3"/>
      <c r="B44" s="3"/>
      <c r="C44" s="3"/>
      <c r="D44" s="3"/>
      <c r="E44" s="3"/>
      <c r="F44" s="3"/>
      <c r="G44" s="3"/>
      <c r="H44" s="3"/>
    </row>
    <row r="45" spans="1:9" x14ac:dyDescent="0.25">
      <c r="A45" s="3"/>
      <c r="B45" s="3"/>
      <c r="C45" s="3" t="s">
        <v>2</v>
      </c>
      <c r="D45" s="3">
        <v>2022</v>
      </c>
      <c r="E45" s="3" t="s">
        <v>51</v>
      </c>
      <c r="F45" s="3"/>
      <c r="G45" s="3"/>
      <c r="H45" s="3"/>
    </row>
    <row r="46" spans="1:9" x14ac:dyDescent="0.25">
      <c r="A46" s="3" t="s">
        <v>52</v>
      </c>
      <c r="B46" s="3"/>
      <c r="C46" s="12">
        <v>0.752</v>
      </c>
      <c r="D46" s="12">
        <v>0.78549999999999998</v>
      </c>
      <c r="E46" s="12">
        <v>0.77659999999999996</v>
      </c>
      <c r="F46" s="3"/>
      <c r="G46" s="3"/>
      <c r="H46" s="3"/>
    </row>
    <row r="47" spans="1:9" x14ac:dyDescent="0.25">
      <c r="A47" s="3" t="s">
        <v>53</v>
      </c>
      <c r="B47" s="3"/>
      <c r="C47" s="12">
        <v>0.752</v>
      </c>
      <c r="D47" s="12">
        <v>0.73770000000000002</v>
      </c>
      <c r="E47" s="12">
        <v>0.75900000000000001</v>
      </c>
      <c r="F47" s="3"/>
      <c r="G47" s="3"/>
      <c r="H47" s="3"/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 t="s">
        <v>255</v>
      </c>
      <c r="B49" s="3"/>
      <c r="C49" s="3" t="s">
        <v>2</v>
      </c>
      <c r="D49" s="3" t="s">
        <v>54</v>
      </c>
      <c r="E49" s="3" t="s">
        <v>55</v>
      </c>
      <c r="F49" s="3" t="s">
        <v>254</v>
      </c>
      <c r="G49" s="3"/>
      <c r="H49" s="3"/>
    </row>
    <row r="50" spans="1:8" x14ac:dyDescent="0.25">
      <c r="A50" s="3" t="s">
        <v>56</v>
      </c>
      <c r="B50" s="3"/>
      <c r="C50" s="3"/>
      <c r="D50" s="3">
        <v>70.400000000000006</v>
      </c>
      <c r="E50" s="3">
        <v>81.5</v>
      </c>
      <c r="F50" s="3">
        <v>50.61</v>
      </c>
      <c r="G50" s="3"/>
      <c r="H50" s="3"/>
    </row>
    <row r="51" spans="1:8" x14ac:dyDescent="0.25">
      <c r="A51" s="3" t="s">
        <v>57</v>
      </c>
      <c r="B51" s="3"/>
      <c r="C51" s="3"/>
      <c r="D51" s="3">
        <v>43.66</v>
      </c>
      <c r="E51" s="3">
        <v>58.24</v>
      </c>
      <c r="F51" s="3">
        <v>57.37</v>
      </c>
      <c r="G51" s="3"/>
      <c r="H51" s="3"/>
    </row>
    <row r="52" spans="1:8" x14ac:dyDescent="0.25">
      <c r="A52" s="3" t="s">
        <v>58</v>
      </c>
      <c r="B52" s="3"/>
      <c r="C52" s="3"/>
      <c r="D52" s="3">
        <v>264.70999999999998</v>
      </c>
      <c r="E52" s="3">
        <v>261.52999999999997</v>
      </c>
      <c r="F52" s="3">
        <v>249.57</v>
      </c>
      <c r="G52" s="3"/>
      <c r="H52" s="3"/>
    </row>
    <row r="53" spans="1:8" x14ac:dyDescent="0.25">
      <c r="A53" s="3" t="s">
        <v>59</v>
      </c>
      <c r="B53" s="3"/>
      <c r="C53" s="3"/>
      <c r="D53" s="3">
        <v>88.94</v>
      </c>
      <c r="E53" s="3">
        <v>103.11</v>
      </c>
      <c r="F53" s="3">
        <v>71.400000000000006</v>
      </c>
      <c r="G53" s="3"/>
      <c r="H53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I36"/>
  <sheetViews>
    <sheetView topLeftCell="A12" workbookViewId="0">
      <selection activeCell="G33" sqref="G33:G36"/>
    </sheetView>
  </sheetViews>
  <sheetFormatPr defaultRowHeight="15" x14ac:dyDescent="0.25"/>
  <cols>
    <col min="1" max="1" width="48.28515625" bestFit="1" customWidth="1"/>
    <col min="2" max="2" width="37.5703125" bestFit="1" customWidth="1"/>
    <col min="3" max="3" width="12.5703125" bestFit="1" customWidth="1"/>
    <col min="4" max="4" width="20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116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151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/>
      <c r="D9" s="10">
        <v>3130</v>
      </c>
      <c r="E9" s="10"/>
      <c r="F9" s="10"/>
      <c r="G9" s="10">
        <f t="shared" ref="G9:G20" si="0">SUM(C9:F9)</f>
        <v>3130</v>
      </c>
      <c r="H9">
        <f t="shared" ref="H9:H20" si="1">ROUND(G9/151,2)</f>
        <v>20.73</v>
      </c>
      <c r="I9" s="14">
        <f t="shared" ref="I9:I20" si="2">ROUND(G9/$G$21,3)</f>
        <v>9.6000000000000002E-2</v>
      </c>
    </row>
    <row r="10" spans="1:9" x14ac:dyDescent="0.25">
      <c r="A10" t="s">
        <v>19</v>
      </c>
      <c r="B10" t="s">
        <v>21</v>
      </c>
      <c r="C10" s="10">
        <v>270</v>
      </c>
      <c r="D10" s="10">
        <v>2935</v>
      </c>
      <c r="E10" s="10"/>
      <c r="F10" s="10"/>
      <c r="G10" s="10">
        <f t="shared" si="0"/>
        <v>3205</v>
      </c>
      <c r="H10">
        <f t="shared" si="1"/>
        <v>21.23</v>
      </c>
      <c r="I10" s="14">
        <f t="shared" si="2"/>
        <v>9.8000000000000004E-2</v>
      </c>
    </row>
    <row r="11" spans="1:9" x14ac:dyDescent="0.25">
      <c r="A11" t="s">
        <v>19</v>
      </c>
      <c r="B11" t="s">
        <v>24</v>
      </c>
      <c r="C11" s="10"/>
      <c r="D11" s="10">
        <v>3825</v>
      </c>
      <c r="E11" s="10"/>
      <c r="F11" s="10"/>
      <c r="G11" s="10">
        <f t="shared" si="0"/>
        <v>3825</v>
      </c>
      <c r="H11">
        <f t="shared" si="1"/>
        <v>25.33</v>
      </c>
      <c r="I11" s="14">
        <f t="shared" si="2"/>
        <v>0.11700000000000001</v>
      </c>
    </row>
    <row r="12" spans="1:9" x14ac:dyDescent="0.25">
      <c r="A12" t="s">
        <v>19</v>
      </c>
      <c r="B12" t="s">
        <v>42</v>
      </c>
      <c r="C12" s="10"/>
      <c r="D12" s="10">
        <v>15</v>
      </c>
      <c r="E12" s="10"/>
      <c r="F12" s="10"/>
      <c r="G12" s="10">
        <f t="shared" si="0"/>
        <v>15</v>
      </c>
      <c r="H12">
        <f t="shared" si="1"/>
        <v>0.1</v>
      </c>
      <c r="I12" s="14">
        <f t="shared" si="2"/>
        <v>0</v>
      </c>
    </row>
    <row r="13" spans="1:9" x14ac:dyDescent="0.25">
      <c r="A13" t="s">
        <v>19</v>
      </c>
      <c r="B13" t="s">
        <v>33</v>
      </c>
      <c r="C13" s="10"/>
      <c r="D13" s="10">
        <v>6</v>
      </c>
      <c r="E13" s="10"/>
      <c r="F13" s="10"/>
      <c r="G13" s="10">
        <f t="shared" si="0"/>
        <v>6</v>
      </c>
      <c r="H13">
        <f t="shared" si="1"/>
        <v>0.04</v>
      </c>
      <c r="I13" s="14">
        <f t="shared" si="2"/>
        <v>0</v>
      </c>
    </row>
    <row r="14" spans="1:9" x14ac:dyDescent="0.25">
      <c r="A14" t="s">
        <v>19</v>
      </c>
      <c r="B14" t="s">
        <v>38</v>
      </c>
      <c r="C14" s="10"/>
      <c r="D14" s="10"/>
      <c r="E14" s="10">
        <v>1340</v>
      </c>
      <c r="F14" s="10"/>
      <c r="G14" s="10">
        <f t="shared" si="0"/>
        <v>1340</v>
      </c>
      <c r="H14">
        <f t="shared" si="1"/>
        <v>8.8699999999999992</v>
      </c>
      <c r="I14" s="14">
        <f t="shared" si="2"/>
        <v>4.1000000000000002E-2</v>
      </c>
    </row>
    <row r="15" spans="1:9" x14ac:dyDescent="0.25">
      <c r="A15" t="s">
        <v>19</v>
      </c>
      <c r="B15" t="s">
        <v>39</v>
      </c>
      <c r="C15" s="10"/>
      <c r="D15" s="10"/>
      <c r="E15" s="10">
        <v>3700</v>
      </c>
      <c r="F15" s="10"/>
      <c r="G15" s="10">
        <f t="shared" si="0"/>
        <v>3700</v>
      </c>
      <c r="H15">
        <f t="shared" si="1"/>
        <v>24.5</v>
      </c>
      <c r="I15" s="14">
        <f t="shared" si="2"/>
        <v>0.113</v>
      </c>
    </row>
    <row r="16" spans="1:9" x14ac:dyDescent="0.25">
      <c r="A16" t="s">
        <v>19</v>
      </c>
      <c r="B16" t="s">
        <v>25</v>
      </c>
      <c r="C16" s="10"/>
      <c r="D16" s="10"/>
      <c r="E16" s="10"/>
      <c r="F16" s="10"/>
      <c r="G16" s="10">
        <f t="shared" si="0"/>
        <v>0</v>
      </c>
      <c r="H16">
        <f t="shared" si="1"/>
        <v>0</v>
      </c>
      <c r="I16" s="14">
        <f t="shared" si="2"/>
        <v>0</v>
      </c>
    </row>
    <row r="17" spans="1:9" x14ac:dyDescent="0.25">
      <c r="A17" t="s">
        <v>19</v>
      </c>
      <c r="B17" t="s">
        <v>23</v>
      </c>
      <c r="C17" s="10"/>
      <c r="D17" s="10"/>
      <c r="E17" s="10"/>
      <c r="F17" s="10"/>
      <c r="G17" s="10">
        <f t="shared" si="0"/>
        <v>0</v>
      </c>
      <c r="H17">
        <f t="shared" si="1"/>
        <v>0</v>
      </c>
      <c r="I17" s="14">
        <f t="shared" si="2"/>
        <v>0</v>
      </c>
    </row>
    <row r="18" spans="1:9" x14ac:dyDescent="0.25">
      <c r="A18" t="s">
        <v>43</v>
      </c>
      <c r="B18" t="s">
        <v>44</v>
      </c>
      <c r="C18" s="10"/>
      <c r="D18" s="10">
        <v>14870</v>
      </c>
      <c r="E18" s="10"/>
      <c r="F18" s="10"/>
      <c r="G18" s="10">
        <f t="shared" si="0"/>
        <v>14870</v>
      </c>
      <c r="H18">
        <f t="shared" si="1"/>
        <v>98.48</v>
      </c>
      <c r="I18" s="14">
        <f t="shared" si="2"/>
        <v>0.45500000000000002</v>
      </c>
    </row>
    <row r="19" spans="1:9" x14ac:dyDescent="0.25">
      <c r="A19" t="s">
        <v>43</v>
      </c>
      <c r="B19" t="s">
        <v>45</v>
      </c>
      <c r="C19" s="10"/>
      <c r="D19" s="10"/>
      <c r="E19" s="10">
        <v>2560</v>
      </c>
      <c r="F19" s="10"/>
      <c r="G19" s="10">
        <f t="shared" si="0"/>
        <v>2560</v>
      </c>
      <c r="H19">
        <f t="shared" si="1"/>
        <v>16.95</v>
      </c>
      <c r="I19" s="14">
        <f t="shared" si="2"/>
        <v>7.8E-2</v>
      </c>
    </row>
    <row r="20" spans="1:9" x14ac:dyDescent="0.25">
      <c r="A20" t="s">
        <v>15</v>
      </c>
      <c r="B20" t="s">
        <v>18</v>
      </c>
      <c r="C20" s="10"/>
      <c r="D20" s="10"/>
      <c r="E20" s="10"/>
      <c r="F20" s="10"/>
      <c r="G20" s="10">
        <f t="shared" si="0"/>
        <v>0</v>
      </c>
      <c r="H20">
        <f t="shared" si="1"/>
        <v>0</v>
      </c>
      <c r="I20" s="14">
        <f t="shared" si="2"/>
        <v>0</v>
      </c>
    </row>
    <row r="21" spans="1:9" x14ac:dyDescent="0.25">
      <c r="A21" s="3" t="s">
        <v>253</v>
      </c>
      <c r="B21" s="3"/>
      <c r="C21" s="8">
        <f t="shared" ref="C21:H21" si="3">SUM(C8:C20)</f>
        <v>270</v>
      </c>
      <c r="D21" s="8">
        <f t="shared" si="3"/>
        <v>24781</v>
      </c>
      <c r="E21" s="8">
        <f t="shared" si="3"/>
        <v>7600</v>
      </c>
      <c r="F21" s="8">
        <f t="shared" si="3"/>
        <v>0</v>
      </c>
      <c r="G21" s="8">
        <f t="shared" si="3"/>
        <v>32651</v>
      </c>
      <c r="H21" s="3">
        <f t="shared" si="3"/>
        <v>216.23</v>
      </c>
    </row>
    <row r="22" spans="1:9" x14ac:dyDescent="0.25">
      <c r="A22" s="3" t="s">
        <v>14</v>
      </c>
      <c r="B22" s="3"/>
      <c r="C22" s="13">
        <f>ROUND(C21/G21,2)</f>
        <v>0.01</v>
      </c>
      <c r="D22" s="13">
        <f>ROUND(D21/G21,2)</f>
        <v>0.76</v>
      </c>
      <c r="E22" s="13">
        <f>ROUND(E21/G21,2)</f>
        <v>0.23</v>
      </c>
      <c r="F22" s="13">
        <f>ROUND(F21/G21,2)</f>
        <v>0</v>
      </c>
      <c r="G22" s="3"/>
      <c r="H22" s="3"/>
    </row>
    <row r="23" spans="1:9" x14ac:dyDescent="0.25">
      <c r="A23" s="3" t="s">
        <v>47</v>
      </c>
      <c r="B23" s="3"/>
      <c r="C23" s="3"/>
      <c r="D23" s="3"/>
      <c r="E23" s="3"/>
      <c r="F23" s="3"/>
      <c r="G23" s="3"/>
      <c r="H23" s="3"/>
    </row>
    <row r="24" spans="1:9" x14ac:dyDescent="0.25">
      <c r="A24" s="3" t="s">
        <v>48</v>
      </c>
      <c r="B24" s="3"/>
      <c r="C24" s="8">
        <v>270</v>
      </c>
      <c r="D24" s="8">
        <v>9911</v>
      </c>
      <c r="E24" s="8">
        <v>5040</v>
      </c>
      <c r="F24" s="8">
        <v>0</v>
      </c>
      <c r="G24" s="8">
        <f>SUM(C24:F24)</f>
        <v>15221</v>
      </c>
      <c r="H24" s="3">
        <f>ROUND(G24/151,2)</f>
        <v>100.8</v>
      </c>
    </row>
    <row r="25" spans="1:9" x14ac:dyDescent="0.25">
      <c r="A25" s="3" t="s">
        <v>49</v>
      </c>
      <c r="B25" s="3"/>
      <c r="C25" s="8">
        <v>0</v>
      </c>
      <c r="D25" s="8">
        <v>14870</v>
      </c>
      <c r="E25" s="8">
        <v>2560</v>
      </c>
      <c r="F25" s="8">
        <v>0</v>
      </c>
      <c r="G25" s="8">
        <f>SUM(C25:F25)</f>
        <v>17430</v>
      </c>
      <c r="H25" s="3">
        <f>ROUND(G25/151,2)</f>
        <v>115.43</v>
      </c>
    </row>
    <row r="26" spans="1:9" x14ac:dyDescent="0.25">
      <c r="A26" s="3" t="s">
        <v>50</v>
      </c>
      <c r="B26" s="3"/>
      <c r="C26" s="8">
        <v>0</v>
      </c>
      <c r="D26" s="8">
        <v>0</v>
      </c>
      <c r="E26" s="8">
        <v>0</v>
      </c>
      <c r="F26" s="8">
        <v>0</v>
      </c>
      <c r="G26" s="8">
        <f>SUM(C26:F26)</f>
        <v>0</v>
      </c>
      <c r="H26" s="3">
        <f>ROUND(G26/151,2)</f>
        <v>0</v>
      </c>
    </row>
    <row r="27" spans="1:9" x14ac:dyDescent="0.25">
      <c r="A27" s="3"/>
      <c r="B27" s="3"/>
      <c r="C27" s="3"/>
      <c r="D27" s="3"/>
      <c r="E27" s="3"/>
      <c r="F27" s="3"/>
      <c r="G27" s="3"/>
      <c r="H27" s="3"/>
    </row>
    <row r="28" spans="1:9" x14ac:dyDescent="0.25">
      <c r="A28" s="3"/>
      <c r="B28" s="3"/>
      <c r="C28" s="3" t="s">
        <v>2</v>
      </c>
      <c r="D28" s="3">
        <v>2022</v>
      </c>
      <c r="E28" s="3" t="s">
        <v>51</v>
      </c>
      <c r="F28" s="3"/>
      <c r="G28" s="3"/>
      <c r="H28" s="3"/>
    </row>
    <row r="29" spans="1:9" x14ac:dyDescent="0.25">
      <c r="A29" s="3" t="s">
        <v>52</v>
      </c>
      <c r="B29" s="3"/>
      <c r="C29" s="13">
        <v>0.54459999999999997</v>
      </c>
      <c r="D29" s="13">
        <v>0.54159999999999997</v>
      </c>
      <c r="E29" s="13">
        <v>0.77659999999999996</v>
      </c>
      <c r="F29" s="3"/>
      <c r="G29" s="3"/>
      <c r="H29" s="3"/>
    </row>
    <row r="30" spans="1:9" x14ac:dyDescent="0.25">
      <c r="A30" s="3" t="s">
        <v>53</v>
      </c>
      <c r="B30" s="3"/>
      <c r="C30" s="13">
        <v>0.54459999999999997</v>
      </c>
      <c r="D30" s="13">
        <v>0.48870000000000002</v>
      </c>
      <c r="E30" s="13">
        <v>0.75900000000000001</v>
      </c>
      <c r="F30" s="3"/>
      <c r="G30" s="3"/>
      <c r="H30" s="3"/>
    </row>
    <row r="31" spans="1:9" x14ac:dyDescent="0.25">
      <c r="A31" s="3"/>
      <c r="B31" s="3"/>
      <c r="C31" s="3"/>
      <c r="D31" s="3"/>
      <c r="E31" s="3"/>
      <c r="F31" s="3"/>
      <c r="G31" s="3"/>
      <c r="H31" s="3"/>
    </row>
    <row r="32" spans="1:9" x14ac:dyDescent="0.25">
      <c r="A32" s="3" t="s">
        <v>256</v>
      </c>
      <c r="B32" s="3"/>
      <c r="C32" s="3" t="s">
        <v>2</v>
      </c>
      <c r="D32" s="3" t="s">
        <v>117</v>
      </c>
      <c r="E32" s="3" t="s">
        <v>55</v>
      </c>
      <c r="F32" s="3" t="s">
        <v>254</v>
      </c>
      <c r="G32" s="3"/>
      <c r="H32" s="3"/>
    </row>
    <row r="33" spans="1:8" x14ac:dyDescent="0.25">
      <c r="A33" s="3" t="s">
        <v>56</v>
      </c>
      <c r="B33" s="3"/>
      <c r="C33" s="3"/>
      <c r="D33" s="3">
        <v>167.4</v>
      </c>
      <c r="E33" s="3">
        <v>81.5</v>
      </c>
      <c r="F33" s="3">
        <v>50.61</v>
      </c>
      <c r="G33" s="3"/>
      <c r="H33" s="3"/>
    </row>
    <row r="34" spans="1:8" x14ac:dyDescent="0.25">
      <c r="A34" s="3" t="s">
        <v>57</v>
      </c>
      <c r="B34" s="3"/>
      <c r="C34" s="3"/>
      <c r="D34" s="3">
        <v>54.81</v>
      </c>
      <c r="E34" s="3">
        <v>58.24</v>
      </c>
      <c r="F34" s="3">
        <v>57.37</v>
      </c>
      <c r="G34" s="3"/>
      <c r="H34" s="3"/>
    </row>
    <row r="35" spans="1:8" x14ac:dyDescent="0.25">
      <c r="A35" s="3" t="s">
        <v>58</v>
      </c>
      <c r="B35" s="3"/>
      <c r="C35" s="3"/>
      <c r="D35" s="3">
        <v>252.66</v>
      </c>
      <c r="E35" s="3">
        <v>261.52999999999997</v>
      </c>
      <c r="F35" s="3">
        <v>249.57</v>
      </c>
      <c r="G35" s="3"/>
      <c r="H35" s="3"/>
    </row>
    <row r="36" spans="1:8" x14ac:dyDescent="0.25">
      <c r="A36" s="3" t="s">
        <v>59</v>
      </c>
      <c r="B36" s="3"/>
      <c r="C36" s="3"/>
      <c r="D36" s="3">
        <v>219.95</v>
      </c>
      <c r="E36" s="3">
        <v>103.11</v>
      </c>
      <c r="F36" s="3">
        <v>71.400000000000006</v>
      </c>
      <c r="G36" s="3"/>
      <c r="H36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I56"/>
  <sheetViews>
    <sheetView topLeftCell="A27" workbookViewId="0">
      <selection activeCell="G53" sqref="G53:G56"/>
    </sheetView>
  </sheetViews>
  <sheetFormatPr defaultRowHeight="15" x14ac:dyDescent="0.25"/>
  <cols>
    <col min="1" max="1" width="48.28515625" bestFit="1" customWidth="1"/>
    <col min="2" max="2" width="41.85546875" bestFit="1" customWidth="1"/>
    <col min="3" max="3" width="12.5703125" bestFit="1" customWidth="1"/>
    <col min="4" max="4" width="24.5703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118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1268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20</v>
      </c>
      <c r="F9" s="10"/>
      <c r="G9" s="10">
        <f t="shared" ref="G9:G40" si="0">SUM(C9:F9)</f>
        <v>20</v>
      </c>
      <c r="H9">
        <f t="shared" ref="H9:H40" si="1">ROUND(G9/1268,2)</f>
        <v>0.02</v>
      </c>
      <c r="I9" s="14">
        <f t="shared" ref="I9:I40" si="2">ROUND(G9/$G$41,3)</f>
        <v>0</v>
      </c>
    </row>
    <row r="10" spans="1:9" x14ac:dyDescent="0.25">
      <c r="A10" t="s">
        <v>19</v>
      </c>
      <c r="B10" t="s">
        <v>20</v>
      </c>
      <c r="C10" s="10">
        <v>14750</v>
      </c>
      <c r="D10" s="10"/>
      <c r="E10" s="10"/>
      <c r="F10" s="10"/>
      <c r="G10" s="10">
        <f t="shared" si="0"/>
        <v>14750</v>
      </c>
      <c r="H10">
        <f t="shared" si="1"/>
        <v>11.63</v>
      </c>
      <c r="I10" s="14">
        <f t="shared" si="2"/>
        <v>7.4999999999999997E-2</v>
      </c>
    </row>
    <row r="11" spans="1:9" x14ac:dyDescent="0.25">
      <c r="A11" t="s">
        <v>19</v>
      </c>
      <c r="B11" t="s">
        <v>21</v>
      </c>
      <c r="C11" s="10">
        <v>21365</v>
      </c>
      <c r="D11" s="10"/>
      <c r="E11" s="10">
        <v>940</v>
      </c>
      <c r="F11" s="10"/>
      <c r="G11" s="10">
        <f t="shared" si="0"/>
        <v>22305</v>
      </c>
      <c r="H11">
        <f t="shared" si="1"/>
        <v>17.59</v>
      </c>
      <c r="I11" s="14">
        <f t="shared" si="2"/>
        <v>0.114</v>
      </c>
    </row>
    <row r="12" spans="1:9" x14ac:dyDescent="0.25">
      <c r="A12" t="s">
        <v>19</v>
      </c>
      <c r="B12" t="s">
        <v>41</v>
      </c>
      <c r="C12" s="10"/>
      <c r="D12" s="10"/>
      <c r="E12" s="10">
        <v>105</v>
      </c>
      <c r="F12" s="10"/>
      <c r="G12" s="10">
        <f t="shared" si="0"/>
        <v>105</v>
      </c>
      <c r="H12">
        <f t="shared" si="1"/>
        <v>0.08</v>
      </c>
      <c r="I12" s="14">
        <f t="shared" si="2"/>
        <v>1E-3</v>
      </c>
    </row>
    <row r="13" spans="1:9" x14ac:dyDescent="0.25">
      <c r="A13" t="s">
        <v>19</v>
      </c>
      <c r="B13" t="s">
        <v>23</v>
      </c>
      <c r="C13" s="10"/>
      <c r="D13" s="10"/>
      <c r="E13" s="10">
        <v>17870</v>
      </c>
      <c r="F13" s="10"/>
      <c r="G13" s="10">
        <f t="shared" si="0"/>
        <v>17870</v>
      </c>
      <c r="H13">
        <f t="shared" si="1"/>
        <v>14.09</v>
      </c>
      <c r="I13" s="14">
        <f t="shared" si="2"/>
        <v>9.0999999999999998E-2</v>
      </c>
    </row>
    <row r="14" spans="1:9" x14ac:dyDescent="0.25">
      <c r="A14" t="s">
        <v>19</v>
      </c>
      <c r="B14" t="s">
        <v>24</v>
      </c>
      <c r="C14" s="10">
        <v>17820</v>
      </c>
      <c r="D14" s="10"/>
      <c r="E14" s="10">
        <v>3360</v>
      </c>
      <c r="F14" s="10"/>
      <c r="G14" s="10">
        <f t="shared" si="0"/>
        <v>21180</v>
      </c>
      <c r="H14">
        <f t="shared" si="1"/>
        <v>16.7</v>
      </c>
      <c r="I14" s="14">
        <f t="shared" si="2"/>
        <v>0.108</v>
      </c>
    </row>
    <row r="15" spans="1:9" x14ac:dyDescent="0.25">
      <c r="A15" t="s">
        <v>19</v>
      </c>
      <c r="B15" t="s">
        <v>66</v>
      </c>
      <c r="C15" s="10"/>
      <c r="D15" s="10"/>
      <c r="E15" s="10">
        <v>860</v>
      </c>
      <c r="F15" s="10"/>
      <c r="G15" s="10">
        <f t="shared" si="0"/>
        <v>860</v>
      </c>
      <c r="H15">
        <f t="shared" si="1"/>
        <v>0.68</v>
      </c>
      <c r="I15" s="14">
        <f t="shared" si="2"/>
        <v>4.0000000000000001E-3</v>
      </c>
    </row>
    <row r="16" spans="1:9" x14ac:dyDescent="0.25">
      <c r="A16" t="s">
        <v>19</v>
      </c>
      <c r="B16" t="s">
        <v>25</v>
      </c>
      <c r="C16" s="10">
        <v>19220</v>
      </c>
      <c r="D16" s="10"/>
      <c r="E16" s="10"/>
      <c r="F16" s="10"/>
      <c r="G16" s="10">
        <f t="shared" si="0"/>
        <v>19220</v>
      </c>
      <c r="H16">
        <f t="shared" si="1"/>
        <v>15.16</v>
      </c>
      <c r="I16" s="14">
        <f t="shared" si="2"/>
        <v>9.8000000000000004E-2</v>
      </c>
    </row>
    <row r="17" spans="1:9" x14ac:dyDescent="0.25">
      <c r="A17" t="s">
        <v>19</v>
      </c>
      <c r="B17" t="s">
        <v>26</v>
      </c>
      <c r="C17" s="10"/>
      <c r="D17" s="10"/>
      <c r="E17" s="10">
        <v>354</v>
      </c>
      <c r="F17" s="10"/>
      <c r="G17" s="10">
        <f t="shared" si="0"/>
        <v>354</v>
      </c>
      <c r="H17">
        <f t="shared" si="1"/>
        <v>0.28000000000000003</v>
      </c>
      <c r="I17" s="14">
        <f t="shared" si="2"/>
        <v>2E-3</v>
      </c>
    </row>
    <row r="18" spans="1:9" x14ac:dyDescent="0.25">
      <c r="A18" t="s">
        <v>19</v>
      </c>
      <c r="B18" t="s">
        <v>27</v>
      </c>
      <c r="C18" s="10"/>
      <c r="D18" s="10"/>
      <c r="E18" s="10">
        <v>110</v>
      </c>
      <c r="F18" s="10"/>
      <c r="G18" s="10">
        <f t="shared" si="0"/>
        <v>110</v>
      </c>
      <c r="H18">
        <f t="shared" si="1"/>
        <v>0.09</v>
      </c>
      <c r="I18" s="14">
        <f t="shared" si="2"/>
        <v>1E-3</v>
      </c>
    </row>
    <row r="19" spans="1:9" x14ac:dyDescent="0.25">
      <c r="A19" t="s">
        <v>19</v>
      </c>
      <c r="B19" t="s">
        <v>29</v>
      </c>
      <c r="C19" s="10"/>
      <c r="D19" s="10"/>
      <c r="E19" s="10">
        <v>770</v>
      </c>
      <c r="F19" s="10"/>
      <c r="G19" s="10">
        <f t="shared" si="0"/>
        <v>770</v>
      </c>
      <c r="H19">
        <f t="shared" si="1"/>
        <v>0.61</v>
      </c>
      <c r="I19" s="14">
        <f t="shared" si="2"/>
        <v>4.0000000000000001E-3</v>
      </c>
    </row>
    <row r="20" spans="1:9" x14ac:dyDescent="0.25">
      <c r="A20" t="s">
        <v>19</v>
      </c>
      <c r="B20" t="s">
        <v>31</v>
      </c>
      <c r="C20" s="10"/>
      <c r="D20" s="10"/>
      <c r="E20" s="10">
        <v>430</v>
      </c>
      <c r="F20" s="10"/>
      <c r="G20" s="10">
        <f t="shared" si="0"/>
        <v>430</v>
      </c>
      <c r="H20">
        <f t="shared" si="1"/>
        <v>0.34</v>
      </c>
      <c r="I20" s="14">
        <f t="shared" si="2"/>
        <v>2E-3</v>
      </c>
    </row>
    <row r="21" spans="1:9" x14ac:dyDescent="0.25">
      <c r="A21" t="s">
        <v>19</v>
      </c>
      <c r="B21" t="s">
        <v>33</v>
      </c>
      <c r="C21" s="10"/>
      <c r="D21" s="10"/>
      <c r="E21" s="10">
        <v>62</v>
      </c>
      <c r="F21" s="10"/>
      <c r="G21" s="10">
        <f t="shared" si="0"/>
        <v>62</v>
      </c>
      <c r="H21">
        <f t="shared" si="1"/>
        <v>0.05</v>
      </c>
      <c r="I21" s="14">
        <f t="shared" si="2"/>
        <v>0</v>
      </c>
    </row>
    <row r="22" spans="1:9" x14ac:dyDescent="0.25">
      <c r="A22" t="s">
        <v>19</v>
      </c>
      <c r="B22" t="s">
        <v>67</v>
      </c>
      <c r="C22" s="10"/>
      <c r="D22" s="10"/>
      <c r="E22" s="10">
        <v>330</v>
      </c>
      <c r="F22" s="10"/>
      <c r="G22" s="10">
        <f t="shared" si="0"/>
        <v>330</v>
      </c>
      <c r="H22">
        <f t="shared" si="1"/>
        <v>0.26</v>
      </c>
      <c r="I22" s="14">
        <f t="shared" si="2"/>
        <v>2E-3</v>
      </c>
    </row>
    <row r="23" spans="1:9" x14ac:dyDescent="0.25">
      <c r="A23" t="s">
        <v>19</v>
      </c>
      <c r="B23" t="s">
        <v>35</v>
      </c>
      <c r="C23" s="10"/>
      <c r="D23" s="10"/>
      <c r="E23" s="10">
        <v>1611</v>
      </c>
      <c r="F23" s="10"/>
      <c r="G23" s="10">
        <f t="shared" si="0"/>
        <v>1611</v>
      </c>
      <c r="H23">
        <f t="shared" si="1"/>
        <v>1.27</v>
      </c>
      <c r="I23" s="14">
        <f t="shared" si="2"/>
        <v>8.0000000000000002E-3</v>
      </c>
    </row>
    <row r="24" spans="1:9" x14ac:dyDescent="0.25">
      <c r="A24" t="s">
        <v>19</v>
      </c>
      <c r="B24" t="s">
        <v>40</v>
      </c>
      <c r="C24" s="10"/>
      <c r="D24" s="10"/>
      <c r="E24" s="10">
        <v>1190</v>
      </c>
      <c r="F24" s="10"/>
      <c r="G24" s="10">
        <f t="shared" si="0"/>
        <v>1190</v>
      </c>
      <c r="H24">
        <f t="shared" si="1"/>
        <v>0.94</v>
      </c>
      <c r="I24" s="14">
        <f t="shared" si="2"/>
        <v>6.0000000000000001E-3</v>
      </c>
    </row>
    <row r="25" spans="1:9" x14ac:dyDescent="0.25">
      <c r="A25" t="s">
        <v>19</v>
      </c>
      <c r="B25" t="s">
        <v>36</v>
      </c>
      <c r="C25" s="10"/>
      <c r="D25" s="10"/>
      <c r="E25" s="10">
        <v>9425</v>
      </c>
      <c r="F25" s="10"/>
      <c r="G25" s="10">
        <f t="shared" si="0"/>
        <v>9425</v>
      </c>
      <c r="H25">
        <f t="shared" si="1"/>
        <v>7.43</v>
      </c>
      <c r="I25" s="14">
        <f t="shared" si="2"/>
        <v>4.8000000000000001E-2</v>
      </c>
    </row>
    <row r="26" spans="1:9" x14ac:dyDescent="0.25">
      <c r="A26" t="s">
        <v>19</v>
      </c>
      <c r="B26" t="s">
        <v>38</v>
      </c>
      <c r="C26" s="10"/>
      <c r="D26" s="10"/>
      <c r="E26" s="10">
        <v>7180</v>
      </c>
      <c r="F26" s="10"/>
      <c r="G26" s="10">
        <f t="shared" si="0"/>
        <v>7180</v>
      </c>
      <c r="H26">
        <f t="shared" si="1"/>
        <v>5.66</v>
      </c>
      <c r="I26" s="14">
        <f t="shared" si="2"/>
        <v>3.6999999999999998E-2</v>
      </c>
    </row>
    <row r="27" spans="1:9" x14ac:dyDescent="0.25">
      <c r="A27" t="s">
        <v>19</v>
      </c>
      <c r="B27" t="s">
        <v>39</v>
      </c>
      <c r="C27" s="10"/>
      <c r="D27" s="10"/>
      <c r="E27" s="10">
        <v>6260</v>
      </c>
      <c r="F27" s="10"/>
      <c r="G27" s="10">
        <f t="shared" si="0"/>
        <v>6260</v>
      </c>
      <c r="H27">
        <f t="shared" si="1"/>
        <v>4.9400000000000004</v>
      </c>
      <c r="I27" s="14">
        <f t="shared" si="2"/>
        <v>3.2000000000000001E-2</v>
      </c>
    </row>
    <row r="28" spans="1:9" x14ac:dyDescent="0.25">
      <c r="A28" t="s">
        <v>19</v>
      </c>
      <c r="B28" t="s">
        <v>71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32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19</v>
      </c>
      <c r="B30" t="s">
        <v>34</v>
      </c>
      <c r="C30" s="10"/>
      <c r="D30" s="10"/>
      <c r="E30" s="10"/>
      <c r="F30" s="10"/>
      <c r="G30" s="10">
        <f t="shared" si="0"/>
        <v>0</v>
      </c>
      <c r="H30">
        <f t="shared" si="1"/>
        <v>0</v>
      </c>
      <c r="I30" s="14">
        <f t="shared" si="2"/>
        <v>0</v>
      </c>
    </row>
    <row r="31" spans="1:9" x14ac:dyDescent="0.25">
      <c r="A31" t="s">
        <v>19</v>
      </c>
      <c r="B31" t="s">
        <v>30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42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19</v>
      </c>
      <c r="B33" t="s">
        <v>37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19</v>
      </c>
      <c r="B34" t="s">
        <v>22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119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19</v>
      </c>
      <c r="B36" t="s">
        <v>28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43</v>
      </c>
      <c r="B37" t="s">
        <v>44</v>
      </c>
      <c r="C37" s="10">
        <v>53560</v>
      </c>
      <c r="D37" s="10"/>
      <c r="E37" s="10"/>
      <c r="F37" s="10"/>
      <c r="G37" s="10">
        <f t="shared" si="0"/>
        <v>53560</v>
      </c>
      <c r="H37">
        <f t="shared" si="1"/>
        <v>42.24</v>
      </c>
      <c r="I37" s="14">
        <f t="shared" si="2"/>
        <v>0.27400000000000002</v>
      </c>
    </row>
    <row r="38" spans="1:9" x14ac:dyDescent="0.25">
      <c r="A38" t="s">
        <v>43</v>
      </c>
      <c r="B38" t="s">
        <v>45</v>
      </c>
      <c r="C38" s="10"/>
      <c r="D38" s="10"/>
      <c r="E38" s="10">
        <v>17890</v>
      </c>
      <c r="F38" s="10"/>
      <c r="G38" s="10">
        <f t="shared" si="0"/>
        <v>17890</v>
      </c>
      <c r="H38">
        <f t="shared" si="1"/>
        <v>14.11</v>
      </c>
      <c r="I38" s="14">
        <f t="shared" si="2"/>
        <v>9.1999999999999998E-2</v>
      </c>
    </row>
    <row r="39" spans="1:9" x14ac:dyDescent="0.25">
      <c r="A39" t="s">
        <v>43</v>
      </c>
      <c r="B39" t="s">
        <v>46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15</v>
      </c>
      <c r="B40" t="s">
        <v>18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s="3" t="s">
        <v>253</v>
      </c>
      <c r="B41" s="3"/>
      <c r="C41" s="8">
        <f t="shared" ref="C41:H41" si="3">SUM(C8:C40)</f>
        <v>126715</v>
      </c>
      <c r="D41" s="8">
        <f t="shared" si="3"/>
        <v>0</v>
      </c>
      <c r="E41" s="8">
        <f t="shared" si="3"/>
        <v>68767</v>
      </c>
      <c r="F41" s="8">
        <f t="shared" si="3"/>
        <v>0</v>
      </c>
      <c r="G41" s="8">
        <f t="shared" si="3"/>
        <v>195482</v>
      </c>
      <c r="H41" s="3">
        <f t="shared" si="3"/>
        <v>154.17000000000002</v>
      </c>
    </row>
    <row r="42" spans="1:9" x14ac:dyDescent="0.25">
      <c r="A42" s="3" t="s">
        <v>14</v>
      </c>
      <c r="B42" s="3"/>
      <c r="C42" s="13">
        <f>ROUND(C41/G41,2)</f>
        <v>0.65</v>
      </c>
      <c r="D42" s="13">
        <f>ROUND(D41/G41,2)</f>
        <v>0</v>
      </c>
      <c r="E42" s="13">
        <f>ROUND(E41/G41,2)</f>
        <v>0.35</v>
      </c>
      <c r="F42" s="13">
        <f>ROUND(F41/G41,2)</f>
        <v>0</v>
      </c>
      <c r="G42" s="3"/>
      <c r="H42" s="3"/>
    </row>
    <row r="43" spans="1:9" x14ac:dyDescent="0.25">
      <c r="A43" s="3" t="s">
        <v>47</v>
      </c>
      <c r="B43" s="3"/>
      <c r="C43" s="3"/>
      <c r="D43" s="3"/>
      <c r="E43" s="3"/>
      <c r="F43" s="3"/>
      <c r="G43" s="3"/>
      <c r="H43" s="3"/>
    </row>
    <row r="44" spans="1:9" x14ac:dyDescent="0.25">
      <c r="A44" s="3" t="s">
        <v>48</v>
      </c>
      <c r="B44" s="3"/>
      <c r="C44" s="8">
        <v>73155</v>
      </c>
      <c r="D44" s="8">
        <v>0</v>
      </c>
      <c r="E44" s="8">
        <v>50877</v>
      </c>
      <c r="F44" s="8">
        <v>0</v>
      </c>
      <c r="G44" s="8">
        <f>SUM(C44:F44)</f>
        <v>124032</v>
      </c>
      <c r="H44" s="3">
        <f>ROUND(G44/1268,2)</f>
        <v>97.82</v>
      </c>
    </row>
    <row r="45" spans="1:9" x14ac:dyDescent="0.25">
      <c r="A45" s="3" t="s">
        <v>49</v>
      </c>
      <c r="B45" s="3"/>
      <c r="C45" s="8">
        <v>53560</v>
      </c>
      <c r="D45" s="8">
        <v>0</v>
      </c>
      <c r="E45" s="8">
        <v>17890</v>
      </c>
      <c r="F45" s="8">
        <v>0</v>
      </c>
      <c r="G45" s="8">
        <f>SUM(C45:F45)</f>
        <v>71450</v>
      </c>
      <c r="H45" s="3">
        <f>ROUND(G45/1268,2)</f>
        <v>56.35</v>
      </c>
    </row>
    <row r="46" spans="1:9" x14ac:dyDescent="0.25">
      <c r="A46" s="3" t="s">
        <v>50</v>
      </c>
      <c r="B46" s="3"/>
      <c r="C46" s="8">
        <v>0</v>
      </c>
      <c r="D46" s="8">
        <v>0</v>
      </c>
      <c r="E46" s="8">
        <v>0</v>
      </c>
      <c r="F46" s="8">
        <v>0</v>
      </c>
      <c r="G46" s="8">
        <f>SUM(C46:F46)</f>
        <v>0</v>
      </c>
      <c r="H46" s="3">
        <f>ROUND(G46/1268,2)</f>
        <v>0</v>
      </c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A48" s="3"/>
      <c r="B48" s="3"/>
      <c r="C48" s="3" t="s">
        <v>2</v>
      </c>
      <c r="D48" s="3">
        <v>2022</v>
      </c>
      <c r="E48" s="3" t="s">
        <v>51</v>
      </c>
      <c r="F48" s="3"/>
      <c r="G48" s="3"/>
      <c r="H48" s="3"/>
    </row>
    <row r="49" spans="1:8" x14ac:dyDescent="0.25">
      <c r="A49" s="3" t="s">
        <v>52</v>
      </c>
      <c r="B49" s="3"/>
      <c r="C49" s="13">
        <v>0.69850000000000001</v>
      </c>
      <c r="D49" s="13">
        <v>0.76170000000000004</v>
      </c>
      <c r="E49" s="13">
        <v>0.77659999999999996</v>
      </c>
      <c r="F49" s="3"/>
      <c r="G49" s="3"/>
      <c r="H49" s="3"/>
    </row>
    <row r="50" spans="1:8" x14ac:dyDescent="0.25">
      <c r="A50" s="3" t="s">
        <v>53</v>
      </c>
      <c r="B50" s="3"/>
      <c r="C50" s="13">
        <v>0.69850000000000001</v>
      </c>
      <c r="D50" s="13">
        <v>0.72929999999999995</v>
      </c>
      <c r="E50" s="13">
        <v>0.75900000000000001</v>
      </c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 t="s">
        <v>256</v>
      </c>
      <c r="B52" s="3"/>
      <c r="C52" s="3" t="s">
        <v>2</v>
      </c>
      <c r="D52" s="3" t="s">
        <v>120</v>
      </c>
      <c r="E52" s="3" t="s">
        <v>55</v>
      </c>
      <c r="F52" s="3" t="s">
        <v>254</v>
      </c>
      <c r="G52" s="3"/>
      <c r="H52" s="3"/>
    </row>
    <row r="53" spans="1:8" x14ac:dyDescent="0.25">
      <c r="A53" s="3" t="s">
        <v>56</v>
      </c>
      <c r="B53" s="3"/>
      <c r="C53" s="3"/>
      <c r="D53" s="3">
        <v>60</v>
      </c>
      <c r="E53" s="3">
        <v>81.5</v>
      </c>
      <c r="F53" s="3">
        <v>50.61</v>
      </c>
      <c r="G53" s="3"/>
      <c r="H53" s="3"/>
    </row>
    <row r="54" spans="1:8" x14ac:dyDescent="0.25">
      <c r="A54" s="3" t="s">
        <v>57</v>
      </c>
      <c r="B54" s="3"/>
      <c r="C54" s="3"/>
      <c r="D54" s="3">
        <v>40.369999999999997</v>
      </c>
      <c r="E54" s="3">
        <v>58.24</v>
      </c>
      <c r="F54" s="3">
        <v>57.37</v>
      </c>
      <c r="G54" s="3"/>
      <c r="H54" s="3"/>
    </row>
    <row r="55" spans="1:8" x14ac:dyDescent="0.25">
      <c r="A55" s="3" t="s">
        <v>58</v>
      </c>
      <c r="B55" s="3"/>
      <c r="C55" s="3"/>
      <c r="D55" s="3">
        <v>206.13</v>
      </c>
      <c r="E55" s="3">
        <v>261.52999999999997</v>
      </c>
      <c r="F55" s="3">
        <v>249.57</v>
      </c>
      <c r="G55" s="3"/>
      <c r="H55" s="3"/>
    </row>
    <row r="56" spans="1:8" x14ac:dyDescent="0.25">
      <c r="A56" s="3" t="s">
        <v>59</v>
      </c>
      <c r="B56" s="3"/>
      <c r="C56" s="3"/>
      <c r="D56" s="3">
        <v>81.209999999999994</v>
      </c>
      <c r="E56" s="3">
        <v>103.11</v>
      </c>
      <c r="F56" s="3">
        <v>71.400000000000006</v>
      </c>
      <c r="G56" s="3"/>
      <c r="H56" s="3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N59"/>
  <sheetViews>
    <sheetView topLeftCell="A27" workbookViewId="0">
      <selection activeCell="G56" sqref="G56:G59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3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  <col min="14" max="15" width="7" bestFit="1" customWidth="1"/>
  </cols>
  <sheetData>
    <row r="2" spans="1:14" ht="18.75" x14ac:dyDescent="0.3">
      <c r="A2" s="1" t="s">
        <v>0</v>
      </c>
      <c r="B2" s="2" t="s">
        <v>121</v>
      </c>
    </row>
    <row r="3" spans="1:14" x14ac:dyDescent="0.25">
      <c r="A3" s="1" t="s">
        <v>2</v>
      </c>
      <c r="B3" t="s">
        <v>3</v>
      </c>
    </row>
    <row r="4" spans="1:14" x14ac:dyDescent="0.25">
      <c r="A4" s="1" t="s">
        <v>4</v>
      </c>
      <c r="B4">
        <v>5980</v>
      </c>
    </row>
    <row r="7" spans="1:14" x14ac:dyDescent="0.25">
      <c r="C7" s="1" t="s">
        <v>5</v>
      </c>
    </row>
    <row r="8" spans="1:14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N8" s="3"/>
    </row>
    <row r="9" spans="1:14" x14ac:dyDescent="0.25">
      <c r="A9" t="s">
        <v>19</v>
      </c>
      <c r="B9" t="s">
        <v>64</v>
      </c>
      <c r="C9" s="10"/>
      <c r="D9" s="10"/>
      <c r="E9" s="10">
        <v>111</v>
      </c>
      <c r="F9" s="10"/>
      <c r="G9" s="10">
        <f t="shared" ref="G9:G43" si="0">SUM(C9:F9)</f>
        <v>111</v>
      </c>
      <c r="H9">
        <f t="shared" ref="H9:H43" si="1">ROUND(G9/5980,2)</f>
        <v>0.02</v>
      </c>
      <c r="I9" s="14">
        <f t="shared" ref="I9:I40" si="2">ROUND(G9/$G$44,3)</f>
        <v>0</v>
      </c>
    </row>
    <row r="10" spans="1:14" x14ac:dyDescent="0.25">
      <c r="A10" t="s">
        <v>19</v>
      </c>
      <c r="B10" t="s">
        <v>20</v>
      </c>
      <c r="C10" s="10">
        <v>109700</v>
      </c>
      <c r="D10" s="10"/>
      <c r="E10" s="10">
        <v>1420</v>
      </c>
      <c r="F10" s="10"/>
      <c r="G10" s="10">
        <f t="shared" si="0"/>
        <v>111120</v>
      </c>
      <c r="H10">
        <f t="shared" si="1"/>
        <v>18.579999999999998</v>
      </c>
      <c r="I10" s="14">
        <f t="shared" si="2"/>
        <v>8.1000000000000003E-2</v>
      </c>
    </row>
    <row r="11" spans="1:14" x14ac:dyDescent="0.25">
      <c r="A11" t="s">
        <v>19</v>
      </c>
      <c r="B11" t="s">
        <v>21</v>
      </c>
      <c r="C11" s="10">
        <v>140330</v>
      </c>
      <c r="D11" s="10"/>
      <c r="E11" s="10"/>
      <c r="F11" s="10"/>
      <c r="G11" s="10">
        <f t="shared" si="0"/>
        <v>140330</v>
      </c>
      <c r="H11">
        <f t="shared" si="1"/>
        <v>23.47</v>
      </c>
      <c r="I11" s="14">
        <f t="shared" si="2"/>
        <v>0.10299999999999999</v>
      </c>
    </row>
    <row r="12" spans="1:14" x14ac:dyDescent="0.25">
      <c r="A12" t="s">
        <v>19</v>
      </c>
      <c r="B12" t="s">
        <v>76</v>
      </c>
      <c r="C12" s="10"/>
      <c r="D12" s="10"/>
      <c r="E12" s="10">
        <v>93</v>
      </c>
      <c r="F12" s="10"/>
      <c r="G12" s="10">
        <f t="shared" si="0"/>
        <v>93</v>
      </c>
      <c r="H12">
        <f t="shared" si="1"/>
        <v>0.02</v>
      </c>
      <c r="I12" s="14">
        <f t="shared" si="2"/>
        <v>0</v>
      </c>
    </row>
    <row r="13" spans="1:14" x14ac:dyDescent="0.25">
      <c r="A13" t="s">
        <v>19</v>
      </c>
      <c r="B13" t="s">
        <v>41</v>
      </c>
      <c r="C13" s="10"/>
      <c r="D13" s="10"/>
      <c r="E13" s="10">
        <v>50</v>
      </c>
      <c r="F13" s="10"/>
      <c r="G13" s="10">
        <f t="shared" si="0"/>
        <v>50</v>
      </c>
      <c r="H13">
        <f t="shared" si="1"/>
        <v>0.01</v>
      </c>
      <c r="I13" s="14">
        <f t="shared" si="2"/>
        <v>0</v>
      </c>
    </row>
    <row r="14" spans="1:14" x14ac:dyDescent="0.25">
      <c r="A14" t="s">
        <v>19</v>
      </c>
      <c r="B14" t="s">
        <v>22</v>
      </c>
      <c r="C14" s="10"/>
      <c r="D14" s="10"/>
      <c r="E14" s="10">
        <v>1860</v>
      </c>
      <c r="F14" s="10"/>
      <c r="G14" s="10">
        <f t="shared" si="0"/>
        <v>1860</v>
      </c>
      <c r="H14">
        <f t="shared" si="1"/>
        <v>0.31</v>
      </c>
      <c r="I14" s="14">
        <f t="shared" si="2"/>
        <v>1E-3</v>
      </c>
    </row>
    <row r="15" spans="1:14" x14ac:dyDescent="0.25">
      <c r="A15" t="s">
        <v>19</v>
      </c>
      <c r="B15" t="s">
        <v>23</v>
      </c>
      <c r="C15" s="10"/>
      <c r="D15" s="10"/>
      <c r="E15" s="10">
        <v>34280</v>
      </c>
      <c r="F15" s="10"/>
      <c r="G15" s="10">
        <f t="shared" si="0"/>
        <v>34280</v>
      </c>
      <c r="H15">
        <f t="shared" si="1"/>
        <v>5.73</v>
      </c>
      <c r="I15" s="14">
        <f t="shared" si="2"/>
        <v>2.5000000000000001E-2</v>
      </c>
    </row>
    <row r="16" spans="1:14" x14ac:dyDescent="0.25">
      <c r="A16" t="s">
        <v>19</v>
      </c>
      <c r="B16" t="s">
        <v>24</v>
      </c>
      <c r="C16" s="10">
        <v>158640</v>
      </c>
      <c r="D16" s="10"/>
      <c r="E16" s="10">
        <v>16360</v>
      </c>
      <c r="F16" s="10"/>
      <c r="G16" s="10">
        <f t="shared" si="0"/>
        <v>175000</v>
      </c>
      <c r="H16">
        <f t="shared" si="1"/>
        <v>29.26</v>
      </c>
      <c r="I16" s="14">
        <f t="shared" si="2"/>
        <v>0.128</v>
      </c>
    </row>
    <row r="17" spans="1:9" x14ac:dyDescent="0.25">
      <c r="A17" t="s">
        <v>19</v>
      </c>
      <c r="B17" t="s">
        <v>66</v>
      </c>
      <c r="C17" s="10"/>
      <c r="D17" s="10"/>
      <c r="E17" s="10">
        <v>5215</v>
      </c>
      <c r="F17" s="10"/>
      <c r="G17" s="10">
        <f t="shared" si="0"/>
        <v>5215</v>
      </c>
      <c r="H17">
        <f t="shared" si="1"/>
        <v>0.87</v>
      </c>
      <c r="I17" s="14">
        <f t="shared" si="2"/>
        <v>4.0000000000000001E-3</v>
      </c>
    </row>
    <row r="18" spans="1:9" x14ac:dyDescent="0.25">
      <c r="A18" t="s">
        <v>19</v>
      </c>
      <c r="B18" t="s">
        <v>25</v>
      </c>
      <c r="C18" s="10">
        <v>207910</v>
      </c>
      <c r="D18" s="10"/>
      <c r="E18" s="10"/>
      <c r="F18" s="10">
        <v>290</v>
      </c>
      <c r="G18" s="10">
        <f t="shared" si="0"/>
        <v>208200</v>
      </c>
      <c r="H18">
        <f t="shared" si="1"/>
        <v>34.82</v>
      </c>
      <c r="I18" s="14">
        <f t="shared" si="2"/>
        <v>0.153</v>
      </c>
    </row>
    <row r="19" spans="1:9" x14ac:dyDescent="0.25">
      <c r="A19" t="s">
        <v>19</v>
      </c>
      <c r="B19" t="s">
        <v>26</v>
      </c>
      <c r="C19" s="10"/>
      <c r="D19" s="10"/>
      <c r="E19" s="10">
        <v>593</v>
      </c>
      <c r="F19" s="10"/>
      <c r="G19" s="10">
        <f t="shared" si="0"/>
        <v>593</v>
      </c>
      <c r="H19">
        <f t="shared" si="1"/>
        <v>0.1</v>
      </c>
      <c r="I19" s="14">
        <f t="shared" si="2"/>
        <v>0</v>
      </c>
    </row>
    <row r="20" spans="1:9" x14ac:dyDescent="0.25">
      <c r="A20" t="s">
        <v>19</v>
      </c>
      <c r="B20" t="s">
        <v>27</v>
      </c>
      <c r="C20" s="10"/>
      <c r="D20" s="10"/>
      <c r="E20" s="10">
        <v>120</v>
      </c>
      <c r="F20" s="10"/>
      <c r="G20" s="10">
        <f t="shared" si="0"/>
        <v>120</v>
      </c>
      <c r="H20">
        <f t="shared" si="1"/>
        <v>0.02</v>
      </c>
      <c r="I20" s="14">
        <f t="shared" si="2"/>
        <v>0</v>
      </c>
    </row>
    <row r="21" spans="1:9" x14ac:dyDescent="0.25">
      <c r="A21" t="s">
        <v>19</v>
      </c>
      <c r="B21" t="s">
        <v>28</v>
      </c>
      <c r="C21" s="10"/>
      <c r="D21" s="10"/>
      <c r="E21" s="10">
        <v>154</v>
      </c>
      <c r="F21" s="10"/>
      <c r="G21" s="10">
        <f t="shared" si="0"/>
        <v>154</v>
      </c>
      <c r="H21">
        <f t="shared" si="1"/>
        <v>0.03</v>
      </c>
      <c r="I21" s="14">
        <f t="shared" si="2"/>
        <v>0</v>
      </c>
    </row>
    <row r="22" spans="1:9" x14ac:dyDescent="0.25">
      <c r="A22" t="s">
        <v>19</v>
      </c>
      <c r="B22" t="s">
        <v>29</v>
      </c>
      <c r="C22" s="10"/>
      <c r="D22" s="10"/>
      <c r="E22" s="10">
        <v>2260</v>
      </c>
      <c r="F22" s="10"/>
      <c r="G22" s="10">
        <f t="shared" si="0"/>
        <v>2260</v>
      </c>
      <c r="H22">
        <f t="shared" si="1"/>
        <v>0.38</v>
      </c>
      <c r="I22" s="14">
        <f t="shared" si="2"/>
        <v>2E-3</v>
      </c>
    </row>
    <row r="23" spans="1:9" x14ac:dyDescent="0.25">
      <c r="A23" t="s">
        <v>19</v>
      </c>
      <c r="B23" t="s">
        <v>30</v>
      </c>
      <c r="C23" s="10"/>
      <c r="D23" s="10"/>
      <c r="E23" s="10">
        <v>1180</v>
      </c>
      <c r="F23" s="10"/>
      <c r="G23" s="10">
        <f t="shared" si="0"/>
        <v>1180</v>
      </c>
      <c r="H23">
        <f t="shared" si="1"/>
        <v>0.2</v>
      </c>
      <c r="I23" s="14">
        <f t="shared" si="2"/>
        <v>1E-3</v>
      </c>
    </row>
    <row r="24" spans="1:9" x14ac:dyDescent="0.25">
      <c r="A24" t="s">
        <v>19</v>
      </c>
      <c r="B24" t="s">
        <v>31</v>
      </c>
      <c r="C24" s="10"/>
      <c r="D24" s="10"/>
      <c r="E24" s="10">
        <v>360</v>
      </c>
      <c r="F24" s="10"/>
      <c r="G24" s="10">
        <f t="shared" si="0"/>
        <v>360</v>
      </c>
      <c r="H24">
        <f t="shared" si="1"/>
        <v>0.06</v>
      </c>
      <c r="I24" s="14">
        <f t="shared" si="2"/>
        <v>0</v>
      </c>
    </row>
    <row r="25" spans="1:9" x14ac:dyDescent="0.25">
      <c r="A25" t="s">
        <v>19</v>
      </c>
      <c r="B25" t="s">
        <v>32</v>
      </c>
      <c r="C25" s="10"/>
      <c r="D25" s="10"/>
      <c r="E25" s="10">
        <v>820</v>
      </c>
      <c r="F25" s="10"/>
      <c r="G25" s="10">
        <f t="shared" si="0"/>
        <v>820</v>
      </c>
      <c r="H25">
        <f t="shared" si="1"/>
        <v>0.14000000000000001</v>
      </c>
      <c r="I25" s="14">
        <f t="shared" si="2"/>
        <v>1E-3</v>
      </c>
    </row>
    <row r="26" spans="1:9" x14ac:dyDescent="0.25">
      <c r="A26" t="s">
        <v>19</v>
      </c>
      <c r="B26" t="s">
        <v>42</v>
      </c>
      <c r="C26" s="10"/>
      <c r="D26" s="10">
        <v>357</v>
      </c>
      <c r="E26" s="10"/>
      <c r="F26" s="10"/>
      <c r="G26" s="10">
        <f t="shared" si="0"/>
        <v>357</v>
      </c>
      <c r="H26">
        <f t="shared" si="1"/>
        <v>0.06</v>
      </c>
      <c r="I26" s="14">
        <f t="shared" si="2"/>
        <v>0</v>
      </c>
    </row>
    <row r="27" spans="1:9" x14ac:dyDescent="0.25">
      <c r="A27" t="s">
        <v>19</v>
      </c>
      <c r="B27" t="s">
        <v>33</v>
      </c>
      <c r="C27" s="10"/>
      <c r="D27" s="10">
        <v>640</v>
      </c>
      <c r="E27" s="10"/>
      <c r="F27" s="10"/>
      <c r="G27" s="10">
        <f t="shared" si="0"/>
        <v>640</v>
      </c>
      <c r="H27">
        <f t="shared" si="1"/>
        <v>0.11</v>
      </c>
      <c r="I27" s="14">
        <f t="shared" si="2"/>
        <v>0</v>
      </c>
    </row>
    <row r="28" spans="1:9" x14ac:dyDescent="0.25">
      <c r="A28" t="s">
        <v>19</v>
      </c>
      <c r="B28" t="s">
        <v>34</v>
      </c>
      <c r="C28" s="10"/>
      <c r="D28" s="10"/>
      <c r="E28" s="10">
        <v>2046</v>
      </c>
      <c r="F28" s="10"/>
      <c r="G28" s="10">
        <f t="shared" si="0"/>
        <v>2046</v>
      </c>
      <c r="H28">
        <f t="shared" si="1"/>
        <v>0.34</v>
      </c>
      <c r="I28" s="14">
        <f t="shared" si="2"/>
        <v>2E-3</v>
      </c>
    </row>
    <row r="29" spans="1:9" x14ac:dyDescent="0.25">
      <c r="A29" t="s">
        <v>19</v>
      </c>
      <c r="B29" t="s">
        <v>35</v>
      </c>
      <c r="C29" s="10"/>
      <c r="D29" s="10"/>
      <c r="E29" s="10">
        <v>3786</v>
      </c>
      <c r="F29" s="10"/>
      <c r="G29" s="10">
        <f t="shared" si="0"/>
        <v>3786</v>
      </c>
      <c r="H29">
        <f t="shared" si="1"/>
        <v>0.63</v>
      </c>
      <c r="I29" s="14">
        <f t="shared" si="2"/>
        <v>3.0000000000000001E-3</v>
      </c>
    </row>
    <row r="30" spans="1:9" x14ac:dyDescent="0.25">
      <c r="A30" t="s">
        <v>19</v>
      </c>
      <c r="B30" t="s">
        <v>40</v>
      </c>
      <c r="C30" s="10"/>
      <c r="D30" s="10"/>
      <c r="E30" s="10">
        <v>4738</v>
      </c>
      <c r="F30" s="10"/>
      <c r="G30" s="10">
        <f t="shared" si="0"/>
        <v>4738</v>
      </c>
      <c r="H30">
        <f t="shared" si="1"/>
        <v>0.79</v>
      </c>
      <c r="I30" s="14">
        <f t="shared" si="2"/>
        <v>3.0000000000000001E-3</v>
      </c>
    </row>
    <row r="31" spans="1:9" x14ac:dyDescent="0.25">
      <c r="A31" t="s">
        <v>19</v>
      </c>
      <c r="B31" t="s">
        <v>36</v>
      </c>
      <c r="C31" s="10"/>
      <c r="D31" s="10"/>
      <c r="E31" s="10">
        <v>72295</v>
      </c>
      <c r="F31" s="10">
        <v>1370</v>
      </c>
      <c r="G31" s="10">
        <f t="shared" si="0"/>
        <v>73665</v>
      </c>
      <c r="H31">
        <f t="shared" si="1"/>
        <v>12.32</v>
      </c>
      <c r="I31" s="14">
        <f t="shared" si="2"/>
        <v>5.3999999999999999E-2</v>
      </c>
    </row>
    <row r="32" spans="1:9" x14ac:dyDescent="0.25">
      <c r="A32" t="s">
        <v>19</v>
      </c>
      <c r="B32" t="s">
        <v>37</v>
      </c>
      <c r="C32" s="10"/>
      <c r="D32" s="10"/>
      <c r="E32" s="10">
        <v>4140</v>
      </c>
      <c r="F32" s="10"/>
      <c r="G32" s="10">
        <f t="shared" si="0"/>
        <v>4140</v>
      </c>
      <c r="H32">
        <f t="shared" si="1"/>
        <v>0.69</v>
      </c>
      <c r="I32" s="14">
        <f t="shared" si="2"/>
        <v>3.0000000000000001E-3</v>
      </c>
    </row>
    <row r="33" spans="1:9" x14ac:dyDescent="0.25">
      <c r="A33" t="s">
        <v>19</v>
      </c>
      <c r="B33" t="s">
        <v>38</v>
      </c>
      <c r="C33" s="10"/>
      <c r="D33" s="10"/>
      <c r="E33" s="10">
        <v>8070</v>
      </c>
      <c r="F33" s="10">
        <v>470</v>
      </c>
      <c r="G33" s="10">
        <f t="shared" si="0"/>
        <v>8540</v>
      </c>
      <c r="H33">
        <f t="shared" si="1"/>
        <v>1.43</v>
      </c>
      <c r="I33" s="14">
        <f t="shared" si="2"/>
        <v>6.0000000000000001E-3</v>
      </c>
    </row>
    <row r="34" spans="1:9" x14ac:dyDescent="0.25">
      <c r="A34" t="s">
        <v>19</v>
      </c>
      <c r="B34" t="s">
        <v>39</v>
      </c>
      <c r="C34" s="10"/>
      <c r="D34" s="10"/>
      <c r="E34" s="10">
        <v>183600</v>
      </c>
      <c r="F34" s="10"/>
      <c r="G34" s="10">
        <f t="shared" si="0"/>
        <v>183600</v>
      </c>
      <c r="H34">
        <f t="shared" si="1"/>
        <v>30.7</v>
      </c>
      <c r="I34" s="14">
        <f t="shared" si="2"/>
        <v>0.13500000000000001</v>
      </c>
    </row>
    <row r="35" spans="1:9" x14ac:dyDescent="0.25">
      <c r="A35" t="s">
        <v>19</v>
      </c>
      <c r="B35" t="s">
        <v>67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19</v>
      </c>
      <c r="B36" t="s">
        <v>71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19</v>
      </c>
      <c r="B37" t="s">
        <v>122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t="s">
        <v>43</v>
      </c>
      <c r="B38" t="s">
        <v>44</v>
      </c>
      <c r="C38" s="10">
        <v>332580</v>
      </c>
      <c r="D38" s="10"/>
      <c r="E38" s="10"/>
      <c r="F38" s="10">
        <v>840</v>
      </c>
      <c r="G38" s="10">
        <f t="shared" si="0"/>
        <v>333420</v>
      </c>
      <c r="H38">
        <f t="shared" si="1"/>
        <v>55.76</v>
      </c>
      <c r="I38" s="14">
        <f t="shared" si="2"/>
        <v>0.24399999999999999</v>
      </c>
    </row>
    <row r="39" spans="1:9" x14ac:dyDescent="0.25">
      <c r="A39" t="s">
        <v>43</v>
      </c>
      <c r="B39" t="s">
        <v>46</v>
      </c>
      <c r="C39" s="10"/>
      <c r="D39" s="10"/>
      <c r="E39" s="10"/>
      <c r="F39" s="10">
        <v>6760</v>
      </c>
      <c r="G39" s="10">
        <f t="shared" si="0"/>
        <v>6760</v>
      </c>
      <c r="H39">
        <f t="shared" si="1"/>
        <v>1.1299999999999999</v>
      </c>
      <c r="I39" s="14">
        <f t="shared" si="2"/>
        <v>5.0000000000000001E-3</v>
      </c>
    </row>
    <row r="40" spans="1:9" x14ac:dyDescent="0.25">
      <c r="A40" t="s">
        <v>43</v>
      </c>
      <c r="B40" t="s">
        <v>45</v>
      </c>
      <c r="C40" s="10"/>
      <c r="D40" s="10"/>
      <c r="E40" s="10">
        <v>60400</v>
      </c>
      <c r="F40" s="10"/>
      <c r="G40" s="10">
        <f t="shared" si="0"/>
        <v>60400</v>
      </c>
      <c r="H40">
        <f t="shared" si="1"/>
        <v>10.1</v>
      </c>
      <c r="I40" s="14">
        <f t="shared" si="2"/>
        <v>4.3999999999999997E-2</v>
      </c>
    </row>
    <row r="41" spans="1:9" x14ac:dyDescent="0.25">
      <c r="A41" t="s">
        <v>15</v>
      </c>
      <c r="B41" t="s">
        <v>18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ROUND(G41/$G$44,3)</f>
        <v>0</v>
      </c>
    </row>
    <row r="42" spans="1:9" x14ac:dyDescent="0.25">
      <c r="A42" t="s">
        <v>15</v>
      </c>
      <c r="B42" t="s">
        <v>17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>ROUND(G42/$G$44,3)</f>
        <v>0</v>
      </c>
    </row>
    <row r="43" spans="1:9" x14ac:dyDescent="0.25">
      <c r="A43" t="s">
        <v>15</v>
      </c>
      <c r="B43" t="s">
        <v>123</v>
      </c>
      <c r="C43" s="10"/>
      <c r="D43" s="10"/>
      <c r="E43" s="10"/>
      <c r="F43" s="10"/>
      <c r="G43" s="10">
        <f t="shared" si="0"/>
        <v>0</v>
      </c>
      <c r="H43">
        <f t="shared" si="1"/>
        <v>0</v>
      </c>
      <c r="I43" s="14">
        <f>ROUND(G43/$G$44,3)</f>
        <v>0</v>
      </c>
    </row>
    <row r="44" spans="1:9" x14ac:dyDescent="0.25">
      <c r="A44" s="3" t="s">
        <v>253</v>
      </c>
      <c r="B44" s="3"/>
      <c r="C44" s="8">
        <f t="shared" ref="C44:H44" si="4">SUM(C8:C43)</f>
        <v>949160</v>
      </c>
      <c r="D44" s="8">
        <f t="shared" si="4"/>
        <v>997</v>
      </c>
      <c r="E44" s="8">
        <f t="shared" si="4"/>
        <v>403951</v>
      </c>
      <c r="F44" s="8">
        <f t="shared" si="4"/>
        <v>9730</v>
      </c>
      <c r="G44" s="8">
        <f t="shared" si="4"/>
        <v>1363838</v>
      </c>
      <c r="H44" s="3">
        <f t="shared" si="4"/>
        <v>228.07999999999998</v>
      </c>
    </row>
    <row r="45" spans="1:9" x14ac:dyDescent="0.25">
      <c r="A45" s="3" t="s">
        <v>14</v>
      </c>
      <c r="B45" s="3"/>
      <c r="C45" s="13">
        <f>ROUND(C44/G44,2)</f>
        <v>0.7</v>
      </c>
      <c r="D45" s="13">
        <f>ROUND(D44/G44,2)</f>
        <v>0</v>
      </c>
      <c r="E45" s="13">
        <f>ROUND(E44/G44,2)</f>
        <v>0.3</v>
      </c>
      <c r="F45" s="13">
        <f>ROUND(F44/G44,2)</f>
        <v>0.01</v>
      </c>
      <c r="G45" s="3"/>
      <c r="H45" s="3"/>
    </row>
    <row r="46" spans="1:9" x14ac:dyDescent="0.25">
      <c r="A46" s="3" t="s">
        <v>47</v>
      </c>
      <c r="B46" s="3"/>
      <c r="C46" s="3"/>
      <c r="D46" s="3"/>
      <c r="E46" s="3"/>
      <c r="F46" s="3"/>
      <c r="G46" s="3"/>
      <c r="H46" s="3"/>
    </row>
    <row r="47" spans="1:9" x14ac:dyDescent="0.25">
      <c r="A47" s="3" t="s">
        <v>48</v>
      </c>
      <c r="B47" s="3"/>
      <c r="C47" s="8">
        <v>616580</v>
      </c>
      <c r="D47" s="8">
        <v>997</v>
      </c>
      <c r="E47" s="8">
        <v>343551</v>
      </c>
      <c r="F47" s="8">
        <v>2130</v>
      </c>
      <c r="G47" s="8">
        <f>SUM(C47:F47)</f>
        <v>963258</v>
      </c>
      <c r="H47" s="3">
        <f>ROUND(G47/5980,2)</f>
        <v>161.08000000000001</v>
      </c>
    </row>
    <row r="48" spans="1:9" x14ac:dyDescent="0.25">
      <c r="A48" s="3" t="s">
        <v>49</v>
      </c>
      <c r="B48" s="3"/>
      <c r="C48" s="8">
        <v>332580</v>
      </c>
      <c r="D48" s="8">
        <v>0</v>
      </c>
      <c r="E48" s="8">
        <v>60400</v>
      </c>
      <c r="F48" s="8">
        <v>7600</v>
      </c>
      <c r="G48" s="8">
        <f>SUM(C48:F48)</f>
        <v>400580</v>
      </c>
      <c r="H48" s="3">
        <f>ROUND(G48/5980,2)</f>
        <v>66.989999999999995</v>
      </c>
    </row>
    <row r="49" spans="1:8" x14ac:dyDescent="0.25">
      <c r="A49" s="3" t="s">
        <v>50</v>
      </c>
      <c r="B49" s="3"/>
      <c r="C49" s="8">
        <v>0</v>
      </c>
      <c r="D49" s="8">
        <v>0</v>
      </c>
      <c r="E49" s="8">
        <v>0</v>
      </c>
      <c r="F49" s="8">
        <v>0</v>
      </c>
      <c r="G49" s="8">
        <f>SUM(C49:F49)</f>
        <v>0</v>
      </c>
      <c r="H49" s="3">
        <f>ROUND(G49/5980,2)</f>
        <v>0</v>
      </c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 t="s">
        <v>2</v>
      </c>
      <c r="D51" s="3">
        <v>2022</v>
      </c>
      <c r="E51" s="3" t="s">
        <v>51</v>
      </c>
      <c r="F51" s="3"/>
      <c r="G51" s="3"/>
      <c r="H51" s="3"/>
    </row>
    <row r="52" spans="1:8" x14ac:dyDescent="0.25">
      <c r="A52" s="3" t="s">
        <v>52</v>
      </c>
      <c r="B52" s="3"/>
      <c r="C52" s="13">
        <v>0.74890000000000001</v>
      </c>
      <c r="D52" s="13">
        <v>0.75409999999999999</v>
      </c>
      <c r="E52" s="13">
        <v>0.77659999999999996</v>
      </c>
      <c r="F52" s="3"/>
      <c r="G52" s="3"/>
      <c r="H52" s="3"/>
    </row>
    <row r="53" spans="1:8" x14ac:dyDescent="0.25">
      <c r="A53" s="3" t="s">
        <v>53</v>
      </c>
      <c r="B53" s="3"/>
      <c r="C53" s="13">
        <v>0.7399</v>
      </c>
      <c r="D53" s="13">
        <v>0.74429999999999996</v>
      </c>
      <c r="E53" s="13">
        <v>0.75900000000000001</v>
      </c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 t="s">
        <v>256</v>
      </c>
      <c r="B55" s="3"/>
      <c r="C55" s="3" t="s">
        <v>2</v>
      </c>
      <c r="D55" s="3" t="s">
        <v>124</v>
      </c>
      <c r="E55" s="3" t="s">
        <v>55</v>
      </c>
      <c r="F55" s="3" t="s">
        <v>254</v>
      </c>
      <c r="G55" s="3"/>
      <c r="H55" s="3"/>
    </row>
    <row r="56" spans="1:8" x14ac:dyDescent="0.25">
      <c r="A56" s="3" t="s">
        <v>56</v>
      </c>
      <c r="B56" s="3"/>
      <c r="C56" s="3"/>
      <c r="D56" s="3">
        <v>92.56</v>
      </c>
      <c r="E56" s="3">
        <v>81.5</v>
      </c>
      <c r="F56" s="3">
        <v>50.61</v>
      </c>
      <c r="G56" s="3"/>
      <c r="H56" s="3"/>
    </row>
    <row r="57" spans="1:8" x14ac:dyDescent="0.25">
      <c r="A57" s="3" t="s">
        <v>57</v>
      </c>
      <c r="B57" s="3"/>
      <c r="C57" s="3"/>
      <c r="D57" s="3">
        <v>64.73</v>
      </c>
      <c r="E57" s="3">
        <v>58.24</v>
      </c>
      <c r="F57" s="3">
        <v>57.37</v>
      </c>
      <c r="G57" s="3"/>
      <c r="H57" s="3"/>
    </row>
    <row r="58" spans="1:8" x14ac:dyDescent="0.25">
      <c r="A58" s="3" t="s">
        <v>58</v>
      </c>
      <c r="B58" s="3"/>
      <c r="C58" s="3"/>
      <c r="D58" s="3">
        <v>292.45</v>
      </c>
      <c r="E58" s="3">
        <v>261.52999999999997</v>
      </c>
      <c r="F58" s="3">
        <v>249.57</v>
      </c>
      <c r="G58" s="3"/>
      <c r="H58" s="3"/>
    </row>
    <row r="59" spans="1:8" x14ac:dyDescent="0.25">
      <c r="A59" s="3" t="s">
        <v>59</v>
      </c>
      <c r="B59" s="3"/>
      <c r="C59" s="3"/>
      <c r="D59" s="3">
        <v>118.47</v>
      </c>
      <c r="E59" s="3">
        <v>103.11</v>
      </c>
      <c r="F59" s="3">
        <v>71.400000000000006</v>
      </c>
      <c r="G59" s="3"/>
      <c r="H5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I44"/>
  <sheetViews>
    <sheetView topLeftCell="A12" workbookViewId="0">
      <selection activeCell="G41" sqref="G41:G44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3.140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125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1085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16150</v>
      </c>
      <c r="D9" s="10"/>
      <c r="E9" s="10"/>
      <c r="F9" s="10"/>
      <c r="G9" s="10">
        <f t="shared" ref="G9:G28" si="0">SUM(C9:F9)</f>
        <v>16150</v>
      </c>
      <c r="H9">
        <f t="shared" ref="H9:H28" si="1">ROUND(G9/1085,2)</f>
        <v>14.88</v>
      </c>
      <c r="I9" s="14">
        <f t="shared" ref="I9:I28" si="2">ROUND(G9/$G$29,3)</f>
        <v>8.6999999999999994E-2</v>
      </c>
    </row>
    <row r="10" spans="1:9" x14ac:dyDescent="0.25">
      <c r="A10" t="s">
        <v>19</v>
      </c>
      <c r="B10" t="s">
        <v>21</v>
      </c>
      <c r="C10" s="10">
        <v>24920</v>
      </c>
      <c r="D10" s="10"/>
      <c r="E10" s="10"/>
      <c r="F10" s="10"/>
      <c r="G10" s="10">
        <f t="shared" si="0"/>
        <v>24920</v>
      </c>
      <c r="H10">
        <f t="shared" si="1"/>
        <v>22.97</v>
      </c>
      <c r="I10" s="14">
        <f t="shared" si="2"/>
        <v>0.13500000000000001</v>
      </c>
    </row>
    <row r="11" spans="1:9" x14ac:dyDescent="0.25">
      <c r="A11" t="s">
        <v>19</v>
      </c>
      <c r="B11" t="s">
        <v>76</v>
      </c>
      <c r="C11" s="10"/>
      <c r="D11" s="10"/>
      <c r="E11" s="10"/>
      <c r="F11" s="10">
        <v>11</v>
      </c>
      <c r="G11" s="10">
        <f t="shared" si="0"/>
        <v>11</v>
      </c>
      <c r="H11">
        <f t="shared" si="1"/>
        <v>0.01</v>
      </c>
      <c r="I11" s="14">
        <f t="shared" si="2"/>
        <v>0</v>
      </c>
    </row>
    <row r="12" spans="1:9" x14ac:dyDescent="0.25">
      <c r="A12" t="s">
        <v>19</v>
      </c>
      <c r="B12" t="s">
        <v>41</v>
      </c>
      <c r="C12" s="10"/>
      <c r="D12" s="10"/>
      <c r="E12" s="10"/>
      <c r="F12" s="10">
        <v>4</v>
      </c>
      <c r="G12" s="10">
        <f t="shared" si="0"/>
        <v>4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24</v>
      </c>
      <c r="C13" s="10">
        <v>17820</v>
      </c>
      <c r="D13" s="10"/>
      <c r="E13" s="10"/>
      <c r="F13" s="10"/>
      <c r="G13" s="10">
        <f t="shared" si="0"/>
        <v>17820</v>
      </c>
      <c r="H13">
        <f t="shared" si="1"/>
        <v>16.420000000000002</v>
      </c>
      <c r="I13" s="14">
        <f t="shared" si="2"/>
        <v>9.7000000000000003E-2</v>
      </c>
    </row>
    <row r="14" spans="1:9" x14ac:dyDescent="0.25">
      <c r="A14" t="s">
        <v>19</v>
      </c>
      <c r="B14" t="s">
        <v>25</v>
      </c>
      <c r="C14" s="10">
        <v>57000</v>
      </c>
      <c r="D14" s="10"/>
      <c r="E14" s="10"/>
      <c r="F14" s="10"/>
      <c r="G14" s="10">
        <f t="shared" si="0"/>
        <v>57000</v>
      </c>
      <c r="H14">
        <f t="shared" si="1"/>
        <v>52.53</v>
      </c>
      <c r="I14" s="14">
        <f t="shared" si="2"/>
        <v>0.309</v>
      </c>
    </row>
    <row r="15" spans="1:9" x14ac:dyDescent="0.25">
      <c r="A15" t="s">
        <v>19</v>
      </c>
      <c r="B15" t="s">
        <v>28</v>
      </c>
      <c r="C15" s="10"/>
      <c r="D15" s="10"/>
      <c r="E15" s="10"/>
      <c r="F15" s="10">
        <v>10</v>
      </c>
      <c r="G15" s="10">
        <f t="shared" si="0"/>
        <v>10</v>
      </c>
      <c r="H15">
        <f t="shared" si="1"/>
        <v>0.01</v>
      </c>
      <c r="I15" s="14">
        <f t="shared" si="2"/>
        <v>0</v>
      </c>
    </row>
    <row r="16" spans="1:9" x14ac:dyDescent="0.25">
      <c r="A16" t="s">
        <v>19</v>
      </c>
      <c r="B16" t="s">
        <v>30</v>
      </c>
      <c r="C16" s="10"/>
      <c r="D16" s="10"/>
      <c r="E16" s="10"/>
      <c r="F16" s="10">
        <v>90</v>
      </c>
      <c r="G16" s="10">
        <f t="shared" si="0"/>
        <v>90</v>
      </c>
      <c r="H16">
        <f t="shared" si="1"/>
        <v>0.08</v>
      </c>
      <c r="I16" s="14">
        <f t="shared" si="2"/>
        <v>0</v>
      </c>
    </row>
    <row r="17" spans="1:9" x14ac:dyDescent="0.25">
      <c r="A17" t="s">
        <v>19</v>
      </c>
      <c r="B17" t="s">
        <v>31</v>
      </c>
      <c r="C17" s="10"/>
      <c r="D17" s="10"/>
      <c r="E17" s="10"/>
      <c r="F17" s="10">
        <v>90</v>
      </c>
      <c r="G17" s="10">
        <f t="shared" si="0"/>
        <v>90</v>
      </c>
      <c r="H17">
        <f t="shared" si="1"/>
        <v>0.08</v>
      </c>
      <c r="I17" s="14">
        <f t="shared" si="2"/>
        <v>0</v>
      </c>
    </row>
    <row r="18" spans="1:9" x14ac:dyDescent="0.25">
      <c r="A18" t="s">
        <v>19</v>
      </c>
      <c r="B18" t="s">
        <v>32</v>
      </c>
      <c r="C18" s="10"/>
      <c r="D18" s="10"/>
      <c r="E18" s="10"/>
      <c r="F18" s="10">
        <v>455</v>
      </c>
      <c r="G18" s="10">
        <f t="shared" si="0"/>
        <v>455</v>
      </c>
      <c r="H18">
        <f t="shared" si="1"/>
        <v>0.42</v>
      </c>
      <c r="I18" s="14">
        <f t="shared" si="2"/>
        <v>2E-3</v>
      </c>
    </row>
    <row r="19" spans="1:9" x14ac:dyDescent="0.25">
      <c r="A19" t="s">
        <v>19</v>
      </c>
      <c r="B19" t="s">
        <v>42</v>
      </c>
      <c r="C19" s="10"/>
      <c r="D19" s="10">
        <v>51</v>
      </c>
      <c r="E19" s="10"/>
      <c r="F19" s="10"/>
      <c r="G19" s="10">
        <f t="shared" si="0"/>
        <v>51</v>
      </c>
      <c r="H19">
        <f t="shared" si="1"/>
        <v>0.05</v>
      </c>
      <c r="I19" s="14">
        <f t="shared" si="2"/>
        <v>0</v>
      </c>
    </row>
    <row r="20" spans="1:9" x14ac:dyDescent="0.25">
      <c r="A20" t="s">
        <v>19</v>
      </c>
      <c r="B20" t="s">
        <v>33</v>
      </c>
      <c r="C20" s="10"/>
      <c r="D20" s="10">
        <v>85</v>
      </c>
      <c r="E20" s="10"/>
      <c r="F20" s="10">
        <v>147</v>
      </c>
      <c r="G20" s="10">
        <f t="shared" si="0"/>
        <v>232</v>
      </c>
      <c r="H20">
        <f t="shared" si="1"/>
        <v>0.21</v>
      </c>
      <c r="I20" s="14">
        <f t="shared" si="2"/>
        <v>1E-3</v>
      </c>
    </row>
    <row r="21" spans="1:9" x14ac:dyDescent="0.25">
      <c r="A21" t="s">
        <v>19</v>
      </c>
      <c r="B21" t="s">
        <v>36</v>
      </c>
      <c r="C21" s="10"/>
      <c r="D21" s="10"/>
      <c r="E21" s="10"/>
      <c r="F21" s="10">
        <v>1220</v>
      </c>
      <c r="G21" s="10">
        <f t="shared" si="0"/>
        <v>1220</v>
      </c>
      <c r="H21">
        <f t="shared" si="1"/>
        <v>1.1200000000000001</v>
      </c>
      <c r="I21" s="14">
        <f t="shared" si="2"/>
        <v>7.0000000000000001E-3</v>
      </c>
    </row>
    <row r="22" spans="1:9" x14ac:dyDescent="0.25">
      <c r="A22" t="s">
        <v>19</v>
      </c>
      <c r="B22" t="s">
        <v>38</v>
      </c>
      <c r="C22" s="10"/>
      <c r="D22" s="10"/>
      <c r="E22" s="10"/>
      <c r="F22" s="10">
        <v>1460</v>
      </c>
      <c r="G22" s="10">
        <f t="shared" si="0"/>
        <v>1460</v>
      </c>
      <c r="H22">
        <f t="shared" si="1"/>
        <v>1.35</v>
      </c>
      <c r="I22" s="14">
        <f t="shared" si="2"/>
        <v>8.0000000000000002E-3</v>
      </c>
    </row>
    <row r="23" spans="1:9" x14ac:dyDescent="0.25">
      <c r="A23" t="s">
        <v>19</v>
      </c>
      <c r="B23" t="s">
        <v>39</v>
      </c>
      <c r="C23" s="10"/>
      <c r="D23" s="10"/>
      <c r="E23" s="10"/>
      <c r="F23" s="10">
        <v>11420</v>
      </c>
      <c r="G23" s="10">
        <f t="shared" si="0"/>
        <v>11420</v>
      </c>
      <c r="H23">
        <f t="shared" si="1"/>
        <v>10.53</v>
      </c>
      <c r="I23" s="14">
        <f t="shared" si="2"/>
        <v>6.2E-2</v>
      </c>
    </row>
    <row r="24" spans="1:9" x14ac:dyDescent="0.25">
      <c r="A24" t="s">
        <v>19</v>
      </c>
      <c r="B24" t="s">
        <v>67</v>
      </c>
      <c r="C24" s="10"/>
      <c r="D24" s="10"/>
      <c r="E24" s="10"/>
      <c r="F24" s="10"/>
      <c r="G24" s="10">
        <f t="shared" si="0"/>
        <v>0</v>
      </c>
      <c r="H24">
        <f t="shared" si="1"/>
        <v>0</v>
      </c>
      <c r="I24" s="14">
        <f t="shared" si="2"/>
        <v>0</v>
      </c>
    </row>
    <row r="25" spans="1:9" x14ac:dyDescent="0.25">
      <c r="A25" t="s">
        <v>43</v>
      </c>
      <c r="B25" t="s">
        <v>44</v>
      </c>
      <c r="C25" s="10">
        <v>47620</v>
      </c>
      <c r="D25" s="10"/>
      <c r="E25" s="10"/>
      <c r="F25" s="10"/>
      <c r="G25" s="10">
        <f t="shared" si="0"/>
        <v>47620</v>
      </c>
      <c r="H25">
        <f t="shared" si="1"/>
        <v>43.89</v>
      </c>
      <c r="I25" s="14">
        <f t="shared" si="2"/>
        <v>0.25800000000000001</v>
      </c>
    </row>
    <row r="26" spans="1:9" x14ac:dyDescent="0.25">
      <c r="A26" t="s">
        <v>43</v>
      </c>
      <c r="B26" t="s">
        <v>45</v>
      </c>
      <c r="C26" s="10"/>
      <c r="D26" s="10"/>
      <c r="E26" s="10"/>
      <c r="F26" s="10">
        <v>6060</v>
      </c>
      <c r="G26" s="10">
        <f t="shared" si="0"/>
        <v>6060</v>
      </c>
      <c r="H26">
        <f t="shared" si="1"/>
        <v>5.59</v>
      </c>
      <c r="I26" s="14">
        <f t="shared" si="2"/>
        <v>3.3000000000000002E-2</v>
      </c>
    </row>
    <row r="27" spans="1:9" x14ac:dyDescent="0.25">
      <c r="A27" t="s">
        <v>43</v>
      </c>
      <c r="B27" t="s">
        <v>46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15</v>
      </c>
      <c r="B28" t="s">
        <v>18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s="3" t="s">
        <v>253</v>
      </c>
      <c r="B29" s="3"/>
      <c r="C29" s="8">
        <f t="shared" ref="C29:H29" si="3">SUM(C8:C28)</f>
        <v>163510</v>
      </c>
      <c r="D29" s="8">
        <f t="shared" si="3"/>
        <v>136</v>
      </c>
      <c r="E29" s="8">
        <f t="shared" si="3"/>
        <v>0</v>
      </c>
      <c r="F29" s="8">
        <f t="shared" si="3"/>
        <v>20967</v>
      </c>
      <c r="G29" s="8">
        <f t="shared" si="3"/>
        <v>184613</v>
      </c>
      <c r="H29" s="3">
        <f t="shared" si="3"/>
        <v>170.14000000000001</v>
      </c>
    </row>
    <row r="30" spans="1:9" x14ac:dyDescent="0.25">
      <c r="A30" s="3" t="s">
        <v>14</v>
      </c>
      <c r="B30" s="3"/>
      <c r="C30" s="13">
        <f>ROUND(C29/G29,2)</f>
        <v>0.89</v>
      </c>
      <c r="D30" s="13">
        <f>ROUND(D29/G29,2)</f>
        <v>0</v>
      </c>
      <c r="E30" s="13">
        <f>ROUND(E29/G29,2)</f>
        <v>0</v>
      </c>
      <c r="F30" s="13">
        <f>ROUND(F29/G29,2)</f>
        <v>0.11</v>
      </c>
      <c r="G30" s="3"/>
      <c r="H30" s="3"/>
    </row>
    <row r="31" spans="1:9" x14ac:dyDescent="0.25">
      <c r="A31" s="3" t="s">
        <v>47</v>
      </c>
      <c r="B31" s="3"/>
      <c r="C31" s="3"/>
      <c r="D31" s="3"/>
      <c r="E31" s="3"/>
      <c r="F31" s="3"/>
      <c r="G31" s="3"/>
      <c r="H31" s="3"/>
    </row>
    <row r="32" spans="1:9" x14ac:dyDescent="0.25">
      <c r="A32" s="3" t="s">
        <v>48</v>
      </c>
      <c r="B32" s="3"/>
      <c r="C32" s="8">
        <v>115890</v>
      </c>
      <c r="D32" s="8">
        <v>136</v>
      </c>
      <c r="E32" s="8">
        <v>0</v>
      </c>
      <c r="F32" s="8">
        <v>14907</v>
      </c>
      <c r="G32" s="8">
        <f>SUM(C32:F32)</f>
        <v>130933</v>
      </c>
      <c r="H32" s="3">
        <f>ROUND(G32/1085,2)</f>
        <v>120.68</v>
      </c>
    </row>
    <row r="33" spans="1:8" x14ac:dyDescent="0.25">
      <c r="A33" s="3" t="s">
        <v>49</v>
      </c>
      <c r="B33" s="3"/>
      <c r="C33" s="8">
        <v>47620</v>
      </c>
      <c r="D33" s="8">
        <v>0</v>
      </c>
      <c r="E33" s="8">
        <v>0</v>
      </c>
      <c r="F33" s="8">
        <v>6060</v>
      </c>
      <c r="G33" s="8">
        <f>SUM(C33:F33)</f>
        <v>53680</v>
      </c>
      <c r="H33" s="3">
        <f>ROUND(G33/1085,2)</f>
        <v>49.47</v>
      </c>
    </row>
    <row r="34" spans="1:8" x14ac:dyDescent="0.25">
      <c r="A34" s="3" t="s">
        <v>50</v>
      </c>
      <c r="B34" s="3"/>
      <c r="C34" s="8">
        <v>0</v>
      </c>
      <c r="D34" s="8">
        <v>0</v>
      </c>
      <c r="E34" s="8">
        <v>0</v>
      </c>
      <c r="F34" s="8">
        <v>0</v>
      </c>
      <c r="G34" s="8">
        <f>SUM(C34:F34)</f>
        <v>0</v>
      </c>
      <c r="H34" s="3">
        <f>ROUND(G34/1085,2)</f>
        <v>0</v>
      </c>
    </row>
    <row r="36" spans="1:8" x14ac:dyDescent="0.25">
      <c r="A36" s="3"/>
      <c r="B36" s="3"/>
      <c r="C36" s="3" t="s">
        <v>2</v>
      </c>
      <c r="D36" s="3">
        <v>2022</v>
      </c>
      <c r="E36" s="3" t="s">
        <v>51</v>
      </c>
    </row>
    <row r="37" spans="1:8" x14ac:dyDescent="0.25">
      <c r="A37" s="3" t="s">
        <v>52</v>
      </c>
      <c r="B37" s="3"/>
      <c r="C37" s="13">
        <v>0.74209999999999998</v>
      </c>
      <c r="D37" s="13">
        <v>0.72389999999999999</v>
      </c>
      <c r="E37" s="13">
        <v>0.77659999999999996</v>
      </c>
    </row>
    <row r="38" spans="1:8" x14ac:dyDescent="0.25">
      <c r="A38" s="3" t="s">
        <v>53</v>
      </c>
      <c r="B38" s="3"/>
      <c r="C38" s="13">
        <v>0.73080000000000001</v>
      </c>
      <c r="D38" s="13">
        <v>0.71120000000000005</v>
      </c>
      <c r="E38" s="13">
        <v>0.75900000000000001</v>
      </c>
    </row>
    <row r="40" spans="1:8" x14ac:dyDescent="0.25">
      <c r="A40" s="3" t="s">
        <v>256</v>
      </c>
      <c r="C40" s="3" t="s">
        <v>2</v>
      </c>
      <c r="D40" s="3" t="s">
        <v>126</v>
      </c>
      <c r="E40" s="3" t="s">
        <v>55</v>
      </c>
      <c r="F40" s="3" t="s">
        <v>254</v>
      </c>
      <c r="G40" s="3"/>
    </row>
    <row r="41" spans="1:8" x14ac:dyDescent="0.25">
      <c r="A41" s="3" t="s">
        <v>56</v>
      </c>
      <c r="B41" s="3"/>
      <c r="C41" s="3"/>
      <c r="D41" s="3">
        <v>76.3</v>
      </c>
      <c r="E41" s="3">
        <v>81.5</v>
      </c>
      <c r="F41" s="3">
        <v>50.61</v>
      </c>
      <c r="G41" s="3"/>
    </row>
    <row r="42" spans="1:8" x14ac:dyDescent="0.25">
      <c r="A42" s="3" t="s">
        <v>57</v>
      </c>
      <c r="B42" s="3"/>
      <c r="C42" s="3"/>
      <c r="D42" s="3">
        <v>92</v>
      </c>
      <c r="E42" s="3">
        <v>58.24</v>
      </c>
      <c r="F42" s="3">
        <v>57.37</v>
      </c>
      <c r="G42" s="3"/>
    </row>
    <row r="43" spans="1:8" x14ac:dyDescent="0.25">
      <c r="A43" s="3" t="s">
        <v>58</v>
      </c>
      <c r="B43" s="3"/>
      <c r="C43" s="3"/>
      <c r="D43" s="3">
        <v>231.04</v>
      </c>
      <c r="E43" s="3">
        <v>261.52999999999997</v>
      </c>
      <c r="F43" s="3">
        <v>249.57</v>
      </c>
      <c r="G43" s="3"/>
    </row>
    <row r="44" spans="1:8" x14ac:dyDescent="0.25">
      <c r="A44" s="3" t="s">
        <v>59</v>
      </c>
      <c r="B44" s="3"/>
      <c r="C44" s="3"/>
      <c r="D44" s="3">
        <v>87.23</v>
      </c>
      <c r="E44" s="3">
        <v>103.11</v>
      </c>
      <c r="F44" s="3">
        <v>71.400000000000006</v>
      </c>
      <c r="G44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I54"/>
  <sheetViews>
    <sheetView topLeftCell="A30" workbookViewId="0">
      <selection activeCell="G51" sqref="G51:G54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33.140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127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1687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123</v>
      </c>
      <c r="C9" s="10"/>
      <c r="D9" s="10"/>
      <c r="E9" s="10">
        <v>6200</v>
      </c>
      <c r="F9" s="10"/>
      <c r="G9" s="10">
        <f t="shared" ref="G9:G38" si="0">SUM(C9:F9)</f>
        <v>6200</v>
      </c>
      <c r="H9">
        <f t="shared" ref="H9:H38" si="1">ROUND(G9/1687,2)</f>
        <v>3.68</v>
      </c>
      <c r="I9" s="14">
        <f t="shared" ref="I9:I38" si="2">ROUND(G9/$G$39,3)</f>
        <v>0.02</v>
      </c>
    </row>
    <row r="10" spans="1:9" x14ac:dyDescent="0.25">
      <c r="A10" t="s">
        <v>15</v>
      </c>
      <c r="B10" t="s">
        <v>128</v>
      </c>
      <c r="C10" s="10"/>
      <c r="D10" s="10"/>
      <c r="E10" s="10"/>
      <c r="F10" s="10"/>
      <c r="G10" s="10">
        <f t="shared" si="0"/>
        <v>0</v>
      </c>
      <c r="H10">
        <f t="shared" si="1"/>
        <v>0</v>
      </c>
      <c r="I10" s="14">
        <f t="shared" si="2"/>
        <v>0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19</v>
      </c>
      <c r="B12" t="s">
        <v>20</v>
      </c>
      <c r="C12" s="10">
        <v>27400</v>
      </c>
      <c r="D12" s="10"/>
      <c r="E12" s="10"/>
      <c r="F12" s="10"/>
      <c r="G12" s="10">
        <f t="shared" si="0"/>
        <v>27400</v>
      </c>
      <c r="H12">
        <f t="shared" si="1"/>
        <v>16.239999999999998</v>
      </c>
      <c r="I12" s="14">
        <f t="shared" si="2"/>
        <v>8.8999999999999996E-2</v>
      </c>
    </row>
    <row r="13" spans="1:9" x14ac:dyDescent="0.25">
      <c r="A13" t="s">
        <v>19</v>
      </c>
      <c r="B13" t="s">
        <v>21</v>
      </c>
      <c r="C13" s="10">
        <v>35690</v>
      </c>
      <c r="D13" s="10"/>
      <c r="E13" s="10"/>
      <c r="F13" s="10"/>
      <c r="G13" s="10">
        <f t="shared" si="0"/>
        <v>35690</v>
      </c>
      <c r="H13">
        <f t="shared" si="1"/>
        <v>21.16</v>
      </c>
      <c r="I13" s="14">
        <f t="shared" si="2"/>
        <v>0.11600000000000001</v>
      </c>
    </row>
    <row r="14" spans="1:9" x14ac:dyDescent="0.25">
      <c r="A14" t="s">
        <v>19</v>
      </c>
      <c r="B14" t="s">
        <v>76</v>
      </c>
      <c r="C14" s="10"/>
      <c r="D14" s="10"/>
      <c r="E14" s="10">
        <v>31</v>
      </c>
      <c r="F14" s="10"/>
      <c r="G14" s="10">
        <f t="shared" si="0"/>
        <v>31</v>
      </c>
      <c r="H14">
        <f t="shared" si="1"/>
        <v>0.02</v>
      </c>
      <c r="I14" s="14">
        <f t="shared" si="2"/>
        <v>0</v>
      </c>
    </row>
    <row r="15" spans="1:9" x14ac:dyDescent="0.25">
      <c r="A15" t="s">
        <v>19</v>
      </c>
      <c r="B15" t="s">
        <v>41</v>
      </c>
      <c r="C15" s="10"/>
      <c r="D15" s="10"/>
      <c r="E15" s="10">
        <v>74</v>
      </c>
      <c r="F15" s="10"/>
      <c r="G15" s="10">
        <f t="shared" si="0"/>
        <v>74</v>
      </c>
      <c r="H15">
        <f t="shared" si="1"/>
        <v>0.04</v>
      </c>
      <c r="I15" s="14">
        <f t="shared" si="2"/>
        <v>0</v>
      </c>
    </row>
    <row r="16" spans="1:9" x14ac:dyDescent="0.25">
      <c r="A16" t="s">
        <v>19</v>
      </c>
      <c r="B16" t="s">
        <v>22</v>
      </c>
      <c r="C16" s="10"/>
      <c r="D16" s="10"/>
      <c r="E16" s="10">
        <v>1000</v>
      </c>
      <c r="F16" s="10"/>
      <c r="G16" s="10">
        <f t="shared" si="0"/>
        <v>1000</v>
      </c>
      <c r="H16">
        <f t="shared" si="1"/>
        <v>0.59</v>
      </c>
      <c r="I16" s="14">
        <f t="shared" si="2"/>
        <v>3.0000000000000001E-3</v>
      </c>
    </row>
    <row r="17" spans="1:9" x14ac:dyDescent="0.25">
      <c r="A17" t="s">
        <v>19</v>
      </c>
      <c r="B17" t="s">
        <v>24</v>
      </c>
      <c r="C17" s="10">
        <v>37740</v>
      </c>
      <c r="D17" s="10"/>
      <c r="E17" s="10"/>
      <c r="F17" s="10"/>
      <c r="G17" s="10">
        <f t="shared" si="0"/>
        <v>37740</v>
      </c>
      <c r="H17">
        <f t="shared" si="1"/>
        <v>22.37</v>
      </c>
      <c r="I17" s="14">
        <f t="shared" si="2"/>
        <v>0.123</v>
      </c>
    </row>
    <row r="18" spans="1:9" x14ac:dyDescent="0.25">
      <c r="A18" t="s">
        <v>19</v>
      </c>
      <c r="B18" t="s">
        <v>66</v>
      </c>
      <c r="C18" s="10"/>
      <c r="D18" s="10"/>
      <c r="E18" s="10">
        <v>830</v>
      </c>
      <c r="F18" s="10"/>
      <c r="G18" s="10">
        <f t="shared" si="0"/>
        <v>830</v>
      </c>
      <c r="H18">
        <f t="shared" si="1"/>
        <v>0.49</v>
      </c>
      <c r="I18" s="14">
        <f t="shared" si="2"/>
        <v>3.0000000000000001E-3</v>
      </c>
    </row>
    <row r="19" spans="1:9" x14ac:dyDescent="0.25">
      <c r="A19" t="s">
        <v>19</v>
      </c>
      <c r="B19" t="s">
        <v>25</v>
      </c>
      <c r="C19" s="10">
        <v>59590</v>
      </c>
      <c r="D19" s="10"/>
      <c r="E19" s="10"/>
      <c r="F19" s="10">
        <v>490</v>
      </c>
      <c r="G19" s="10">
        <f t="shared" si="0"/>
        <v>60080</v>
      </c>
      <c r="H19">
        <f t="shared" si="1"/>
        <v>35.61</v>
      </c>
      <c r="I19" s="14">
        <f t="shared" si="2"/>
        <v>0.19600000000000001</v>
      </c>
    </row>
    <row r="20" spans="1:9" x14ac:dyDescent="0.25">
      <c r="A20" t="s">
        <v>19</v>
      </c>
      <c r="B20" t="s">
        <v>26</v>
      </c>
      <c r="C20" s="10"/>
      <c r="D20" s="10"/>
      <c r="E20" s="10">
        <v>689</v>
      </c>
      <c r="F20" s="10"/>
      <c r="G20" s="10">
        <f t="shared" si="0"/>
        <v>689</v>
      </c>
      <c r="H20">
        <f t="shared" si="1"/>
        <v>0.41</v>
      </c>
      <c r="I20" s="14">
        <f t="shared" si="2"/>
        <v>2E-3</v>
      </c>
    </row>
    <row r="21" spans="1:9" x14ac:dyDescent="0.25">
      <c r="A21" t="s">
        <v>19</v>
      </c>
      <c r="B21" t="s">
        <v>29</v>
      </c>
      <c r="C21" s="10"/>
      <c r="D21" s="10"/>
      <c r="E21" s="10">
        <v>2089</v>
      </c>
      <c r="F21" s="10"/>
      <c r="G21" s="10">
        <f t="shared" si="0"/>
        <v>2089</v>
      </c>
      <c r="H21">
        <f t="shared" si="1"/>
        <v>1.24</v>
      </c>
      <c r="I21" s="14">
        <f t="shared" si="2"/>
        <v>7.0000000000000001E-3</v>
      </c>
    </row>
    <row r="22" spans="1:9" x14ac:dyDescent="0.25">
      <c r="A22" t="s">
        <v>19</v>
      </c>
      <c r="B22" t="s">
        <v>30</v>
      </c>
      <c r="C22" s="10"/>
      <c r="D22" s="10"/>
      <c r="E22" s="10">
        <v>210</v>
      </c>
      <c r="F22" s="10"/>
      <c r="G22" s="10">
        <f t="shared" si="0"/>
        <v>210</v>
      </c>
      <c r="H22">
        <f t="shared" si="1"/>
        <v>0.12</v>
      </c>
      <c r="I22" s="14">
        <f t="shared" si="2"/>
        <v>1E-3</v>
      </c>
    </row>
    <row r="23" spans="1:9" x14ac:dyDescent="0.25">
      <c r="A23" t="s">
        <v>19</v>
      </c>
      <c r="B23" t="s">
        <v>32</v>
      </c>
      <c r="C23" s="10"/>
      <c r="D23" s="10"/>
      <c r="E23" s="10">
        <v>615</v>
      </c>
      <c r="F23" s="10"/>
      <c r="G23" s="10">
        <f t="shared" si="0"/>
        <v>615</v>
      </c>
      <c r="H23">
        <f t="shared" si="1"/>
        <v>0.36</v>
      </c>
      <c r="I23" s="14">
        <f t="shared" si="2"/>
        <v>2E-3</v>
      </c>
    </row>
    <row r="24" spans="1:9" x14ac:dyDescent="0.25">
      <c r="A24" t="s">
        <v>19</v>
      </c>
      <c r="B24" t="s">
        <v>42</v>
      </c>
      <c r="C24" s="10"/>
      <c r="D24" s="10">
        <v>96</v>
      </c>
      <c r="E24" s="10"/>
      <c r="F24" s="10"/>
      <c r="G24" s="10">
        <f t="shared" si="0"/>
        <v>96</v>
      </c>
      <c r="H24">
        <f t="shared" si="1"/>
        <v>0.06</v>
      </c>
      <c r="I24" s="14">
        <f t="shared" si="2"/>
        <v>0</v>
      </c>
    </row>
    <row r="25" spans="1:9" x14ac:dyDescent="0.25">
      <c r="A25" t="s">
        <v>19</v>
      </c>
      <c r="B25" t="s">
        <v>67</v>
      </c>
      <c r="C25" s="10"/>
      <c r="D25" s="10"/>
      <c r="E25" s="10">
        <v>935</v>
      </c>
      <c r="F25" s="10"/>
      <c r="G25" s="10">
        <f t="shared" si="0"/>
        <v>935</v>
      </c>
      <c r="H25">
        <f t="shared" si="1"/>
        <v>0.55000000000000004</v>
      </c>
      <c r="I25" s="14">
        <f t="shared" si="2"/>
        <v>3.0000000000000001E-3</v>
      </c>
    </row>
    <row r="26" spans="1:9" x14ac:dyDescent="0.25">
      <c r="A26" t="s">
        <v>19</v>
      </c>
      <c r="B26" t="s">
        <v>33</v>
      </c>
      <c r="C26" s="10"/>
      <c r="D26" s="10">
        <v>180</v>
      </c>
      <c r="E26" s="10"/>
      <c r="F26" s="10"/>
      <c r="G26" s="10">
        <f t="shared" si="0"/>
        <v>180</v>
      </c>
      <c r="H26">
        <f t="shared" si="1"/>
        <v>0.11</v>
      </c>
      <c r="I26" s="14">
        <f t="shared" si="2"/>
        <v>1E-3</v>
      </c>
    </row>
    <row r="27" spans="1:9" x14ac:dyDescent="0.25">
      <c r="A27" t="s">
        <v>19</v>
      </c>
      <c r="B27" t="s">
        <v>34</v>
      </c>
      <c r="C27" s="10"/>
      <c r="D27" s="10"/>
      <c r="E27" s="10">
        <v>1420</v>
      </c>
      <c r="F27" s="10"/>
      <c r="G27" s="10">
        <f t="shared" si="0"/>
        <v>1420</v>
      </c>
      <c r="H27">
        <f t="shared" si="1"/>
        <v>0.84</v>
      </c>
      <c r="I27" s="14">
        <f t="shared" si="2"/>
        <v>5.0000000000000001E-3</v>
      </c>
    </row>
    <row r="28" spans="1:9" x14ac:dyDescent="0.25">
      <c r="A28" t="s">
        <v>19</v>
      </c>
      <c r="B28" t="s">
        <v>35</v>
      </c>
      <c r="C28" s="10"/>
      <c r="D28" s="10"/>
      <c r="E28" s="10">
        <v>980</v>
      </c>
      <c r="F28" s="10"/>
      <c r="G28" s="10">
        <f t="shared" si="0"/>
        <v>980</v>
      </c>
      <c r="H28">
        <f t="shared" si="1"/>
        <v>0.57999999999999996</v>
      </c>
      <c r="I28" s="14">
        <f t="shared" si="2"/>
        <v>3.0000000000000001E-3</v>
      </c>
    </row>
    <row r="29" spans="1:9" x14ac:dyDescent="0.25">
      <c r="A29" t="s">
        <v>19</v>
      </c>
      <c r="B29" t="s">
        <v>40</v>
      </c>
      <c r="C29" s="10"/>
      <c r="D29" s="10"/>
      <c r="E29" s="10">
        <v>2666</v>
      </c>
      <c r="F29" s="10"/>
      <c r="G29" s="10">
        <f t="shared" si="0"/>
        <v>2666</v>
      </c>
      <c r="H29">
        <f t="shared" si="1"/>
        <v>1.58</v>
      </c>
      <c r="I29" s="14">
        <f t="shared" si="2"/>
        <v>8.9999999999999993E-3</v>
      </c>
    </row>
    <row r="30" spans="1:9" x14ac:dyDescent="0.25">
      <c r="A30" t="s">
        <v>19</v>
      </c>
      <c r="B30" t="s">
        <v>36</v>
      </c>
      <c r="C30" s="10"/>
      <c r="D30" s="10"/>
      <c r="E30" s="10">
        <v>21470</v>
      </c>
      <c r="F30" s="10"/>
      <c r="G30" s="10">
        <f t="shared" si="0"/>
        <v>21470</v>
      </c>
      <c r="H30">
        <f t="shared" si="1"/>
        <v>12.73</v>
      </c>
      <c r="I30" s="14">
        <f t="shared" si="2"/>
        <v>7.0000000000000007E-2</v>
      </c>
    </row>
    <row r="31" spans="1:9" x14ac:dyDescent="0.25">
      <c r="A31" t="s">
        <v>19</v>
      </c>
      <c r="B31" t="s">
        <v>38</v>
      </c>
      <c r="C31" s="10"/>
      <c r="D31" s="10"/>
      <c r="E31" s="10">
        <v>9600</v>
      </c>
      <c r="F31" s="10"/>
      <c r="G31" s="10">
        <f t="shared" si="0"/>
        <v>9600</v>
      </c>
      <c r="H31">
        <f t="shared" si="1"/>
        <v>5.69</v>
      </c>
      <c r="I31" s="14">
        <f t="shared" si="2"/>
        <v>3.1E-2</v>
      </c>
    </row>
    <row r="32" spans="1:9" x14ac:dyDescent="0.25">
      <c r="A32" t="s">
        <v>19</v>
      </c>
      <c r="B32" t="s">
        <v>39</v>
      </c>
      <c r="C32" s="10"/>
      <c r="D32" s="10"/>
      <c r="E32" s="10">
        <v>10840</v>
      </c>
      <c r="F32" s="10"/>
      <c r="G32" s="10">
        <f t="shared" si="0"/>
        <v>10840</v>
      </c>
      <c r="H32">
        <f t="shared" si="1"/>
        <v>6.43</v>
      </c>
      <c r="I32" s="14">
        <f t="shared" si="2"/>
        <v>3.5000000000000003E-2</v>
      </c>
    </row>
    <row r="33" spans="1:9" x14ac:dyDescent="0.25">
      <c r="A33" t="s">
        <v>19</v>
      </c>
      <c r="B33" t="s">
        <v>70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19</v>
      </c>
      <c r="B34" t="s">
        <v>103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28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43</v>
      </c>
      <c r="B36" t="s">
        <v>44</v>
      </c>
      <c r="C36" s="10">
        <v>66150</v>
      </c>
      <c r="D36" s="10"/>
      <c r="E36" s="10"/>
      <c r="F36" s="10"/>
      <c r="G36" s="10">
        <f t="shared" si="0"/>
        <v>66150</v>
      </c>
      <c r="H36">
        <f t="shared" si="1"/>
        <v>39.21</v>
      </c>
      <c r="I36" s="14">
        <f t="shared" si="2"/>
        <v>0.216</v>
      </c>
    </row>
    <row r="37" spans="1:9" x14ac:dyDescent="0.25">
      <c r="A37" t="s">
        <v>43</v>
      </c>
      <c r="B37" t="s">
        <v>45</v>
      </c>
      <c r="C37" s="10"/>
      <c r="D37" s="10"/>
      <c r="E37" s="10">
        <v>19740</v>
      </c>
      <c r="F37" s="10"/>
      <c r="G37" s="10">
        <f t="shared" si="0"/>
        <v>19740</v>
      </c>
      <c r="H37">
        <f t="shared" si="1"/>
        <v>11.7</v>
      </c>
      <c r="I37" s="14">
        <f t="shared" si="2"/>
        <v>6.4000000000000001E-2</v>
      </c>
    </row>
    <row r="38" spans="1:9" x14ac:dyDescent="0.25">
      <c r="A38" t="s">
        <v>43</v>
      </c>
      <c r="B38" t="s">
        <v>46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s="3" t="s">
        <v>253</v>
      </c>
      <c r="B39" s="3"/>
      <c r="C39" s="8">
        <f t="shared" ref="C39:H39" si="3">SUM(C8:C38)</f>
        <v>226570</v>
      </c>
      <c r="D39" s="8">
        <f t="shared" si="3"/>
        <v>276</v>
      </c>
      <c r="E39" s="8">
        <f t="shared" si="3"/>
        <v>79389</v>
      </c>
      <c r="F39" s="8">
        <f t="shared" si="3"/>
        <v>490</v>
      </c>
      <c r="G39" s="8">
        <f t="shared" si="3"/>
        <v>306725</v>
      </c>
      <c r="H39" s="3">
        <f t="shared" si="3"/>
        <v>181.81</v>
      </c>
    </row>
    <row r="40" spans="1:9" x14ac:dyDescent="0.25">
      <c r="A40" s="3" t="s">
        <v>14</v>
      </c>
      <c r="B40" s="3"/>
      <c r="C40" s="12">
        <f>ROUND(C39/G39,2)</f>
        <v>0.74</v>
      </c>
      <c r="D40" s="12">
        <f>ROUND(D39/G39,2)</f>
        <v>0</v>
      </c>
      <c r="E40" s="12">
        <f>ROUND(E39/G39,2)</f>
        <v>0.26</v>
      </c>
      <c r="F40" s="12">
        <f>ROUND(F39/G39,2)</f>
        <v>0</v>
      </c>
      <c r="G40" s="3"/>
      <c r="H40" s="3"/>
    </row>
    <row r="41" spans="1:9" x14ac:dyDescent="0.25">
      <c r="A41" s="3" t="s">
        <v>47</v>
      </c>
      <c r="B41" s="3"/>
      <c r="C41" s="3"/>
      <c r="D41" s="3"/>
      <c r="E41" s="3"/>
      <c r="F41" s="3"/>
      <c r="G41" s="3"/>
      <c r="H41" s="3"/>
    </row>
    <row r="42" spans="1:9" x14ac:dyDescent="0.25">
      <c r="A42" s="3" t="s">
        <v>48</v>
      </c>
      <c r="B42" s="3"/>
      <c r="C42" s="8">
        <v>160420</v>
      </c>
      <c r="D42" s="8">
        <v>276</v>
      </c>
      <c r="E42" s="8">
        <v>53449</v>
      </c>
      <c r="F42" s="8">
        <v>490</v>
      </c>
      <c r="G42" s="8">
        <f>SUM(C42:F42)</f>
        <v>214635</v>
      </c>
      <c r="H42" s="3">
        <f>ROUND(G42/1687,2)</f>
        <v>127.23</v>
      </c>
    </row>
    <row r="43" spans="1:9" x14ac:dyDescent="0.25">
      <c r="A43" s="3" t="s">
        <v>49</v>
      </c>
      <c r="B43" s="3"/>
      <c r="C43" s="8">
        <v>66150</v>
      </c>
      <c r="D43" s="8">
        <v>0</v>
      </c>
      <c r="E43" s="8">
        <v>19740</v>
      </c>
      <c r="F43" s="8">
        <v>0</v>
      </c>
      <c r="G43" s="8">
        <f>SUM(C43:F43)</f>
        <v>85890</v>
      </c>
      <c r="H43" s="3">
        <f>ROUND(G43/1687,2)</f>
        <v>50.91</v>
      </c>
    </row>
    <row r="44" spans="1:9" x14ac:dyDescent="0.25">
      <c r="A44" s="3" t="s">
        <v>50</v>
      </c>
      <c r="B44" s="3"/>
      <c r="C44" s="8">
        <v>0</v>
      </c>
      <c r="D44" s="8">
        <v>0</v>
      </c>
      <c r="E44" s="8">
        <v>6200</v>
      </c>
      <c r="F44" s="8">
        <v>0</v>
      </c>
      <c r="G44" s="8">
        <f>SUM(C44:F44)</f>
        <v>6200</v>
      </c>
      <c r="H44" s="3">
        <f>ROUND(G44/1687,2)</f>
        <v>3.68</v>
      </c>
    </row>
    <row r="46" spans="1:9" x14ac:dyDescent="0.25">
      <c r="A46" s="3"/>
      <c r="B46" s="3"/>
      <c r="C46" s="3" t="s">
        <v>2</v>
      </c>
      <c r="D46" s="3">
        <v>2022</v>
      </c>
      <c r="E46" s="3" t="s">
        <v>51</v>
      </c>
    </row>
    <row r="47" spans="1:9" x14ac:dyDescent="0.25">
      <c r="A47" s="3" t="s">
        <v>52</v>
      </c>
      <c r="B47" s="3"/>
      <c r="C47" s="13">
        <v>0.7792</v>
      </c>
      <c r="D47" s="13">
        <v>0.79149999999999998</v>
      </c>
      <c r="E47" s="13">
        <v>0.77659999999999996</v>
      </c>
    </row>
    <row r="48" spans="1:9" x14ac:dyDescent="0.25">
      <c r="A48" s="3" t="s">
        <v>53</v>
      </c>
      <c r="B48" s="3"/>
      <c r="C48" s="13">
        <v>0.76939999999999997</v>
      </c>
      <c r="D48" s="13">
        <v>0.78</v>
      </c>
      <c r="E48" s="13">
        <v>0.75900000000000001</v>
      </c>
    </row>
    <row r="50" spans="1:7" x14ac:dyDescent="0.25">
      <c r="A50" s="3" t="s">
        <v>256</v>
      </c>
      <c r="B50" s="3"/>
      <c r="C50" s="3" t="s">
        <v>2</v>
      </c>
      <c r="D50" s="3" t="s">
        <v>129</v>
      </c>
      <c r="E50" s="3" t="s">
        <v>55</v>
      </c>
      <c r="F50" s="3" t="s">
        <v>257</v>
      </c>
      <c r="G50" s="3"/>
    </row>
    <row r="51" spans="1:7" x14ac:dyDescent="0.25">
      <c r="A51" s="3" t="s">
        <v>56</v>
      </c>
      <c r="B51" s="3"/>
      <c r="C51" s="3"/>
      <c r="D51" s="3">
        <v>64.709999999999994</v>
      </c>
      <c r="E51" s="3">
        <v>81.5</v>
      </c>
      <c r="F51" s="3">
        <v>50.61</v>
      </c>
      <c r="G51" s="3"/>
    </row>
    <row r="52" spans="1:7" x14ac:dyDescent="0.25">
      <c r="A52" s="3" t="s">
        <v>57</v>
      </c>
      <c r="B52" s="3"/>
      <c r="C52" s="3"/>
      <c r="D52" s="3">
        <v>67.02</v>
      </c>
      <c r="E52" s="3">
        <v>58.24</v>
      </c>
      <c r="F52" s="3">
        <v>57.37</v>
      </c>
      <c r="G52" s="3"/>
    </row>
    <row r="53" spans="1:7" x14ac:dyDescent="0.25">
      <c r="A53" s="3" t="s">
        <v>58</v>
      </c>
      <c r="B53" s="3"/>
      <c r="C53" s="3"/>
      <c r="D53" s="3">
        <v>248.67</v>
      </c>
      <c r="E53" s="3">
        <v>261.52999999999997</v>
      </c>
      <c r="F53" s="3">
        <v>249.57</v>
      </c>
      <c r="G53" s="3"/>
    </row>
    <row r="54" spans="1:7" x14ac:dyDescent="0.25">
      <c r="A54" s="3" t="s">
        <v>59</v>
      </c>
      <c r="B54" s="3"/>
      <c r="C54" s="3"/>
      <c r="D54" s="3">
        <v>84.69</v>
      </c>
      <c r="E54" s="3">
        <v>103.11</v>
      </c>
      <c r="F54" s="3">
        <v>71.400000000000006</v>
      </c>
      <c r="G54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I52"/>
  <sheetViews>
    <sheetView topLeftCell="A27" workbookViewId="0">
      <selection activeCell="G49" sqref="G49:G52"/>
    </sheetView>
  </sheetViews>
  <sheetFormatPr defaultRowHeight="15" x14ac:dyDescent="0.25"/>
  <cols>
    <col min="1" max="1" width="48.28515625" bestFit="1" customWidth="1"/>
    <col min="2" max="2" width="72" bestFit="1" customWidth="1"/>
    <col min="3" max="3" width="12.5703125" bestFit="1" customWidth="1"/>
    <col min="4" max="4" width="27.855468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130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501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11400</v>
      </c>
      <c r="D9" s="10"/>
      <c r="E9" s="10">
        <v>179.15</v>
      </c>
      <c r="F9" s="10">
        <v>100</v>
      </c>
      <c r="G9" s="10">
        <f t="shared" ref="G9:G36" si="0">SUM(C9:F9)</f>
        <v>11679.15</v>
      </c>
      <c r="H9">
        <f t="shared" ref="H9:H36" si="1">ROUND(G9/501,2)</f>
        <v>23.31</v>
      </c>
      <c r="I9" s="14">
        <f t="shared" ref="I9:I36" si="2">ROUND(G9/$G$37,3)</f>
        <v>0.11700000000000001</v>
      </c>
    </row>
    <row r="10" spans="1:9" x14ac:dyDescent="0.25">
      <c r="A10" t="s">
        <v>19</v>
      </c>
      <c r="B10" t="s">
        <v>21</v>
      </c>
      <c r="C10" s="10">
        <v>12630</v>
      </c>
      <c r="D10" s="10"/>
      <c r="E10" s="10"/>
      <c r="F10" s="10"/>
      <c r="G10" s="10">
        <f t="shared" si="0"/>
        <v>12630</v>
      </c>
      <c r="H10">
        <f t="shared" si="1"/>
        <v>25.21</v>
      </c>
      <c r="I10" s="14">
        <f t="shared" si="2"/>
        <v>0.126</v>
      </c>
    </row>
    <row r="11" spans="1:9" x14ac:dyDescent="0.25">
      <c r="A11" t="s">
        <v>19</v>
      </c>
      <c r="B11" t="s">
        <v>131</v>
      </c>
      <c r="C11" s="10"/>
      <c r="D11" s="10"/>
      <c r="E11" s="10"/>
      <c r="F11" s="10">
        <v>217</v>
      </c>
      <c r="G11" s="10">
        <f t="shared" si="0"/>
        <v>217</v>
      </c>
      <c r="H11">
        <f t="shared" si="1"/>
        <v>0.43</v>
      </c>
      <c r="I11" s="14">
        <f t="shared" si="2"/>
        <v>2E-3</v>
      </c>
    </row>
    <row r="12" spans="1:9" x14ac:dyDescent="0.25">
      <c r="A12" t="s">
        <v>19</v>
      </c>
      <c r="B12" t="s">
        <v>23</v>
      </c>
      <c r="C12" s="10"/>
      <c r="D12" s="10"/>
      <c r="E12" s="10">
        <v>3249.33</v>
      </c>
      <c r="F12" s="10"/>
      <c r="G12" s="10">
        <f t="shared" si="0"/>
        <v>3249.33</v>
      </c>
      <c r="H12">
        <f t="shared" si="1"/>
        <v>6.49</v>
      </c>
      <c r="I12" s="14">
        <f t="shared" si="2"/>
        <v>3.2000000000000001E-2</v>
      </c>
    </row>
    <row r="13" spans="1:9" x14ac:dyDescent="0.25">
      <c r="A13" t="s">
        <v>19</v>
      </c>
      <c r="B13" t="s">
        <v>24</v>
      </c>
      <c r="C13" s="10">
        <v>15060</v>
      </c>
      <c r="D13" s="10"/>
      <c r="E13" s="10">
        <v>226.22</v>
      </c>
      <c r="F13" s="10">
        <v>40</v>
      </c>
      <c r="G13" s="10">
        <f t="shared" si="0"/>
        <v>15326.22</v>
      </c>
      <c r="H13">
        <f t="shared" si="1"/>
        <v>30.59</v>
      </c>
      <c r="I13" s="14">
        <f t="shared" si="2"/>
        <v>0.153</v>
      </c>
    </row>
    <row r="14" spans="1:9" x14ac:dyDescent="0.25">
      <c r="A14" t="s">
        <v>19</v>
      </c>
      <c r="B14" t="s">
        <v>25</v>
      </c>
      <c r="C14" s="10">
        <v>13990</v>
      </c>
      <c r="D14" s="10"/>
      <c r="E14" s="10"/>
      <c r="F14" s="10"/>
      <c r="G14" s="10">
        <f t="shared" si="0"/>
        <v>13990</v>
      </c>
      <c r="H14">
        <f t="shared" si="1"/>
        <v>27.92</v>
      </c>
      <c r="I14" s="14">
        <f t="shared" si="2"/>
        <v>0.14000000000000001</v>
      </c>
    </row>
    <row r="15" spans="1:9" x14ac:dyDescent="0.25">
      <c r="A15" t="s">
        <v>19</v>
      </c>
      <c r="B15" t="s">
        <v>29</v>
      </c>
      <c r="C15" s="10"/>
      <c r="D15" s="10"/>
      <c r="E15" s="10">
        <v>354.44</v>
      </c>
      <c r="F15" s="10"/>
      <c r="G15" s="10">
        <f t="shared" si="0"/>
        <v>354.44</v>
      </c>
      <c r="H15">
        <f t="shared" si="1"/>
        <v>0.71</v>
      </c>
      <c r="I15" s="14">
        <f t="shared" si="2"/>
        <v>4.0000000000000001E-3</v>
      </c>
    </row>
    <row r="16" spans="1:9" x14ac:dyDescent="0.25">
      <c r="A16" t="s">
        <v>19</v>
      </c>
      <c r="B16" t="s">
        <v>30</v>
      </c>
      <c r="C16" s="10"/>
      <c r="D16" s="10"/>
      <c r="E16" s="10">
        <v>6.01</v>
      </c>
      <c r="F16" s="10">
        <v>150</v>
      </c>
      <c r="G16" s="10">
        <f t="shared" si="0"/>
        <v>156.01</v>
      </c>
      <c r="H16">
        <f t="shared" si="1"/>
        <v>0.31</v>
      </c>
      <c r="I16" s="14">
        <f t="shared" si="2"/>
        <v>2E-3</v>
      </c>
    </row>
    <row r="17" spans="1:9" x14ac:dyDescent="0.25">
      <c r="A17" t="s">
        <v>19</v>
      </c>
      <c r="B17" t="s">
        <v>34</v>
      </c>
      <c r="C17" s="10"/>
      <c r="D17" s="10"/>
      <c r="E17" s="10">
        <v>393.54</v>
      </c>
      <c r="F17" s="10"/>
      <c r="G17" s="10">
        <f t="shared" si="0"/>
        <v>393.54</v>
      </c>
      <c r="H17">
        <f t="shared" si="1"/>
        <v>0.79</v>
      </c>
      <c r="I17" s="14">
        <f t="shared" si="2"/>
        <v>4.0000000000000001E-3</v>
      </c>
    </row>
    <row r="18" spans="1:9" x14ac:dyDescent="0.25">
      <c r="A18" t="s">
        <v>19</v>
      </c>
      <c r="B18" t="s">
        <v>35</v>
      </c>
      <c r="C18" s="10"/>
      <c r="D18" s="10"/>
      <c r="E18" s="10">
        <v>233.19</v>
      </c>
      <c r="F18" s="10"/>
      <c r="G18" s="10">
        <f t="shared" si="0"/>
        <v>233.19</v>
      </c>
      <c r="H18">
        <f t="shared" si="1"/>
        <v>0.47</v>
      </c>
      <c r="I18" s="14">
        <f t="shared" si="2"/>
        <v>2E-3</v>
      </c>
    </row>
    <row r="19" spans="1:9" x14ac:dyDescent="0.25">
      <c r="A19" t="s">
        <v>19</v>
      </c>
      <c r="B19" t="s">
        <v>36</v>
      </c>
      <c r="C19" s="10"/>
      <c r="D19" s="10"/>
      <c r="E19" s="10">
        <v>2184.09</v>
      </c>
      <c r="F19" s="10"/>
      <c r="G19" s="10">
        <f t="shared" si="0"/>
        <v>2184.09</v>
      </c>
      <c r="H19">
        <f t="shared" si="1"/>
        <v>4.3600000000000003</v>
      </c>
      <c r="I19" s="14">
        <f t="shared" si="2"/>
        <v>2.1999999999999999E-2</v>
      </c>
    </row>
    <row r="20" spans="1:9" x14ac:dyDescent="0.25">
      <c r="A20" t="s">
        <v>19</v>
      </c>
      <c r="B20" t="s">
        <v>38</v>
      </c>
      <c r="C20" s="10"/>
      <c r="D20" s="10"/>
      <c r="E20" s="10">
        <v>1081.93</v>
      </c>
      <c r="F20" s="10"/>
      <c r="G20" s="10">
        <f t="shared" si="0"/>
        <v>1081.93</v>
      </c>
      <c r="H20">
        <f t="shared" si="1"/>
        <v>2.16</v>
      </c>
      <c r="I20" s="14">
        <f t="shared" si="2"/>
        <v>1.0999999999999999E-2</v>
      </c>
    </row>
    <row r="21" spans="1:9" x14ac:dyDescent="0.25">
      <c r="A21" t="s">
        <v>19</v>
      </c>
      <c r="B21" t="s">
        <v>39</v>
      </c>
      <c r="C21" s="10"/>
      <c r="D21" s="10"/>
      <c r="E21" s="10">
        <v>95.73</v>
      </c>
      <c r="F21" s="10"/>
      <c r="G21" s="10">
        <f t="shared" si="0"/>
        <v>95.73</v>
      </c>
      <c r="H21">
        <f t="shared" si="1"/>
        <v>0.19</v>
      </c>
      <c r="I21" s="14">
        <f t="shared" si="2"/>
        <v>1E-3</v>
      </c>
    </row>
    <row r="22" spans="1:9" x14ac:dyDescent="0.25">
      <c r="A22" t="s">
        <v>19</v>
      </c>
      <c r="B22" t="s">
        <v>132</v>
      </c>
      <c r="C22" s="10"/>
      <c r="D22" s="10"/>
      <c r="E22" s="10"/>
      <c r="F22" s="10"/>
      <c r="G22" s="10">
        <f t="shared" si="0"/>
        <v>0</v>
      </c>
      <c r="H22">
        <f t="shared" si="1"/>
        <v>0</v>
      </c>
      <c r="I22" s="14">
        <f t="shared" si="2"/>
        <v>0</v>
      </c>
    </row>
    <row r="23" spans="1:9" x14ac:dyDescent="0.25">
      <c r="A23" t="s">
        <v>19</v>
      </c>
      <c r="B23" t="s">
        <v>33</v>
      </c>
      <c r="C23" s="10"/>
      <c r="D23" s="10"/>
      <c r="E23" s="10"/>
      <c r="F23" s="10"/>
      <c r="G23" s="10">
        <f t="shared" si="0"/>
        <v>0</v>
      </c>
      <c r="H23">
        <f t="shared" si="1"/>
        <v>0</v>
      </c>
      <c r="I23" s="14">
        <f t="shared" si="2"/>
        <v>0</v>
      </c>
    </row>
    <row r="24" spans="1:9" x14ac:dyDescent="0.25">
      <c r="A24" t="s">
        <v>19</v>
      </c>
      <c r="B24" t="s">
        <v>28</v>
      </c>
      <c r="C24" s="10"/>
      <c r="D24" s="10"/>
      <c r="E24" s="10"/>
      <c r="F24" s="10"/>
      <c r="G24" s="10">
        <f t="shared" si="0"/>
        <v>0</v>
      </c>
      <c r="H24">
        <f t="shared" si="1"/>
        <v>0</v>
      </c>
      <c r="I24" s="14">
        <f t="shared" si="2"/>
        <v>0</v>
      </c>
    </row>
    <row r="25" spans="1:9" x14ac:dyDescent="0.25">
      <c r="A25" t="s">
        <v>19</v>
      </c>
      <c r="B25" t="s">
        <v>71</v>
      </c>
      <c r="C25" s="10"/>
      <c r="D25" s="10"/>
      <c r="E25" s="10"/>
      <c r="F25" s="10"/>
      <c r="G25" s="10">
        <f t="shared" si="0"/>
        <v>0</v>
      </c>
      <c r="H25">
        <f t="shared" si="1"/>
        <v>0</v>
      </c>
      <c r="I25" s="14">
        <f t="shared" si="2"/>
        <v>0</v>
      </c>
    </row>
    <row r="26" spans="1:9" x14ac:dyDescent="0.25">
      <c r="A26" t="s">
        <v>19</v>
      </c>
      <c r="B26" t="s">
        <v>133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 s="14">
        <f t="shared" si="2"/>
        <v>0</v>
      </c>
    </row>
    <row r="27" spans="1:9" x14ac:dyDescent="0.25">
      <c r="A27" t="s">
        <v>19</v>
      </c>
      <c r="B27" t="s">
        <v>41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22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31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19</v>
      </c>
      <c r="B30" t="s">
        <v>32</v>
      </c>
      <c r="C30" s="10"/>
      <c r="D30" s="10"/>
      <c r="E30" s="10"/>
      <c r="F30" s="10"/>
      <c r="G30" s="10">
        <f t="shared" si="0"/>
        <v>0</v>
      </c>
      <c r="H30">
        <f t="shared" si="1"/>
        <v>0</v>
      </c>
      <c r="I30" s="14">
        <f t="shared" si="2"/>
        <v>0</v>
      </c>
    </row>
    <row r="31" spans="1:9" x14ac:dyDescent="0.25">
      <c r="A31" t="s">
        <v>19</v>
      </c>
      <c r="B31" t="s">
        <v>42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37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43</v>
      </c>
      <c r="B33" t="s">
        <v>44</v>
      </c>
      <c r="C33" s="10">
        <v>36940</v>
      </c>
      <c r="D33" s="10"/>
      <c r="E33" s="10"/>
      <c r="F33" s="10">
        <v>100</v>
      </c>
      <c r="G33" s="10">
        <f t="shared" si="0"/>
        <v>37040</v>
      </c>
      <c r="H33">
        <f t="shared" si="1"/>
        <v>73.930000000000007</v>
      </c>
      <c r="I33" s="14">
        <f t="shared" si="2"/>
        <v>0.37</v>
      </c>
    </row>
    <row r="34" spans="1:9" x14ac:dyDescent="0.25">
      <c r="A34" t="s">
        <v>43</v>
      </c>
      <c r="B34" t="s">
        <v>45</v>
      </c>
      <c r="C34" s="10"/>
      <c r="D34" s="10"/>
      <c r="E34" s="10">
        <v>1604.15</v>
      </c>
      <c r="F34" s="10"/>
      <c r="G34" s="10">
        <f t="shared" si="0"/>
        <v>1604.15</v>
      </c>
      <c r="H34">
        <f t="shared" si="1"/>
        <v>3.2</v>
      </c>
      <c r="I34" s="14">
        <f t="shared" si="2"/>
        <v>1.6E-2</v>
      </c>
    </row>
    <row r="35" spans="1:9" x14ac:dyDescent="0.25">
      <c r="A35" t="s">
        <v>43</v>
      </c>
      <c r="B35" t="s">
        <v>46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15</v>
      </c>
      <c r="B36" t="s">
        <v>18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s="3" t="s">
        <v>253</v>
      </c>
      <c r="B37" s="3"/>
      <c r="C37" s="8">
        <f t="shared" ref="C37:H37" si="3">SUM(C8:C36)</f>
        <v>90020</v>
      </c>
      <c r="D37" s="8">
        <f t="shared" si="3"/>
        <v>0</v>
      </c>
      <c r="E37" s="8">
        <f t="shared" si="3"/>
        <v>9607.7800000000007</v>
      </c>
      <c r="F37" s="8">
        <f t="shared" si="3"/>
        <v>607</v>
      </c>
      <c r="G37" s="8">
        <f t="shared" si="3"/>
        <v>100234.78000000001</v>
      </c>
      <c r="H37" s="3">
        <f t="shared" si="3"/>
        <v>200.07</v>
      </c>
    </row>
    <row r="38" spans="1:9" x14ac:dyDescent="0.25">
      <c r="A38" s="3" t="s">
        <v>14</v>
      </c>
      <c r="B38" s="3"/>
      <c r="C38" s="13">
        <f>ROUND(C37/G37,2)</f>
        <v>0.9</v>
      </c>
      <c r="D38" s="13">
        <f>ROUND(D37/G37,2)</f>
        <v>0</v>
      </c>
      <c r="E38" s="13">
        <f>ROUND(E37/G37,2)</f>
        <v>0.1</v>
      </c>
      <c r="F38" s="13">
        <f>ROUND(F37/G37,2)</f>
        <v>0.01</v>
      </c>
      <c r="G38" s="3"/>
      <c r="H38" s="3"/>
    </row>
    <row r="39" spans="1:9" x14ac:dyDescent="0.25">
      <c r="A39" s="3" t="s">
        <v>47</v>
      </c>
      <c r="B39" s="3"/>
      <c r="C39" s="3"/>
      <c r="D39" s="3"/>
      <c r="E39" s="3"/>
      <c r="F39" s="3"/>
      <c r="G39" s="3"/>
      <c r="H39" s="3"/>
    </row>
    <row r="40" spans="1:9" x14ac:dyDescent="0.25">
      <c r="A40" s="3" t="s">
        <v>48</v>
      </c>
      <c r="B40" s="3"/>
      <c r="C40" s="8">
        <v>53080</v>
      </c>
      <c r="D40" s="8">
        <v>0</v>
      </c>
      <c r="E40" s="8">
        <v>8003.63</v>
      </c>
      <c r="F40" s="8">
        <v>507</v>
      </c>
      <c r="G40" s="8">
        <f>SUM(C40:F40)</f>
        <v>61590.63</v>
      </c>
      <c r="H40" s="3">
        <f>ROUND(G40/501,2)</f>
        <v>122.94</v>
      </c>
    </row>
    <row r="41" spans="1:9" x14ac:dyDescent="0.25">
      <c r="A41" s="3" t="s">
        <v>49</v>
      </c>
      <c r="B41" s="3"/>
      <c r="C41" s="8">
        <v>36940</v>
      </c>
      <c r="D41" s="8">
        <v>0</v>
      </c>
      <c r="E41" s="8">
        <v>1604.15</v>
      </c>
      <c r="F41" s="8">
        <v>100</v>
      </c>
      <c r="G41" s="8">
        <f>SUM(C41:F41)</f>
        <v>38644.15</v>
      </c>
      <c r="H41" s="3">
        <f>ROUND(G41/501,2)</f>
        <v>77.13</v>
      </c>
    </row>
    <row r="42" spans="1:9" x14ac:dyDescent="0.25">
      <c r="A42" s="3" t="s">
        <v>50</v>
      </c>
      <c r="B42" s="3"/>
      <c r="C42" s="8">
        <v>0</v>
      </c>
      <c r="D42" s="8">
        <v>0</v>
      </c>
      <c r="E42" s="8">
        <v>0</v>
      </c>
      <c r="F42" s="8">
        <v>0</v>
      </c>
      <c r="G42" s="8">
        <f>SUM(C42:F42)</f>
        <v>0</v>
      </c>
      <c r="H42" s="3">
        <f>ROUND(G42/501,2)</f>
        <v>0</v>
      </c>
    </row>
    <row r="44" spans="1:9" x14ac:dyDescent="0.25">
      <c r="A44" s="3"/>
      <c r="B44" s="3"/>
      <c r="C44" s="3" t="s">
        <v>2</v>
      </c>
      <c r="D44" s="3">
        <v>2022</v>
      </c>
      <c r="E44" s="3" t="s">
        <v>51</v>
      </c>
    </row>
    <row r="45" spans="1:9" x14ac:dyDescent="0.25">
      <c r="A45" s="3" t="s">
        <v>52</v>
      </c>
      <c r="B45" s="3"/>
      <c r="C45" s="12">
        <v>0.61809999999999998</v>
      </c>
      <c r="D45" s="12">
        <v>0.66349999999999998</v>
      </c>
      <c r="E45" s="12">
        <v>0.77659999999999996</v>
      </c>
    </row>
    <row r="46" spans="1:9" x14ac:dyDescent="0.25">
      <c r="A46" s="3" t="s">
        <v>53</v>
      </c>
      <c r="B46" s="3"/>
      <c r="C46" s="12">
        <v>0.61809999999999998</v>
      </c>
      <c r="D46" s="12">
        <v>0.62690000000000001</v>
      </c>
      <c r="E46" s="12">
        <v>0.75900000000000001</v>
      </c>
    </row>
    <row r="48" spans="1:9" x14ac:dyDescent="0.25">
      <c r="A48" s="3" t="s">
        <v>256</v>
      </c>
      <c r="B48" s="3"/>
      <c r="C48" s="3" t="s">
        <v>2</v>
      </c>
      <c r="D48" s="3" t="s">
        <v>134</v>
      </c>
      <c r="E48" s="3" t="s">
        <v>55</v>
      </c>
      <c r="F48" s="3" t="s">
        <v>254</v>
      </c>
      <c r="G48" s="3"/>
    </row>
    <row r="49" spans="1:7" x14ac:dyDescent="0.25">
      <c r="A49" s="3" t="s">
        <v>56</v>
      </c>
      <c r="B49" s="3"/>
      <c r="C49" s="3"/>
      <c r="D49" s="3">
        <v>115.69</v>
      </c>
      <c r="E49" s="3">
        <v>81.5</v>
      </c>
      <c r="F49" s="3">
        <v>50.61</v>
      </c>
      <c r="G49" s="3"/>
    </row>
    <row r="50" spans="1:7" x14ac:dyDescent="0.25">
      <c r="A50" s="3" t="s">
        <v>57</v>
      </c>
      <c r="B50" s="3"/>
      <c r="C50" s="3"/>
      <c r="D50" s="3">
        <v>59.6</v>
      </c>
      <c r="E50" s="3">
        <v>58.24</v>
      </c>
      <c r="F50" s="3">
        <v>57.37</v>
      </c>
      <c r="G50" s="3"/>
    </row>
    <row r="51" spans="1:7" x14ac:dyDescent="0.25">
      <c r="A51" s="3" t="s">
        <v>58</v>
      </c>
      <c r="B51" s="3"/>
      <c r="C51" s="3"/>
      <c r="D51" s="3">
        <v>234.62</v>
      </c>
      <c r="E51" s="3">
        <v>261.52999999999997</v>
      </c>
      <c r="F51" s="3">
        <v>249.57</v>
      </c>
      <c r="G51" s="3"/>
    </row>
    <row r="52" spans="1:7" x14ac:dyDescent="0.25">
      <c r="A52" s="3" t="s">
        <v>59</v>
      </c>
      <c r="B52" s="3"/>
      <c r="C52" s="3"/>
      <c r="D52" s="3">
        <v>120.46</v>
      </c>
      <c r="E52" s="3">
        <v>103.11</v>
      </c>
      <c r="F52" s="3">
        <v>71.400000000000006</v>
      </c>
      <c r="G5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I54"/>
  <sheetViews>
    <sheetView topLeftCell="A33" workbookViewId="0">
      <selection activeCell="G51" sqref="G51:G54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8.5703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135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921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30</v>
      </c>
      <c r="F9" s="10"/>
      <c r="G9" s="10">
        <f t="shared" ref="G9:G38" si="0">SUM(C9:F9)</f>
        <v>30</v>
      </c>
      <c r="H9">
        <f t="shared" ref="H9:H38" si="1">ROUND(G9/921,2)</f>
        <v>0.03</v>
      </c>
      <c r="I9" s="14">
        <f t="shared" ref="I9:I38" si="2">ROUND(G9/$G$39,3)</f>
        <v>0</v>
      </c>
    </row>
    <row r="10" spans="1:9" x14ac:dyDescent="0.25">
      <c r="A10" t="s">
        <v>19</v>
      </c>
      <c r="B10" t="s">
        <v>20</v>
      </c>
      <c r="C10" s="10">
        <v>21590</v>
      </c>
      <c r="D10" s="10"/>
      <c r="E10" s="10">
        <v>4081.55</v>
      </c>
      <c r="F10" s="10"/>
      <c r="G10" s="10">
        <f t="shared" si="0"/>
        <v>25671.55</v>
      </c>
      <c r="H10">
        <f t="shared" si="1"/>
        <v>27.87</v>
      </c>
      <c r="I10" s="14">
        <f t="shared" si="2"/>
        <v>7.8E-2</v>
      </c>
    </row>
    <row r="11" spans="1:9" x14ac:dyDescent="0.25">
      <c r="A11" t="s">
        <v>19</v>
      </c>
      <c r="B11" t="s">
        <v>21</v>
      </c>
      <c r="C11" s="10">
        <v>34845</v>
      </c>
      <c r="D11" s="10"/>
      <c r="E11" s="10">
        <v>3366.32</v>
      </c>
      <c r="F11" s="10"/>
      <c r="G11" s="10">
        <f t="shared" si="0"/>
        <v>38211.32</v>
      </c>
      <c r="H11">
        <f t="shared" si="1"/>
        <v>41.49</v>
      </c>
      <c r="I11" s="14">
        <f t="shared" si="2"/>
        <v>0.11600000000000001</v>
      </c>
    </row>
    <row r="12" spans="1:9" x14ac:dyDescent="0.25">
      <c r="A12" t="s">
        <v>19</v>
      </c>
      <c r="B12" t="s">
        <v>22</v>
      </c>
      <c r="C12" s="10"/>
      <c r="D12" s="10"/>
      <c r="E12" s="10">
        <v>1120</v>
      </c>
      <c r="F12" s="10"/>
      <c r="G12" s="10">
        <f t="shared" si="0"/>
        <v>1120</v>
      </c>
      <c r="H12">
        <f t="shared" si="1"/>
        <v>1.22</v>
      </c>
      <c r="I12" s="14">
        <f t="shared" si="2"/>
        <v>3.0000000000000001E-3</v>
      </c>
    </row>
    <row r="13" spans="1:9" x14ac:dyDescent="0.25">
      <c r="A13" t="s">
        <v>19</v>
      </c>
      <c r="B13" t="s">
        <v>23</v>
      </c>
      <c r="C13" s="10"/>
      <c r="D13" s="10"/>
      <c r="E13" s="10">
        <v>45540.73</v>
      </c>
      <c r="F13" s="10"/>
      <c r="G13" s="10">
        <f t="shared" si="0"/>
        <v>45540.73</v>
      </c>
      <c r="H13">
        <f t="shared" si="1"/>
        <v>49.45</v>
      </c>
      <c r="I13" s="14">
        <f t="shared" si="2"/>
        <v>0.13900000000000001</v>
      </c>
    </row>
    <row r="14" spans="1:9" x14ac:dyDescent="0.25">
      <c r="A14" t="s">
        <v>19</v>
      </c>
      <c r="B14" t="s">
        <v>24</v>
      </c>
      <c r="C14" s="10">
        <v>23630</v>
      </c>
      <c r="D14" s="10"/>
      <c r="E14" s="10">
        <v>8052.43</v>
      </c>
      <c r="F14" s="10"/>
      <c r="G14" s="10">
        <f t="shared" si="0"/>
        <v>31682.43</v>
      </c>
      <c r="H14">
        <f t="shared" si="1"/>
        <v>34.4</v>
      </c>
      <c r="I14" s="14">
        <f t="shared" si="2"/>
        <v>9.6000000000000002E-2</v>
      </c>
    </row>
    <row r="15" spans="1:9" x14ac:dyDescent="0.25">
      <c r="A15" t="s">
        <v>19</v>
      </c>
      <c r="B15" t="s">
        <v>66</v>
      </c>
      <c r="C15" s="10"/>
      <c r="D15" s="10"/>
      <c r="E15" s="10">
        <v>2730</v>
      </c>
      <c r="F15" s="10"/>
      <c r="G15" s="10">
        <f t="shared" si="0"/>
        <v>2730</v>
      </c>
      <c r="H15">
        <f t="shared" si="1"/>
        <v>2.96</v>
      </c>
      <c r="I15" s="14">
        <f t="shared" si="2"/>
        <v>8.0000000000000002E-3</v>
      </c>
    </row>
    <row r="16" spans="1:9" x14ac:dyDescent="0.25">
      <c r="A16" t="s">
        <v>19</v>
      </c>
      <c r="B16" t="s">
        <v>25</v>
      </c>
      <c r="C16" s="10">
        <v>28010</v>
      </c>
      <c r="D16" s="10"/>
      <c r="E16" s="10"/>
      <c r="F16" s="10"/>
      <c r="G16" s="10">
        <f t="shared" si="0"/>
        <v>28010</v>
      </c>
      <c r="H16">
        <f t="shared" si="1"/>
        <v>30.41</v>
      </c>
      <c r="I16" s="14">
        <f t="shared" si="2"/>
        <v>8.5000000000000006E-2</v>
      </c>
    </row>
    <row r="17" spans="1:9" x14ac:dyDescent="0.25">
      <c r="A17" t="s">
        <v>19</v>
      </c>
      <c r="B17" t="s">
        <v>26</v>
      </c>
      <c r="C17" s="10"/>
      <c r="D17" s="10"/>
      <c r="E17" s="10">
        <v>206</v>
      </c>
      <c r="F17" s="10"/>
      <c r="G17" s="10">
        <f t="shared" si="0"/>
        <v>206</v>
      </c>
      <c r="H17">
        <f t="shared" si="1"/>
        <v>0.22</v>
      </c>
      <c r="I17" s="14">
        <f t="shared" si="2"/>
        <v>1E-3</v>
      </c>
    </row>
    <row r="18" spans="1:9" x14ac:dyDescent="0.25">
      <c r="A18" t="s">
        <v>19</v>
      </c>
      <c r="B18" t="s">
        <v>27</v>
      </c>
      <c r="C18" s="10"/>
      <c r="D18" s="10"/>
      <c r="E18" s="10">
        <v>332</v>
      </c>
      <c r="F18" s="10"/>
      <c r="G18" s="10">
        <f t="shared" si="0"/>
        <v>332</v>
      </c>
      <c r="H18">
        <f t="shared" si="1"/>
        <v>0.36</v>
      </c>
      <c r="I18" s="14">
        <f t="shared" si="2"/>
        <v>1E-3</v>
      </c>
    </row>
    <row r="19" spans="1:9" x14ac:dyDescent="0.25">
      <c r="A19" t="s">
        <v>19</v>
      </c>
      <c r="B19" t="s">
        <v>29</v>
      </c>
      <c r="C19" s="10"/>
      <c r="D19" s="10"/>
      <c r="E19" s="10">
        <v>2100</v>
      </c>
      <c r="F19" s="10"/>
      <c r="G19" s="10">
        <f t="shared" si="0"/>
        <v>2100</v>
      </c>
      <c r="H19">
        <f t="shared" si="1"/>
        <v>2.2799999999999998</v>
      </c>
      <c r="I19" s="14">
        <f t="shared" si="2"/>
        <v>6.0000000000000001E-3</v>
      </c>
    </row>
    <row r="20" spans="1:9" x14ac:dyDescent="0.25">
      <c r="A20" t="s">
        <v>19</v>
      </c>
      <c r="B20" t="s">
        <v>30</v>
      </c>
      <c r="C20" s="10"/>
      <c r="D20" s="10"/>
      <c r="E20" s="10">
        <v>200</v>
      </c>
      <c r="F20" s="10"/>
      <c r="G20" s="10">
        <f t="shared" si="0"/>
        <v>200</v>
      </c>
      <c r="H20">
        <f t="shared" si="1"/>
        <v>0.22</v>
      </c>
      <c r="I20" s="14">
        <f t="shared" si="2"/>
        <v>1E-3</v>
      </c>
    </row>
    <row r="21" spans="1:9" x14ac:dyDescent="0.25">
      <c r="A21" t="s">
        <v>19</v>
      </c>
      <c r="B21" t="s">
        <v>34</v>
      </c>
      <c r="C21" s="10"/>
      <c r="D21" s="10"/>
      <c r="E21" s="10">
        <v>988.89</v>
      </c>
      <c r="F21" s="10"/>
      <c r="G21" s="10">
        <f t="shared" si="0"/>
        <v>988.89</v>
      </c>
      <c r="H21">
        <f t="shared" si="1"/>
        <v>1.07</v>
      </c>
      <c r="I21" s="14">
        <f t="shared" si="2"/>
        <v>3.0000000000000001E-3</v>
      </c>
    </row>
    <row r="22" spans="1:9" x14ac:dyDescent="0.25">
      <c r="A22" t="s">
        <v>19</v>
      </c>
      <c r="B22" t="s">
        <v>40</v>
      </c>
      <c r="C22" s="10"/>
      <c r="D22" s="10"/>
      <c r="E22" s="10">
        <v>7580</v>
      </c>
      <c r="F22" s="10"/>
      <c r="G22" s="10">
        <f t="shared" si="0"/>
        <v>7580</v>
      </c>
      <c r="H22">
        <f t="shared" si="1"/>
        <v>8.23</v>
      </c>
      <c r="I22" s="14">
        <f t="shared" si="2"/>
        <v>2.3E-2</v>
      </c>
    </row>
    <row r="23" spans="1:9" x14ac:dyDescent="0.25">
      <c r="A23" t="s">
        <v>19</v>
      </c>
      <c r="B23" t="s">
        <v>36</v>
      </c>
      <c r="C23" s="10"/>
      <c r="D23" s="10"/>
      <c r="E23" s="10">
        <v>19480.84</v>
      </c>
      <c r="F23" s="10"/>
      <c r="G23" s="10">
        <f t="shared" si="0"/>
        <v>19480.84</v>
      </c>
      <c r="H23">
        <f t="shared" si="1"/>
        <v>21.15</v>
      </c>
      <c r="I23" s="14">
        <f t="shared" si="2"/>
        <v>5.8999999999999997E-2</v>
      </c>
    </row>
    <row r="24" spans="1:9" x14ac:dyDescent="0.25">
      <c r="A24" t="s">
        <v>19</v>
      </c>
      <c r="B24" t="s">
        <v>38</v>
      </c>
      <c r="C24" s="10"/>
      <c r="D24" s="10"/>
      <c r="E24" s="10">
        <v>7639.54</v>
      </c>
      <c r="F24" s="10"/>
      <c r="G24" s="10">
        <f t="shared" si="0"/>
        <v>7639.54</v>
      </c>
      <c r="H24">
        <f t="shared" si="1"/>
        <v>8.2899999999999991</v>
      </c>
      <c r="I24" s="14">
        <f t="shared" si="2"/>
        <v>2.3E-2</v>
      </c>
    </row>
    <row r="25" spans="1:9" x14ac:dyDescent="0.25">
      <c r="A25" t="s">
        <v>19</v>
      </c>
      <c r="B25" t="s">
        <v>39</v>
      </c>
      <c r="C25" s="10"/>
      <c r="D25" s="10"/>
      <c r="E25" s="10">
        <v>3853.91</v>
      </c>
      <c r="F25" s="10"/>
      <c r="G25" s="10">
        <f t="shared" si="0"/>
        <v>3853.91</v>
      </c>
      <c r="H25">
        <f t="shared" si="1"/>
        <v>4.18</v>
      </c>
      <c r="I25" s="14">
        <f t="shared" si="2"/>
        <v>1.2E-2</v>
      </c>
    </row>
    <row r="26" spans="1:9" x14ac:dyDescent="0.25">
      <c r="A26" t="s">
        <v>19</v>
      </c>
      <c r="B26" t="s">
        <v>28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 s="14">
        <f t="shared" si="2"/>
        <v>0</v>
      </c>
    </row>
    <row r="27" spans="1:9" x14ac:dyDescent="0.25">
      <c r="A27" t="s">
        <v>19</v>
      </c>
      <c r="B27" t="s">
        <v>67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33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35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19</v>
      </c>
      <c r="B30" t="s">
        <v>32</v>
      </c>
      <c r="C30" s="10"/>
      <c r="D30" s="10"/>
      <c r="E30" s="10"/>
      <c r="F30" s="10"/>
      <c r="G30" s="10">
        <f t="shared" si="0"/>
        <v>0</v>
      </c>
      <c r="H30">
        <f t="shared" si="1"/>
        <v>0</v>
      </c>
      <c r="I30" s="14">
        <f t="shared" si="2"/>
        <v>0</v>
      </c>
    </row>
    <row r="31" spans="1:9" x14ac:dyDescent="0.25">
      <c r="A31" t="s">
        <v>19</v>
      </c>
      <c r="B31" t="s">
        <v>41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31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19</v>
      </c>
      <c r="B33" t="s">
        <v>42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19</v>
      </c>
      <c r="B34" t="s">
        <v>37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43</v>
      </c>
      <c r="B35" t="s">
        <v>44</v>
      </c>
      <c r="C35" s="10">
        <v>96100</v>
      </c>
      <c r="D35" s="10"/>
      <c r="E35" s="10"/>
      <c r="F35" s="10"/>
      <c r="G35" s="10">
        <f t="shared" si="0"/>
        <v>96100</v>
      </c>
      <c r="H35">
        <f t="shared" si="1"/>
        <v>104.34</v>
      </c>
      <c r="I35" s="14">
        <f t="shared" si="2"/>
        <v>0.29199999999999998</v>
      </c>
    </row>
    <row r="36" spans="1:9" x14ac:dyDescent="0.25">
      <c r="A36" t="s">
        <v>43</v>
      </c>
      <c r="B36" t="s">
        <v>45</v>
      </c>
      <c r="C36" s="10"/>
      <c r="D36" s="10"/>
      <c r="E36" s="10">
        <v>17142.48</v>
      </c>
      <c r="F36" s="10"/>
      <c r="G36" s="10">
        <f t="shared" si="0"/>
        <v>17142.48</v>
      </c>
      <c r="H36">
        <f t="shared" si="1"/>
        <v>18.61</v>
      </c>
      <c r="I36" s="14">
        <f t="shared" si="2"/>
        <v>5.1999999999999998E-2</v>
      </c>
    </row>
    <row r="37" spans="1:9" x14ac:dyDescent="0.25">
      <c r="A37" t="s">
        <v>43</v>
      </c>
      <c r="B37" t="s">
        <v>46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t="s">
        <v>15</v>
      </c>
      <c r="B38" t="s">
        <v>18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s="3" t="s">
        <v>253</v>
      </c>
      <c r="B39" s="3"/>
      <c r="C39" s="8">
        <f t="shared" ref="C39:H39" si="3">SUM(C8:C38)</f>
        <v>204175</v>
      </c>
      <c r="D39" s="8">
        <f t="shared" si="3"/>
        <v>0</v>
      </c>
      <c r="E39" s="8">
        <f t="shared" si="3"/>
        <v>124444.68999999999</v>
      </c>
      <c r="F39" s="8">
        <f t="shared" si="3"/>
        <v>0</v>
      </c>
      <c r="G39" s="8">
        <f t="shared" si="3"/>
        <v>328619.69</v>
      </c>
      <c r="H39" s="3">
        <f t="shared" si="3"/>
        <v>356.78000000000003</v>
      </c>
    </row>
    <row r="40" spans="1:9" x14ac:dyDescent="0.25">
      <c r="A40" s="3" t="s">
        <v>14</v>
      </c>
      <c r="B40" s="3"/>
      <c r="C40" s="13">
        <f>ROUND(C39/G39,2)</f>
        <v>0.62</v>
      </c>
      <c r="D40" s="13">
        <f>ROUND(D39/G39,2)</f>
        <v>0</v>
      </c>
      <c r="E40" s="13">
        <f>ROUND(E39/G39,2)</f>
        <v>0.38</v>
      </c>
      <c r="F40" s="13">
        <f>ROUND(F39/G39,2)</f>
        <v>0</v>
      </c>
      <c r="G40" s="3"/>
      <c r="H40" s="3"/>
    </row>
    <row r="41" spans="1:9" x14ac:dyDescent="0.25">
      <c r="A41" s="3" t="s">
        <v>47</v>
      </c>
      <c r="B41" s="3"/>
      <c r="C41" s="3"/>
      <c r="D41" s="3"/>
      <c r="E41" s="3"/>
      <c r="F41" s="3"/>
      <c r="G41" s="3"/>
      <c r="H41" s="3"/>
    </row>
    <row r="42" spans="1:9" x14ac:dyDescent="0.25">
      <c r="A42" s="3" t="s">
        <v>48</v>
      </c>
      <c r="B42" s="3"/>
      <c r="C42" s="8">
        <v>108075</v>
      </c>
      <c r="D42" s="8">
        <v>0</v>
      </c>
      <c r="E42" s="8">
        <v>107302.21</v>
      </c>
      <c r="F42" s="8">
        <v>0</v>
      </c>
      <c r="G42" s="8">
        <f>SUM(C42:F42)</f>
        <v>215377.21000000002</v>
      </c>
      <c r="H42" s="3">
        <f>ROUND(G42/921,2)</f>
        <v>233.85</v>
      </c>
    </row>
    <row r="43" spans="1:9" x14ac:dyDescent="0.25">
      <c r="A43" s="3" t="s">
        <v>49</v>
      </c>
      <c r="B43" s="3"/>
      <c r="C43" s="8">
        <v>96100</v>
      </c>
      <c r="D43" s="8">
        <v>0</v>
      </c>
      <c r="E43" s="8">
        <v>17142.48</v>
      </c>
      <c r="F43" s="8">
        <v>0</v>
      </c>
      <c r="G43" s="8">
        <f>SUM(C43:F43)</f>
        <v>113242.48</v>
      </c>
      <c r="H43" s="3">
        <f>ROUND(G43/921,2)</f>
        <v>122.96</v>
      </c>
    </row>
    <row r="44" spans="1:9" x14ac:dyDescent="0.25">
      <c r="A44" s="3" t="s">
        <v>50</v>
      </c>
      <c r="B44" s="3"/>
      <c r="C44" s="8">
        <v>0</v>
      </c>
      <c r="D44" s="8">
        <v>0</v>
      </c>
      <c r="E44" s="8">
        <v>0</v>
      </c>
      <c r="F44" s="8">
        <v>0</v>
      </c>
      <c r="G44" s="8">
        <f>SUM(C44:F44)</f>
        <v>0</v>
      </c>
      <c r="H44" s="3">
        <f>ROUND(G44/921,2)</f>
        <v>0</v>
      </c>
    </row>
    <row r="46" spans="1:9" x14ac:dyDescent="0.25">
      <c r="A46" s="3"/>
      <c r="B46" s="3"/>
      <c r="C46" s="3" t="s">
        <v>2</v>
      </c>
      <c r="D46" s="3">
        <v>2022</v>
      </c>
      <c r="E46" s="3" t="s">
        <v>51</v>
      </c>
    </row>
    <row r="47" spans="1:9" x14ac:dyDescent="0.25">
      <c r="A47" s="3" t="s">
        <v>52</v>
      </c>
      <c r="B47" s="3"/>
      <c r="C47" s="13">
        <v>0.65920000000000001</v>
      </c>
      <c r="D47" s="13">
        <v>0.74139999999999995</v>
      </c>
      <c r="E47" s="13">
        <v>0.77659999999999996</v>
      </c>
    </row>
    <row r="48" spans="1:9" x14ac:dyDescent="0.25">
      <c r="A48" s="3" t="s">
        <v>53</v>
      </c>
      <c r="B48" s="3"/>
      <c r="C48" s="13">
        <v>0.65920000000000001</v>
      </c>
      <c r="D48" s="13">
        <v>0.70960000000000001</v>
      </c>
      <c r="E48" s="13">
        <v>0.75900000000000001</v>
      </c>
    </row>
    <row r="50" spans="1:7" x14ac:dyDescent="0.25">
      <c r="A50" s="3" t="s">
        <v>256</v>
      </c>
      <c r="B50" s="3"/>
      <c r="C50" s="3" t="s">
        <v>2</v>
      </c>
      <c r="D50" s="3" t="s">
        <v>136</v>
      </c>
      <c r="E50" s="3" t="s">
        <v>55</v>
      </c>
      <c r="F50" s="3" t="s">
        <v>254</v>
      </c>
      <c r="G50" s="3"/>
    </row>
    <row r="51" spans="1:7" x14ac:dyDescent="0.25">
      <c r="A51" s="3" t="s">
        <v>56</v>
      </c>
      <c r="B51" s="3"/>
      <c r="C51" s="3"/>
      <c r="D51" s="3">
        <v>135.93</v>
      </c>
      <c r="E51" s="3">
        <v>81.5</v>
      </c>
      <c r="F51" s="3">
        <v>50.61</v>
      </c>
      <c r="G51" s="3"/>
    </row>
    <row r="52" spans="1:7" x14ac:dyDescent="0.25">
      <c r="A52" s="3" t="s">
        <v>57</v>
      </c>
      <c r="B52" s="3"/>
      <c r="C52" s="3"/>
      <c r="D52" s="3">
        <v>73.16</v>
      </c>
      <c r="E52" s="3">
        <v>58.24</v>
      </c>
      <c r="F52" s="3">
        <v>57.37</v>
      </c>
      <c r="G52" s="3"/>
    </row>
    <row r="53" spans="1:7" x14ac:dyDescent="0.25">
      <c r="A53" s="3" t="s">
        <v>58</v>
      </c>
      <c r="B53" s="3"/>
      <c r="C53" s="3"/>
      <c r="D53" s="3">
        <v>449.15</v>
      </c>
      <c r="E53" s="3">
        <v>261.52999999999997</v>
      </c>
      <c r="F53" s="3">
        <v>249.57</v>
      </c>
      <c r="G53" s="3"/>
    </row>
    <row r="54" spans="1:7" x14ac:dyDescent="0.25">
      <c r="A54" s="3" t="s">
        <v>59</v>
      </c>
      <c r="B54" s="3"/>
      <c r="C54" s="3"/>
      <c r="D54" s="3">
        <v>195.85</v>
      </c>
      <c r="E54" s="3">
        <v>103.11</v>
      </c>
      <c r="F54" s="3">
        <v>71.400000000000006</v>
      </c>
      <c r="G54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I48"/>
  <sheetViews>
    <sheetView topLeftCell="A18" workbookViewId="0">
      <selection activeCell="G45" sqref="G45:G48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8.42578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137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548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8540</v>
      </c>
      <c r="D9" s="10"/>
      <c r="E9" s="10">
        <v>378.45</v>
      </c>
      <c r="F9" s="10"/>
      <c r="G9" s="10">
        <f t="shared" ref="G9:G32" si="0">SUM(C9:F9)</f>
        <v>8918.4500000000007</v>
      </c>
      <c r="H9">
        <f t="shared" ref="H9:H32" si="1">ROUND(G9/548,2)</f>
        <v>16.27</v>
      </c>
      <c r="I9" s="14">
        <f t="shared" ref="I9:I32" si="2">ROUND(G9/$G$33,3)</f>
        <v>9.0999999999999998E-2</v>
      </c>
    </row>
    <row r="10" spans="1:9" x14ac:dyDescent="0.25">
      <c r="A10" t="s">
        <v>19</v>
      </c>
      <c r="B10" t="s">
        <v>21</v>
      </c>
      <c r="C10" s="10">
        <v>9790</v>
      </c>
      <c r="D10" s="10"/>
      <c r="E10" s="10">
        <v>223.68</v>
      </c>
      <c r="F10" s="10"/>
      <c r="G10" s="10">
        <f t="shared" si="0"/>
        <v>10013.68</v>
      </c>
      <c r="H10">
        <f t="shared" si="1"/>
        <v>18.27</v>
      </c>
      <c r="I10" s="14">
        <f t="shared" si="2"/>
        <v>0.10199999999999999</v>
      </c>
    </row>
    <row r="11" spans="1:9" x14ac:dyDescent="0.25">
      <c r="A11" t="s">
        <v>19</v>
      </c>
      <c r="B11" t="s">
        <v>23</v>
      </c>
      <c r="C11" s="10"/>
      <c r="D11" s="10"/>
      <c r="E11" s="10">
        <v>6869.27</v>
      </c>
      <c r="F11" s="10"/>
      <c r="G11" s="10">
        <f t="shared" si="0"/>
        <v>6869.27</v>
      </c>
      <c r="H11">
        <f t="shared" si="1"/>
        <v>12.54</v>
      </c>
      <c r="I11" s="14">
        <f t="shared" si="2"/>
        <v>7.0000000000000007E-2</v>
      </c>
    </row>
    <row r="12" spans="1:9" x14ac:dyDescent="0.25">
      <c r="A12" t="s">
        <v>19</v>
      </c>
      <c r="B12" t="s">
        <v>24</v>
      </c>
      <c r="C12" s="10">
        <v>11250</v>
      </c>
      <c r="D12" s="10"/>
      <c r="E12" s="10">
        <v>887.57</v>
      </c>
      <c r="F12" s="10"/>
      <c r="G12" s="10">
        <f t="shared" si="0"/>
        <v>12137.57</v>
      </c>
      <c r="H12">
        <f t="shared" si="1"/>
        <v>22.15</v>
      </c>
      <c r="I12" s="14">
        <f t="shared" si="2"/>
        <v>0.123</v>
      </c>
    </row>
    <row r="13" spans="1:9" x14ac:dyDescent="0.25">
      <c r="A13" t="s">
        <v>19</v>
      </c>
      <c r="B13" t="s">
        <v>25</v>
      </c>
      <c r="C13" s="10">
        <v>10440</v>
      </c>
      <c r="D13" s="10"/>
      <c r="E13" s="10"/>
      <c r="F13" s="10"/>
      <c r="G13" s="10">
        <f t="shared" si="0"/>
        <v>10440</v>
      </c>
      <c r="H13">
        <f t="shared" si="1"/>
        <v>19.05</v>
      </c>
      <c r="I13" s="14">
        <f t="shared" si="2"/>
        <v>0.106</v>
      </c>
    </row>
    <row r="14" spans="1:9" x14ac:dyDescent="0.25">
      <c r="A14" t="s">
        <v>19</v>
      </c>
      <c r="B14" t="s">
        <v>34</v>
      </c>
      <c r="C14" s="10"/>
      <c r="D14" s="10"/>
      <c r="E14" s="10">
        <v>621.11</v>
      </c>
      <c r="F14" s="10"/>
      <c r="G14" s="10">
        <f t="shared" si="0"/>
        <v>621.11</v>
      </c>
      <c r="H14">
        <f t="shared" si="1"/>
        <v>1.1299999999999999</v>
      </c>
      <c r="I14" s="14">
        <f t="shared" si="2"/>
        <v>6.0000000000000001E-3</v>
      </c>
    </row>
    <row r="15" spans="1:9" x14ac:dyDescent="0.25">
      <c r="A15" t="s">
        <v>19</v>
      </c>
      <c r="B15" t="s">
        <v>36</v>
      </c>
      <c r="C15" s="10"/>
      <c r="D15" s="10"/>
      <c r="E15" s="10">
        <v>4149.16</v>
      </c>
      <c r="F15" s="10"/>
      <c r="G15" s="10">
        <f t="shared" si="0"/>
        <v>4149.16</v>
      </c>
      <c r="H15">
        <f t="shared" si="1"/>
        <v>7.57</v>
      </c>
      <c r="I15" s="14">
        <f t="shared" si="2"/>
        <v>4.2000000000000003E-2</v>
      </c>
    </row>
    <row r="16" spans="1:9" x14ac:dyDescent="0.25">
      <c r="A16" t="s">
        <v>19</v>
      </c>
      <c r="B16" t="s">
        <v>38</v>
      </c>
      <c r="C16" s="10"/>
      <c r="D16" s="10"/>
      <c r="E16" s="10">
        <v>1500.46</v>
      </c>
      <c r="F16" s="10"/>
      <c r="G16" s="10">
        <f t="shared" si="0"/>
        <v>1500.46</v>
      </c>
      <c r="H16">
        <f t="shared" si="1"/>
        <v>2.74</v>
      </c>
      <c r="I16" s="14">
        <f t="shared" si="2"/>
        <v>1.4999999999999999E-2</v>
      </c>
    </row>
    <row r="17" spans="1:9" x14ac:dyDescent="0.25">
      <c r="A17" t="s">
        <v>19</v>
      </c>
      <c r="B17" t="s">
        <v>39</v>
      </c>
      <c r="C17" s="10"/>
      <c r="D17" s="10"/>
      <c r="E17" s="10">
        <v>1896.09</v>
      </c>
      <c r="F17" s="10"/>
      <c r="G17" s="10">
        <f t="shared" si="0"/>
        <v>1896.09</v>
      </c>
      <c r="H17">
        <f t="shared" si="1"/>
        <v>3.46</v>
      </c>
      <c r="I17" s="14">
        <f t="shared" si="2"/>
        <v>1.9E-2</v>
      </c>
    </row>
    <row r="18" spans="1:9" x14ac:dyDescent="0.25">
      <c r="A18" t="s">
        <v>19</v>
      </c>
      <c r="B18" t="s">
        <v>35</v>
      </c>
      <c r="C18" s="10"/>
      <c r="D18" s="10"/>
      <c r="E18" s="10"/>
      <c r="F18" s="10"/>
      <c r="G18" s="10">
        <f t="shared" si="0"/>
        <v>0</v>
      </c>
      <c r="H18">
        <f t="shared" si="1"/>
        <v>0</v>
      </c>
      <c r="I18" s="14">
        <f t="shared" si="2"/>
        <v>0</v>
      </c>
    </row>
    <row r="19" spans="1:9" x14ac:dyDescent="0.25">
      <c r="A19" t="s">
        <v>19</v>
      </c>
      <c r="B19" t="s">
        <v>41</v>
      </c>
      <c r="C19" s="10"/>
      <c r="D19" s="10"/>
      <c r="E19" s="10"/>
      <c r="F19" s="10"/>
      <c r="G19" s="10">
        <f t="shared" si="0"/>
        <v>0</v>
      </c>
      <c r="H19">
        <f t="shared" si="1"/>
        <v>0</v>
      </c>
      <c r="I19" s="14">
        <f t="shared" si="2"/>
        <v>0</v>
      </c>
    </row>
    <row r="20" spans="1:9" x14ac:dyDescent="0.25">
      <c r="A20" t="s">
        <v>19</v>
      </c>
      <c r="B20" t="s">
        <v>22</v>
      </c>
      <c r="C20" s="10"/>
      <c r="D20" s="10"/>
      <c r="E20" s="10"/>
      <c r="F20" s="10"/>
      <c r="G20" s="10">
        <f t="shared" si="0"/>
        <v>0</v>
      </c>
      <c r="H20">
        <f t="shared" si="1"/>
        <v>0</v>
      </c>
      <c r="I20" s="14">
        <f t="shared" si="2"/>
        <v>0</v>
      </c>
    </row>
    <row r="21" spans="1:9" x14ac:dyDescent="0.25">
      <c r="A21" t="s">
        <v>19</v>
      </c>
      <c r="B21" t="s">
        <v>28</v>
      </c>
      <c r="C21" s="10"/>
      <c r="D21" s="10"/>
      <c r="E21" s="10"/>
      <c r="F21" s="10"/>
      <c r="G21" s="10">
        <f t="shared" si="0"/>
        <v>0</v>
      </c>
      <c r="H21">
        <f t="shared" si="1"/>
        <v>0</v>
      </c>
      <c r="I21" s="14">
        <f t="shared" si="2"/>
        <v>0</v>
      </c>
    </row>
    <row r="22" spans="1:9" x14ac:dyDescent="0.25">
      <c r="A22" t="s">
        <v>19</v>
      </c>
      <c r="B22" t="s">
        <v>29</v>
      </c>
      <c r="C22" s="10"/>
      <c r="D22" s="10"/>
      <c r="E22" s="10"/>
      <c r="F22" s="10"/>
      <c r="G22" s="10">
        <f t="shared" si="0"/>
        <v>0</v>
      </c>
      <c r="H22">
        <f t="shared" si="1"/>
        <v>0</v>
      </c>
      <c r="I22" s="14">
        <f t="shared" si="2"/>
        <v>0</v>
      </c>
    </row>
    <row r="23" spans="1:9" x14ac:dyDescent="0.25">
      <c r="A23" t="s">
        <v>19</v>
      </c>
      <c r="B23" t="s">
        <v>30</v>
      </c>
      <c r="C23" s="10"/>
      <c r="D23" s="10"/>
      <c r="E23" s="10"/>
      <c r="F23" s="10"/>
      <c r="G23" s="10">
        <f t="shared" si="0"/>
        <v>0</v>
      </c>
      <c r="H23">
        <f t="shared" si="1"/>
        <v>0</v>
      </c>
      <c r="I23" s="14">
        <f t="shared" si="2"/>
        <v>0</v>
      </c>
    </row>
    <row r="24" spans="1:9" x14ac:dyDescent="0.25">
      <c r="A24" t="s">
        <v>19</v>
      </c>
      <c r="B24" t="s">
        <v>31</v>
      </c>
      <c r="C24" s="10"/>
      <c r="D24" s="10"/>
      <c r="E24" s="10"/>
      <c r="F24" s="10"/>
      <c r="G24" s="10">
        <f t="shared" si="0"/>
        <v>0</v>
      </c>
      <c r="H24">
        <f t="shared" si="1"/>
        <v>0</v>
      </c>
      <c r="I24" s="14">
        <f t="shared" si="2"/>
        <v>0</v>
      </c>
    </row>
    <row r="25" spans="1:9" x14ac:dyDescent="0.25">
      <c r="A25" t="s">
        <v>19</v>
      </c>
      <c r="B25" t="s">
        <v>32</v>
      </c>
      <c r="C25" s="10"/>
      <c r="D25" s="10"/>
      <c r="E25" s="10"/>
      <c r="F25" s="10"/>
      <c r="G25" s="10">
        <f t="shared" si="0"/>
        <v>0</v>
      </c>
      <c r="H25">
        <f t="shared" si="1"/>
        <v>0</v>
      </c>
      <c r="I25" s="14">
        <f t="shared" si="2"/>
        <v>0</v>
      </c>
    </row>
    <row r="26" spans="1:9" x14ac:dyDescent="0.25">
      <c r="A26" t="s">
        <v>19</v>
      </c>
      <c r="B26" t="s">
        <v>42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 s="14">
        <f t="shared" si="2"/>
        <v>0</v>
      </c>
    </row>
    <row r="27" spans="1:9" x14ac:dyDescent="0.25">
      <c r="A27" t="s">
        <v>19</v>
      </c>
      <c r="B27" t="s">
        <v>33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37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43</v>
      </c>
      <c r="B29" t="s">
        <v>44</v>
      </c>
      <c r="C29" s="10">
        <v>31060</v>
      </c>
      <c r="D29" s="10"/>
      <c r="E29" s="10"/>
      <c r="F29" s="10"/>
      <c r="G29" s="10">
        <f t="shared" si="0"/>
        <v>31060</v>
      </c>
      <c r="H29">
        <f t="shared" si="1"/>
        <v>56.68</v>
      </c>
      <c r="I29" s="14">
        <f t="shared" si="2"/>
        <v>0.315</v>
      </c>
    </row>
    <row r="30" spans="1:9" x14ac:dyDescent="0.25">
      <c r="A30" t="s">
        <v>43</v>
      </c>
      <c r="B30" t="s">
        <v>46</v>
      </c>
      <c r="C30" s="10"/>
      <c r="D30" s="10"/>
      <c r="E30" s="10"/>
      <c r="F30" s="10">
        <v>6765</v>
      </c>
      <c r="G30" s="10">
        <f t="shared" si="0"/>
        <v>6765</v>
      </c>
      <c r="H30">
        <f t="shared" si="1"/>
        <v>12.34</v>
      </c>
      <c r="I30" s="14">
        <f t="shared" si="2"/>
        <v>6.9000000000000006E-2</v>
      </c>
    </row>
    <row r="31" spans="1:9" x14ac:dyDescent="0.25">
      <c r="A31" t="s">
        <v>43</v>
      </c>
      <c r="B31" t="s">
        <v>45</v>
      </c>
      <c r="C31" s="10"/>
      <c r="D31" s="10"/>
      <c r="E31" s="10">
        <v>4137.5200000000004</v>
      </c>
      <c r="F31" s="10"/>
      <c r="G31" s="10">
        <f t="shared" si="0"/>
        <v>4137.5200000000004</v>
      </c>
      <c r="H31">
        <f t="shared" si="1"/>
        <v>7.55</v>
      </c>
      <c r="I31" s="14">
        <f t="shared" si="2"/>
        <v>4.2000000000000003E-2</v>
      </c>
    </row>
    <row r="32" spans="1:9" x14ac:dyDescent="0.25">
      <c r="A32" t="s">
        <v>15</v>
      </c>
      <c r="B32" t="s">
        <v>18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8" x14ac:dyDescent="0.25">
      <c r="A33" s="3" t="s">
        <v>253</v>
      </c>
      <c r="B33" s="3"/>
      <c r="C33" s="8">
        <f t="shared" ref="C33:H33" si="3">SUM(C8:C32)</f>
        <v>71080</v>
      </c>
      <c r="D33" s="8">
        <f t="shared" si="3"/>
        <v>0</v>
      </c>
      <c r="E33" s="8">
        <f t="shared" si="3"/>
        <v>20663.310000000001</v>
      </c>
      <c r="F33" s="8">
        <f t="shared" si="3"/>
        <v>6765</v>
      </c>
      <c r="G33" s="8">
        <f t="shared" si="3"/>
        <v>98508.310000000012</v>
      </c>
      <c r="H33" s="3">
        <f t="shared" si="3"/>
        <v>179.75</v>
      </c>
    </row>
    <row r="34" spans="1:8" x14ac:dyDescent="0.25">
      <c r="A34" s="3" t="s">
        <v>14</v>
      </c>
      <c r="B34" s="3"/>
      <c r="C34" s="13">
        <f>ROUND(C33/G33,2)</f>
        <v>0.72</v>
      </c>
      <c r="D34" s="13">
        <f>ROUND(D33/G33,2)</f>
        <v>0</v>
      </c>
      <c r="E34" s="13">
        <f>ROUND(E33/G33,2)</f>
        <v>0.21</v>
      </c>
      <c r="F34" s="13">
        <f>ROUND(F33/G33,2)</f>
        <v>7.0000000000000007E-2</v>
      </c>
      <c r="G34" s="3"/>
      <c r="H34" s="3"/>
    </row>
    <row r="35" spans="1:8" x14ac:dyDescent="0.25">
      <c r="A35" s="3" t="s">
        <v>47</v>
      </c>
      <c r="B35" s="3"/>
      <c r="C35" s="3"/>
      <c r="D35" s="3"/>
      <c r="E35" s="3"/>
      <c r="F35" s="3"/>
      <c r="G35" s="3"/>
      <c r="H35" s="3"/>
    </row>
    <row r="36" spans="1:8" x14ac:dyDescent="0.25">
      <c r="A36" s="3" t="s">
        <v>48</v>
      </c>
      <c r="B36" s="3"/>
      <c r="C36" s="8">
        <v>40020</v>
      </c>
      <c r="D36" s="8">
        <v>0</v>
      </c>
      <c r="E36" s="8">
        <v>16525.79</v>
      </c>
      <c r="F36" s="8">
        <v>0</v>
      </c>
      <c r="G36" s="8">
        <f>SUM(C36:F36)</f>
        <v>56545.79</v>
      </c>
      <c r="H36" s="3">
        <f>ROUND(G36/548,2)</f>
        <v>103.19</v>
      </c>
    </row>
    <row r="37" spans="1:8" x14ac:dyDescent="0.25">
      <c r="A37" s="3" t="s">
        <v>49</v>
      </c>
      <c r="B37" s="3"/>
      <c r="C37" s="8">
        <v>31060</v>
      </c>
      <c r="D37" s="8">
        <v>0</v>
      </c>
      <c r="E37" s="8">
        <v>4137.5200000000004</v>
      </c>
      <c r="F37" s="8">
        <v>6765</v>
      </c>
      <c r="G37" s="8">
        <f>SUM(C37:F37)</f>
        <v>41962.520000000004</v>
      </c>
      <c r="H37" s="3">
        <f>ROUND(G37/548,2)</f>
        <v>76.569999999999993</v>
      </c>
    </row>
    <row r="38" spans="1:8" x14ac:dyDescent="0.25">
      <c r="A38" s="3" t="s">
        <v>50</v>
      </c>
      <c r="B38" s="3"/>
      <c r="C38" s="8">
        <v>0</v>
      </c>
      <c r="D38" s="8">
        <v>0</v>
      </c>
      <c r="E38" s="8">
        <v>0</v>
      </c>
      <c r="F38" s="8">
        <v>0</v>
      </c>
      <c r="G38" s="8">
        <f>SUM(C38:F38)</f>
        <v>0</v>
      </c>
      <c r="H38" s="3">
        <f>ROUND(G38/548,2)</f>
        <v>0</v>
      </c>
    </row>
    <row r="40" spans="1:8" x14ac:dyDescent="0.25">
      <c r="A40" s="3"/>
      <c r="B40" s="3"/>
      <c r="C40" s="3" t="s">
        <v>2</v>
      </c>
      <c r="D40" s="3">
        <v>2022</v>
      </c>
      <c r="E40" s="3" t="s">
        <v>51</v>
      </c>
    </row>
    <row r="41" spans="1:8" x14ac:dyDescent="0.25">
      <c r="A41" s="3" t="s">
        <v>52</v>
      </c>
      <c r="B41" s="3"/>
      <c r="C41" s="13">
        <v>0.66110000000000002</v>
      </c>
      <c r="D41" s="13">
        <v>0.72540000000000004</v>
      </c>
      <c r="E41" s="13">
        <v>0.77659999999999996</v>
      </c>
    </row>
    <row r="42" spans="1:8" x14ac:dyDescent="0.25">
      <c r="A42" s="3" t="s">
        <v>53</v>
      </c>
      <c r="B42" s="3"/>
      <c r="C42" s="13">
        <v>0.66110000000000002</v>
      </c>
      <c r="D42" s="13">
        <v>0.68530000000000002</v>
      </c>
      <c r="E42" s="13">
        <v>0.75900000000000001</v>
      </c>
    </row>
    <row r="44" spans="1:8" x14ac:dyDescent="0.25">
      <c r="A44" s="3" t="s">
        <v>256</v>
      </c>
      <c r="B44" s="3"/>
      <c r="C44" s="3" t="s">
        <v>2</v>
      </c>
      <c r="D44" s="3" t="s">
        <v>138</v>
      </c>
      <c r="E44" s="3" t="s">
        <v>55</v>
      </c>
      <c r="F44" s="3" t="s">
        <v>254</v>
      </c>
      <c r="G44" s="3"/>
    </row>
    <row r="45" spans="1:8" x14ac:dyDescent="0.25">
      <c r="A45" s="3" t="s">
        <v>56</v>
      </c>
      <c r="B45" s="3"/>
      <c r="C45" s="3"/>
      <c r="D45" s="3">
        <v>89.82</v>
      </c>
      <c r="E45" s="3">
        <v>81.5</v>
      </c>
      <c r="F45" s="3">
        <v>50.61</v>
      </c>
      <c r="G45" s="3"/>
    </row>
    <row r="46" spans="1:8" x14ac:dyDescent="0.25">
      <c r="A46" s="3" t="s">
        <v>57</v>
      </c>
      <c r="B46" s="3"/>
      <c r="C46" s="3"/>
      <c r="D46" s="3">
        <v>45.49</v>
      </c>
      <c r="E46" s="3">
        <v>58.24</v>
      </c>
      <c r="F46" s="3">
        <v>57.37</v>
      </c>
      <c r="G46" s="3"/>
    </row>
    <row r="47" spans="1:8" x14ac:dyDescent="0.25">
      <c r="A47" s="3" t="s">
        <v>58</v>
      </c>
      <c r="B47" s="3"/>
      <c r="C47" s="3"/>
      <c r="D47" s="3">
        <v>215.07</v>
      </c>
      <c r="E47" s="3">
        <v>261.52999999999997</v>
      </c>
      <c r="F47" s="3">
        <v>249.57</v>
      </c>
      <c r="G47" s="3"/>
    </row>
    <row r="48" spans="1:8" x14ac:dyDescent="0.25">
      <c r="A48" s="3" t="s">
        <v>59</v>
      </c>
      <c r="B48" s="3"/>
      <c r="C48" s="3"/>
      <c r="D48" s="3">
        <v>121.23</v>
      </c>
      <c r="E48" s="3">
        <v>103.11</v>
      </c>
      <c r="F48" s="3">
        <v>71.400000000000006</v>
      </c>
      <c r="G4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I62"/>
  <sheetViews>
    <sheetView topLeftCell="A36" workbookViewId="0">
      <selection activeCell="G59" sqref="G59:G62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7109375" bestFit="1" customWidth="1"/>
    <col min="4" max="4" width="32.140625" bestFit="1" customWidth="1"/>
    <col min="5" max="5" width="13.85546875" bestFit="1" customWidth="1"/>
    <col min="6" max="6" width="8.140625" bestFit="1" customWidth="1"/>
    <col min="7" max="7" width="15.425781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139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10461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17</v>
      </c>
      <c r="C9" s="10"/>
      <c r="D9" s="10"/>
      <c r="E9" s="10"/>
      <c r="F9" s="10">
        <v>220</v>
      </c>
      <c r="G9" s="10">
        <f t="shared" ref="G9:G46" si="0">SUM(C9:F9)</f>
        <v>220</v>
      </c>
      <c r="H9">
        <f t="shared" ref="H9:H46" si="1">ROUND(G9/10461,2)</f>
        <v>0.02</v>
      </c>
      <c r="I9" s="14">
        <f t="shared" ref="I9:I40" si="2">ROUND(G9/$G$47,3)</f>
        <v>0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>
        <f t="shared" si="1"/>
        <v>0</v>
      </c>
      <c r="I10" s="14">
        <f t="shared" si="2"/>
        <v>0</v>
      </c>
    </row>
    <row r="11" spans="1:9" x14ac:dyDescent="0.25">
      <c r="A11" t="s">
        <v>15</v>
      </c>
      <c r="B11" t="s">
        <v>75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128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181</v>
      </c>
      <c r="F13" s="10">
        <v>116</v>
      </c>
      <c r="G13" s="10">
        <f t="shared" si="0"/>
        <v>297</v>
      </c>
      <c r="H13">
        <f t="shared" si="1"/>
        <v>0.03</v>
      </c>
      <c r="I13" s="14">
        <f t="shared" si="2"/>
        <v>0</v>
      </c>
    </row>
    <row r="14" spans="1:9" x14ac:dyDescent="0.25">
      <c r="A14" t="s">
        <v>19</v>
      </c>
      <c r="B14" t="s">
        <v>65</v>
      </c>
      <c r="C14" s="10"/>
      <c r="D14" s="10"/>
      <c r="E14" s="10">
        <v>13540</v>
      </c>
      <c r="F14" s="10">
        <v>13200</v>
      </c>
      <c r="G14" s="10">
        <f t="shared" si="0"/>
        <v>26740</v>
      </c>
      <c r="H14">
        <f t="shared" si="1"/>
        <v>2.56</v>
      </c>
      <c r="I14" s="14">
        <f t="shared" si="2"/>
        <v>1.4E-2</v>
      </c>
    </row>
    <row r="15" spans="1:9" x14ac:dyDescent="0.25">
      <c r="A15" t="s">
        <v>19</v>
      </c>
      <c r="B15" t="s">
        <v>70</v>
      </c>
      <c r="C15" s="10"/>
      <c r="D15" s="10"/>
      <c r="E15" s="10">
        <v>3660</v>
      </c>
      <c r="F15" s="10">
        <v>1800</v>
      </c>
      <c r="G15" s="10">
        <f t="shared" si="0"/>
        <v>5460</v>
      </c>
      <c r="H15">
        <f t="shared" si="1"/>
        <v>0.52</v>
      </c>
      <c r="I15" s="14">
        <f t="shared" si="2"/>
        <v>3.0000000000000001E-3</v>
      </c>
    </row>
    <row r="16" spans="1:9" x14ac:dyDescent="0.25">
      <c r="A16" t="s">
        <v>19</v>
      </c>
      <c r="B16" t="s">
        <v>20</v>
      </c>
      <c r="C16" s="10">
        <v>183220</v>
      </c>
      <c r="D16" s="10"/>
      <c r="E16" s="10"/>
      <c r="F16" s="10">
        <v>1080</v>
      </c>
      <c r="G16" s="10">
        <f t="shared" si="0"/>
        <v>184300</v>
      </c>
      <c r="H16">
        <f t="shared" si="1"/>
        <v>17.62</v>
      </c>
      <c r="I16" s="14">
        <f t="shared" si="2"/>
        <v>9.5000000000000001E-2</v>
      </c>
    </row>
    <row r="17" spans="1:9" x14ac:dyDescent="0.25">
      <c r="A17" t="s">
        <v>19</v>
      </c>
      <c r="B17" t="s">
        <v>21</v>
      </c>
      <c r="C17" s="10">
        <v>224670</v>
      </c>
      <c r="D17" s="10"/>
      <c r="E17" s="10"/>
      <c r="F17" s="10">
        <v>570</v>
      </c>
      <c r="G17" s="10">
        <f t="shared" si="0"/>
        <v>225240</v>
      </c>
      <c r="H17">
        <f t="shared" si="1"/>
        <v>21.53</v>
      </c>
      <c r="I17" s="14">
        <f t="shared" si="2"/>
        <v>0.11600000000000001</v>
      </c>
    </row>
    <row r="18" spans="1:9" x14ac:dyDescent="0.25">
      <c r="A18" t="s">
        <v>19</v>
      </c>
      <c r="B18" t="s">
        <v>76</v>
      </c>
      <c r="C18" s="10"/>
      <c r="D18" s="10"/>
      <c r="E18" s="10">
        <v>200</v>
      </c>
      <c r="F18" s="10"/>
      <c r="G18" s="10">
        <f t="shared" si="0"/>
        <v>200</v>
      </c>
      <c r="H18">
        <f t="shared" si="1"/>
        <v>0.02</v>
      </c>
      <c r="I18" s="14">
        <f t="shared" si="2"/>
        <v>0</v>
      </c>
    </row>
    <row r="19" spans="1:9" x14ac:dyDescent="0.25">
      <c r="A19" t="s">
        <v>19</v>
      </c>
      <c r="B19" t="s">
        <v>41</v>
      </c>
      <c r="C19" s="10"/>
      <c r="D19" s="10"/>
      <c r="E19" s="10">
        <v>601</v>
      </c>
      <c r="F19" s="10"/>
      <c r="G19" s="10">
        <f t="shared" si="0"/>
        <v>601</v>
      </c>
      <c r="H19">
        <f t="shared" si="1"/>
        <v>0.06</v>
      </c>
      <c r="I19" s="14">
        <f t="shared" si="2"/>
        <v>0</v>
      </c>
    </row>
    <row r="20" spans="1:9" x14ac:dyDescent="0.25">
      <c r="A20" t="s">
        <v>19</v>
      </c>
      <c r="B20" t="s">
        <v>22</v>
      </c>
      <c r="C20" s="10"/>
      <c r="D20" s="10"/>
      <c r="E20" s="10">
        <v>2860</v>
      </c>
      <c r="F20" s="10"/>
      <c r="G20" s="10">
        <f t="shared" si="0"/>
        <v>2860</v>
      </c>
      <c r="H20">
        <f t="shared" si="1"/>
        <v>0.27</v>
      </c>
      <c r="I20" s="14">
        <f t="shared" si="2"/>
        <v>1E-3</v>
      </c>
    </row>
    <row r="21" spans="1:9" x14ac:dyDescent="0.25">
      <c r="A21" t="s">
        <v>19</v>
      </c>
      <c r="B21" t="s">
        <v>23</v>
      </c>
      <c r="C21" s="10"/>
      <c r="D21" s="10"/>
      <c r="E21" s="10">
        <v>109640</v>
      </c>
      <c r="F21" s="10"/>
      <c r="G21" s="10">
        <f t="shared" si="0"/>
        <v>109640</v>
      </c>
      <c r="H21">
        <f t="shared" si="1"/>
        <v>10.48</v>
      </c>
      <c r="I21" s="14">
        <f t="shared" si="2"/>
        <v>5.7000000000000002E-2</v>
      </c>
    </row>
    <row r="22" spans="1:9" x14ac:dyDescent="0.25">
      <c r="A22" t="s">
        <v>19</v>
      </c>
      <c r="B22" t="s">
        <v>24</v>
      </c>
      <c r="C22" s="10">
        <v>275720</v>
      </c>
      <c r="D22" s="10"/>
      <c r="E22" s="10">
        <v>8930</v>
      </c>
      <c r="F22" s="10">
        <v>640</v>
      </c>
      <c r="G22" s="10">
        <f t="shared" si="0"/>
        <v>285290</v>
      </c>
      <c r="H22">
        <f t="shared" si="1"/>
        <v>27.27</v>
      </c>
      <c r="I22" s="14">
        <f t="shared" si="2"/>
        <v>0.14699999999999999</v>
      </c>
    </row>
    <row r="23" spans="1:9" x14ac:dyDescent="0.25">
      <c r="A23" t="s">
        <v>19</v>
      </c>
      <c r="B23" t="s">
        <v>66</v>
      </c>
      <c r="C23" s="10"/>
      <c r="D23" s="10"/>
      <c r="E23" s="10">
        <v>9595</v>
      </c>
      <c r="F23" s="10"/>
      <c r="G23" s="10">
        <f t="shared" si="0"/>
        <v>9595</v>
      </c>
      <c r="H23">
        <f t="shared" si="1"/>
        <v>0.92</v>
      </c>
      <c r="I23" s="14">
        <f t="shared" si="2"/>
        <v>5.0000000000000001E-3</v>
      </c>
    </row>
    <row r="24" spans="1:9" x14ac:dyDescent="0.25">
      <c r="A24" t="s">
        <v>19</v>
      </c>
      <c r="B24" t="s">
        <v>25</v>
      </c>
      <c r="C24" s="10">
        <v>357710</v>
      </c>
      <c r="D24" s="10"/>
      <c r="E24" s="10"/>
      <c r="F24" s="10">
        <v>610</v>
      </c>
      <c r="G24" s="10">
        <f t="shared" si="0"/>
        <v>358320</v>
      </c>
      <c r="H24">
        <f t="shared" si="1"/>
        <v>34.25</v>
      </c>
      <c r="I24" s="14">
        <f t="shared" si="2"/>
        <v>0.185</v>
      </c>
    </row>
    <row r="25" spans="1:9" x14ac:dyDescent="0.25">
      <c r="A25" t="s">
        <v>19</v>
      </c>
      <c r="B25" t="s">
        <v>26</v>
      </c>
      <c r="C25" s="10"/>
      <c r="D25" s="10"/>
      <c r="E25" s="10">
        <v>393</v>
      </c>
      <c r="F25" s="10"/>
      <c r="G25" s="10">
        <f t="shared" si="0"/>
        <v>393</v>
      </c>
      <c r="H25">
        <f t="shared" si="1"/>
        <v>0.04</v>
      </c>
      <c r="I25" s="14">
        <f t="shared" si="2"/>
        <v>0</v>
      </c>
    </row>
    <row r="26" spans="1:9" x14ac:dyDescent="0.25">
      <c r="A26" t="s">
        <v>19</v>
      </c>
      <c r="B26" t="s">
        <v>27</v>
      </c>
      <c r="C26" s="10"/>
      <c r="D26" s="10"/>
      <c r="E26" s="10">
        <v>355</v>
      </c>
      <c r="F26" s="10"/>
      <c r="G26" s="10">
        <f t="shared" si="0"/>
        <v>355</v>
      </c>
      <c r="H26">
        <f t="shared" si="1"/>
        <v>0.03</v>
      </c>
      <c r="I26" s="14">
        <f t="shared" si="2"/>
        <v>0</v>
      </c>
    </row>
    <row r="27" spans="1:9" x14ac:dyDescent="0.25">
      <c r="A27" t="s">
        <v>19</v>
      </c>
      <c r="B27" t="s">
        <v>28</v>
      </c>
      <c r="C27" s="10"/>
      <c r="D27" s="10"/>
      <c r="E27" s="10">
        <v>262</v>
      </c>
      <c r="F27" s="10"/>
      <c r="G27" s="10">
        <f t="shared" si="0"/>
        <v>262</v>
      </c>
      <c r="H27">
        <f t="shared" si="1"/>
        <v>0.03</v>
      </c>
      <c r="I27" s="14">
        <f t="shared" si="2"/>
        <v>0</v>
      </c>
    </row>
    <row r="28" spans="1:9" x14ac:dyDescent="0.25">
      <c r="A28" t="s">
        <v>19</v>
      </c>
      <c r="B28" t="s">
        <v>29</v>
      </c>
      <c r="C28" s="10"/>
      <c r="D28" s="10"/>
      <c r="E28" s="10">
        <v>10380</v>
      </c>
      <c r="F28" s="10"/>
      <c r="G28" s="10">
        <f t="shared" si="0"/>
        <v>10380</v>
      </c>
      <c r="H28">
        <f t="shared" si="1"/>
        <v>0.99</v>
      </c>
      <c r="I28" s="14">
        <f t="shared" si="2"/>
        <v>5.0000000000000001E-3</v>
      </c>
    </row>
    <row r="29" spans="1:9" x14ac:dyDescent="0.25">
      <c r="A29" t="s">
        <v>19</v>
      </c>
      <c r="B29" t="s">
        <v>30</v>
      </c>
      <c r="C29" s="10"/>
      <c r="D29" s="10"/>
      <c r="E29" s="10">
        <v>1840</v>
      </c>
      <c r="F29" s="10"/>
      <c r="G29" s="10">
        <f t="shared" si="0"/>
        <v>1840</v>
      </c>
      <c r="H29">
        <f t="shared" si="1"/>
        <v>0.18</v>
      </c>
      <c r="I29" s="14">
        <f t="shared" si="2"/>
        <v>1E-3</v>
      </c>
    </row>
    <row r="30" spans="1:9" x14ac:dyDescent="0.25">
      <c r="A30" t="s">
        <v>19</v>
      </c>
      <c r="B30" t="s">
        <v>31</v>
      </c>
      <c r="C30" s="10"/>
      <c r="D30" s="10"/>
      <c r="E30" s="10">
        <v>450</v>
      </c>
      <c r="F30" s="10"/>
      <c r="G30" s="10">
        <f t="shared" si="0"/>
        <v>450</v>
      </c>
      <c r="H30">
        <f t="shared" si="1"/>
        <v>0.04</v>
      </c>
      <c r="I30" s="14">
        <f t="shared" si="2"/>
        <v>0</v>
      </c>
    </row>
    <row r="31" spans="1:9" x14ac:dyDescent="0.25">
      <c r="A31" t="s">
        <v>19</v>
      </c>
      <c r="B31" t="s">
        <v>32</v>
      </c>
      <c r="C31" s="10"/>
      <c r="D31" s="10"/>
      <c r="E31" s="10">
        <v>2610</v>
      </c>
      <c r="F31" s="10"/>
      <c r="G31" s="10">
        <f t="shared" si="0"/>
        <v>2610</v>
      </c>
      <c r="H31">
        <f t="shared" si="1"/>
        <v>0.25</v>
      </c>
      <c r="I31" s="14">
        <f t="shared" si="2"/>
        <v>1E-3</v>
      </c>
    </row>
    <row r="32" spans="1:9" x14ac:dyDescent="0.25">
      <c r="A32" t="s">
        <v>19</v>
      </c>
      <c r="B32" t="s">
        <v>42</v>
      </c>
      <c r="C32" s="10"/>
      <c r="D32" s="10">
        <v>695</v>
      </c>
      <c r="E32" s="10"/>
      <c r="F32" s="10"/>
      <c r="G32" s="10">
        <f t="shared" si="0"/>
        <v>695</v>
      </c>
      <c r="H32">
        <f t="shared" si="1"/>
        <v>7.0000000000000007E-2</v>
      </c>
      <c r="I32" s="14">
        <f t="shared" si="2"/>
        <v>0</v>
      </c>
    </row>
    <row r="33" spans="1:9" x14ac:dyDescent="0.25">
      <c r="A33" t="s">
        <v>19</v>
      </c>
      <c r="B33" t="s">
        <v>67</v>
      </c>
      <c r="C33" s="10"/>
      <c r="D33" s="10"/>
      <c r="E33" s="10">
        <v>4060</v>
      </c>
      <c r="F33" s="10"/>
      <c r="G33" s="10">
        <f t="shared" si="0"/>
        <v>4060</v>
      </c>
      <c r="H33">
        <f t="shared" si="1"/>
        <v>0.39</v>
      </c>
      <c r="I33" s="14">
        <f t="shared" si="2"/>
        <v>2E-3</v>
      </c>
    </row>
    <row r="34" spans="1:9" x14ac:dyDescent="0.25">
      <c r="A34" t="s">
        <v>19</v>
      </c>
      <c r="B34" t="s">
        <v>33</v>
      </c>
      <c r="C34" s="10"/>
      <c r="D34" s="10">
        <v>1040</v>
      </c>
      <c r="E34" s="10"/>
      <c r="F34" s="10"/>
      <c r="G34" s="10">
        <f t="shared" si="0"/>
        <v>1040</v>
      </c>
      <c r="H34">
        <f t="shared" si="1"/>
        <v>0.1</v>
      </c>
      <c r="I34" s="14">
        <f t="shared" si="2"/>
        <v>1E-3</v>
      </c>
    </row>
    <row r="35" spans="1:9" x14ac:dyDescent="0.25">
      <c r="A35" t="s">
        <v>19</v>
      </c>
      <c r="B35" t="s">
        <v>34</v>
      </c>
      <c r="C35" s="10"/>
      <c r="D35" s="10"/>
      <c r="E35" s="10">
        <v>4560</v>
      </c>
      <c r="F35" s="10"/>
      <c r="G35" s="10">
        <f t="shared" si="0"/>
        <v>4560</v>
      </c>
      <c r="H35">
        <f t="shared" si="1"/>
        <v>0.44</v>
      </c>
      <c r="I35" s="14">
        <f t="shared" si="2"/>
        <v>2E-3</v>
      </c>
    </row>
    <row r="36" spans="1:9" x14ac:dyDescent="0.25">
      <c r="A36" t="s">
        <v>19</v>
      </c>
      <c r="B36" t="s">
        <v>40</v>
      </c>
      <c r="C36" s="10"/>
      <c r="D36" s="10"/>
      <c r="E36" s="10">
        <v>9450</v>
      </c>
      <c r="F36" s="10"/>
      <c r="G36" s="10">
        <f t="shared" si="0"/>
        <v>9450</v>
      </c>
      <c r="H36">
        <f t="shared" si="1"/>
        <v>0.9</v>
      </c>
      <c r="I36" s="14">
        <f t="shared" si="2"/>
        <v>5.0000000000000001E-3</v>
      </c>
    </row>
    <row r="37" spans="1:9" x14ac:dyDescent="0.25">
      <c r="A37" t="s">
        <v>19</v>
      </c>
      <c r="B37" t="s">
        <v>35</v>
      </c>
      <c r="C37" s="10"/>
      <c r="D37" s="10"/>
      <c r="E37" s="10">
        <v>19840</v>
      </c>
      <c r="F37" s="10"/>
      <c r="G37" s="10">
        <f t="shared" si="0"/>
        <v>19840</v>
      </c>
      <c r="H37">
        <f t="shared" si="1"/>
        <v>1.9</v>
      </c>
      <c r="I37" s="14">
        <f t="shared" si="2"/>
        <v>0.01</v>
      </c>
    </row>
    <row r="38" spans="1:9" x14ac:dyDescent="0.25">
      <c r="A38" t="s">
        <v>19</v>
      </c>
      <c r="B38" t="s">
        <v>36</v>
      </c>
      <c r="C38" s="10"/>
      <c r="D38" s="10"/>
      <c r="E38" s="10">
        <v>115340</v>
      </c>
      <c r="F38" s="10"/>
      <c r="G38" s="10">
        <f t="shared" si="0"/>
        <v>115340</v>
      </c>
      <c r="H38">
        <f t="shared" si="1"/>
        <v>11.03</v>
      </c>
      <c r="I38" s="14">
        <f t="shared" si="2"/>
        <v>5.8999999999999997E-2</v>
      </c>
    </row>
    <row r="39" spans="1:9" x14ac:dyDescent="0.25">
      <c r="A39" t="s">
        <v>19</v>
      </c>
      <c r="B39" t="s">
        <v>37</v>
      </c>
      <c r="C39" s="10"/>
      <c r="D39" s="10"/>
      <c r="E39" s="10">
        <v>8830</v>
      </c>
      <c r="F39" s="10"/>
      <c r="G39" s="10">
        <f t="shared" si="0"/>
        <v>8830</v>
      </c>
      <c r="H39">
        <f t="shared" si="1"/>
        <v>0.84</v>
      </c>
      <c r="I39" s="14">
        <f t="shared" si="2"/>
        <v>5.0000000000000001E-3</v>
      </c>
    </row>
    <row r="40" spans="1:9" x14ac:dyDescent="0.25">
      <c r="A40" t="s">
        <v>19</v>
      </c>
      <c r="B40" t="s">
        <v>38</v>
      </c>
      <c r="C40" s="10"/>
      <c r="D40" s="10"/>
      <c r="E40" s="10">
        <v>24930</v>
      </c>
      <c r="F40" s="10"/>
      <c r="G40" s="10">
        <f t="shared" si="0"/>
        <v>24930</v>
      </c>
      <c r="H40">
        <f t="shared" si="1"/>
        <v>2.38</v>
      </c>
      <c r="I40" s="14">
        <f t="shared" si="2"/>
        <v>1.2999999999999999E-2</v>
      </c>
    </row>
    <row r="41" spans="1:9" x14ac:dyDescent="0.25">
      <c r="A41" t="s">
        <v>19</v>
      </c>
      <c r="B41" t="s">
        <v>39</v>
      </c>
      <c r="C41" s="10"/>
      <c r="D41" s="10"/>
      <c r="E41" s="10">
        <v>78680</v>
      </c>
      <c r="F41" s="10">
        <v>400</v>
      </c>
      <c r="G41" s="10">
        <f t="shared" si="0"/>
        <v>79080</v>
      </c>
      <c r="H41">
        <f t="shared" si="1"/>
        <v>7.56</v>
      </c>
      <c r="I41" s="14">
        <f t="shared" ref="I41" si="3">ROUND(G41/$G$47,3)</f>
        <v>4.1000000000000002E-2</v>
      </c>
    </row>
    <row r="42" spans="1:9" x14ac:dyDescent="0.25">
      <c r="A42" t="s">
        <v>19</v>
      </c>
      <c r="B42" t="s">
        <v>78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>ROUND(G42/$G$47,3)</f>
        <v>0</v>
      </c>
    </row>
    <row r="43" spans="1:9" x14ac:dyDescent="0.25">
      <c r="A43" t="s">
        <v>19</v>
      </c>
      <c r="B43" t="s">
        <v>71</v>
      </c>
      <c r="C43" s="10"/>
      <c r="D43" s="10"/>
      <c r="E43" s="10"/>
      <c r="F43" s="10"/>
      <c r="G43" s="10">
        <f t="shared" si="0"/>
        <v>0</v>
      </c>
      <c r="H43">
        <f t="shared" si="1"/>
        <v>0</v>
      </c>
      <c r="I43" s="14">
        <f>ROUND(G43/$G$47,3)</f>
        <v>0</v>
      </c>
    </row>
    <row r="44" spans="1:9" x14ac:dyDescent="0.25">
      <c r="A44" t="s">
        <v>43</v>
      </c>
      <c r="B44" t="s">
        <v>44</v>
      </c>
      <c r="C44" s="10">
        <v>365220</v>
      </c>
      <c r="D44" s="10"/>
      <c r="E44" s="10"/>
      <c r="F44" s="10">
        <v>980</v>
      </c>
      <c r="G44" s="10">
        <f t="shared" si="0"/>
        <v>366200</v>
      </c>
      <c r="H44">
        <f t="shared" si="1"/>
        <v>35.01</v>
      </c>
      <c r="I44" s="14">
        <f>ROUND(G44/$G$47,3)</f>
        <v>0.189</v>
      </c>
    </row>
    <row r="45" spans="1:9" x14ac:dyDescent="0.25">
      <c r="A45" t="s">
        <v>43</v>
      </c>
      <c r="B45" t="s">
        <v>46</v>
      </c>
      <c r="C45" s="10"/>
      <c r="D45" s="10"/>
      <c r="E45" s="10"/>
      <c r="F45" s="10">
        <v>29420</v>
      </c>
      <c r="G45" s="10">
        <f t="shared" si="0"/>
        <v>29420</v>
      </c>
      <c r="H45">
        <f t="shared" si="1"/>
        <v>2.81</v>
      </c>
      <c r="I45" s="14">
        <f>ROUND(G45/$G$47,3)</f>
        <v>1.4999999999999999E-2</v>
      </c>
    </row>
    <row r="46" spans="1:9" x14ac:dyDescent="0.25">
      <c r="A46" t="s">
        <v>43</v>
      </c>
      <c r="B46" t="s">
        <v>45</v>
      </c>
      <c r="C46" s="10"/>
      <c r="D46" s="10"/>
      <c r="E46" s="10">
        <v>51040</v>
      </c>
      <c r="F46" s="10"/>
      <c r="G46" s="10">
        <f t="shared" si="0"/>
        <v>51040</v>
      </c>
      <c r="H46">
        <f t="shared" si="1"/>
        <v>4.88</v>
      </c>
      <c r="I46" s="14">
        <f>ROUND(G46/$G$47,3)</f>
        <v>2.5999999999999999E-2</v>
      </c>
    </row>
    <row r="47" spans="1:9" x14ac:dyDescent="0.25">
      <c r="A47" s="3" t="s">
        <v>253</v>
      </c>
      <c r="B47" s="3"/>
      <c r="C47" s="8">
        <f t="shared" ref="C47:H47" si="4">SUM(C8:C46)</f>
        <v>1406540</v>
      </c>
      <c r="D47" s="8">
        <f t="shared" si="4"/>
        <v>1735</v>
      </c>
      <c r="E47" s="8">
        <f t="shared" si="4"/>
        <v>482227</v>
      </c>
      <c r="F47" s="8">
        <f t="shared" si="4"/>
        <v>49036</v>
      </c>
      <c r="G47" s="8">
        <f t="shared" si="4"/>
        <v>1939538</v>
      </c>
      <c r="H47" s="3">
        <f t="shared" si="4"/>
        <v>185.42000000000002</v>
      </c>
    </row>
    <row r="48" spans="1:9" x14ac:dyDescent="0.25">
      <c r="A48" s="3" t="s">
        <v>14</v>
      </c>
      <c r="B48" s="3"/>
      <c r="C48" s="13">
        <f>ROUND(C47/G47,2)</f>
        <v>0.73</v>
      </c>
      <c r="D48" s="13">
        <f>ROUND(D47/G47,2)</f>
        <v>0</v>
      </c>
      <c r="E48" s="13">
        <f>ROUND(E47/G47,2)</f>
        <v>0.25</v>
      </c>
      <c r="F48" s="13">
        <f>ROUND(F47/G47,2)</f>
        <v>0.03</v>
      </c>
      <c r="G48" s="3"/>
      <c r="H48" s="3"/>
    </row>
    <row r="49" spans="1:8" x14ac:dyDescent="0.25">
      <c r="A49" s="3" t="s">
        <v>47</v>
      </c>
      <c r="B49" s="3"/>
      <c r="C49" s="3"/>
      <c r="D49" s="3"/>
      <c r="E49" s="3"/>
      <c r="F49" s="3"/>
      <c r="G49" s="3"/>
      <c r="H49" s="3"/>
    </row>
    <row r="50" spans="1:8" x14ac:dyDescent="0.25">
      <c r="A50" s="3" t="s">
        <v>48</v>
      </c>
      <c r="B50" s="3"/>
      <c r="C50" s="8">
        <v>1041320</v>
      </c>
      <c r="D50" s="8">
        <v>1735</v>
      </c>
      <c r="E50" s="8">
        <v>431187</v>
      </c>
      <c r="F50" s="8">
        <v>18416</v>
      </c>
      <c r="G50" s="8">
        <f>SUM(C50:F50)</f>
        <v>1492658</v>
      </c>
      <c r="H50" s="3">
        <f>ROUND(G50/10461,2)</f>
        <v>142.69</v>
      </c>
    </row>
    <row r="51" spans="1:8" x14ac:dyDescent="0.25">
      <c r="A51" s="3" t="s">
        <v>49</v>
      </c>
      <c r="B51" s="3"/>
      <c r="C51" s="8">
        <v>365220</v>
      </c>
      <c r="D51" s="8">
        <v>0</v>
      </c>
      <c r="E51" s="8">
        <v>51040</v>
      </c>
      <c r="F51" s="8">
        <v>30400</v>
      </c>
      <c r="G51" s="8">
        <f>SUM(C51:F51)</f>
        <v>446660</v>
      </c>
      <c r="H51" s="3">
        <f>ROUND(G51/10461,2)</f>
        <v>42.7</v>
      </c>
    </row>
    <row r="52" spans="1:8" x14ac:dyDescent="0.25">
      <c r="A52" s="3" t="s">
        <v>50</v>
      </c>
      <c r="B52" s="3"/>
      <c r="C52" s="8">
        <v>0</v>
      </c>
      <c r="D52" s="8">
        <v>0</v>
      </c>
      <c r="E52" s="8">
        <v>0</v>
      </c>
      <c r="F52" s="8">
        <v>220</v>
      </c>
      <c r="G52" s="8">
        <f>SUM(C52:F52)</f>
        <v>220</v>
      </c>
      <c r="H52" s="3">
        <f>ROUND(G52/10461,2)</f>
        <v>0.02</v>
      </c>
    </row>
    <row r="54" spans="1:8" x14ac:dyDescent="0.25">
      <c r="A54" s="3"/>
      <c r="B54" s="3"/>
      <c r="C54" s="3" t="s">
        <v>2</v>
      </c>
      <c r="D54" s="3">
        <v>2022</v>
      </c>
      <c r="E54" s="3" t="s">
        <v>51</v>
      </c>
    </row>
    <row r="55" spans="1:8" x14ac:dyDescent="0.25">
      <c r="A55" s="3" t="s">
        <v>52</v>
      </c>
      <c r="B55" s="3"/>
      <c r="C55" s="13">
        <v>0.79949999999999999</v>
      </c>
      <c r="D55" s="13">
        <v>0.79959999999999998</v>
      </c>
      <c r="E55" s="13">
        <v>0.77659999999999996</v>
      </c>
    </row>
    <row r="56" spans="1:8" x14ac:dyDescent="0.25">
      <c r="A56" s="3" t="s">
        <v>53</v>
      </c>
      <c r="B56" s="3"/>
      <c r="C56" s="13">
        <v>0.78649999999999998</v>
      </c>
      <c r="D56" s="13">
        <v>0.7873</v>
      </c>
      <c r="E56" s="13">
        <v>0.75900000000000001</v>
      </c>
    </row>
    <row r="58" spans="1:8" x14ac:dyDescent="0.25">
      <c r="A58" s="3" t="s">
        <v>256</v>
      </c>
      <c r="B58" s="3"/>
      <c r="C58" s="3" t="s">
        <v>2</v>
      </c>
      <c r="D58" s="3" t="s">
        <v>140</v>
      </c>
      <c r="E58" s="3" t="s">
        <v>55</v>
      </c>
      <c r="F58" s="3" t="s">
        <v>254</v>
      </c>
      <c r="G58" s="3"/>
    </row>
    <row r="59" spans="1:8" x14ac:dyDescent="0.25">
      <c r="A59" s="3" t="s">
        <v>56</v>
      </c>
      <c r="B59" s="3"/>
      <c r="C59" s="3"/>
      <c r="D59" s="3">
        <v>72.66</v>
      </c>
      <c r="E59" s="3">
        <v>81.5</v>
      </c>
      <c r="F59" s="3">
        <v>50.61</v>
      </c>
      <c r="G59" s="3"/>
    </row>
    <row r="60" spans="1:8" x14ac:dyDescent="0.25">
      <c r="A60" s="3" t="s">
        <v>57</v>
      </c>
      <c r="B60" s="3"/>
      <c r="C60" s="3"/>
      <c r="D60" s="3">
        <v>65.7</v>
      </c>
      <c r="E60" s="3">
        <v>58.24</v>
      </c>
      <c r="F60" s="3">
        <v>57.37</v>
      </c>
      <c r="G60" s="3"/>
    </row>
    <row r="61" spans="1:8" x14ac:dyDescent="0.25">
      <c r="A61" s="3" t="s">
        <v>58</v>
      </c>
      <c r="B61" s="3"/>
      <c r="C61" s="3"/>
      <c r="D61" s="3">
        <v>271.05</v>
      </c>
      <c r="E61" s="3">
        <v>261.52999999999997</v>
      </c>
      <c r="F61" s="3">
        <v>249.57</v>
      </c>
      <c r="G61" s="3"/>
    </row>
    <row r="62" spans="1:8" x14ac:dyDescent="0.25">
      <c r="A62" s="3" t="s">
        <v>59</v>
      </c>
      <c r="B62" s="3"/>
      <c r="C62" s="3"/>
      <c r="D62" s="3">
        <v>92.56</v>
      </c>
      <c r="E62" s="3">
        <v>103.11</v>
      </c>
      <c r="F62" s="3">
        <v>71.400000000000006</v>
      </c>
      <c r="G6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I48"/>
  <sheetViews>
    <sheetView topLeftCell="A15" workbookViewId="0">
      <selection activeCell="G45" sqref="G45:G48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0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141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657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9980</v>
      </c>
      <c r="D9" s="10"/>
      <c r="E9" s="10">
        <v>459.54</v>
      </c>
      <c r="F9" s="10"/>
      <c r="G9" s="10">
        <f t="shared" ref="G9:G32" si="0">SUM(C9:F9)</f>
        <v>10439.540000000001</v>
      </c>
      <c r="H9">
        <f t="shared" ref="H9:H32" si="1">ROUND(G9/657,2)</f>
        <v>15.89</v>
      </c>
      <c r="I9" s="14">
        <f t="shared" ref="I9:I32" si="2">ROUND(G9/$G$33,3)</f>
        <v>0.108</v>
      </c>
    </row>
    <row r="10" spans="1:9" x14ac:dyDescent="0.25">
      <c r="A10" t="s">
        <v>19</v>
      </c>
      <c r="B10" t="s">
        <v>21</v>
      </c>
      <c r="C10" s="10">
        <v>10930</v>
      </c>
      <c r="D10" s="10"/>
      <c r="E10" s="10"/>
      <c r="F10" s="10"/>
      <c r="G10" s="10">
        <f t="shared" si="0"/>
        <v>10930</v>
      </c>
      <c r="H10">
        <f t="shared" si="1"/>
        <v>16.64</v>
      </c>
      <c r="I10" s="14">
        <f t="shared" si="2"/>
        <v>0.114</v>
      </c>
    </row>
    <row r="11" spans="1:9" x14ac:dyDescent="0.25">
      <c r="A11" t="s">
        <v>19</v>
      </c>
      <c r="B11" t="s">
        <v>23</v>
      </c>
      <c r="C11" s="10"/>
      <c r="D11" s="10"/>
      <c r="E11" s="10">
        <v>5202.37</v>
      </c>
      <c r="F11" s="10"/>
      <c r="G11" s="10">
        <f t="shared" si="0"/>
        <v>5202.37</v>
      </c>
      <c r="H11">
        <f t="shared" si="1"/>
        <v>7.92</v>
      </c>
      <c r="I11" s="14">
        <f t="shared" si="2"/>
        <v>5.3999999999999999E-2</v>
      </c>
    </row>
    <row r="12" spans="1:9" x14ac:dyDescent="0.25">
      <c r="A12" t="s">
        <v>19</v>
      </c>
      <c r="B12" t="s">
        <v>24</v>
      </c>
      <c r="C12" s="10">
        <v>9200</v>
      </c>
      <c r="D12" s="10"/>
      <c r="E12" s="10">
        <v>1092.97</v>
      </c>
      <c r="F12" s="10"/>
      <c r="G12" s="10">
        <f t="shared" si="0"/>
        <v>10292.969999999999</v>
      </c>
      <c r="H12">
        <f t="shared" si="1"/>
        <v>15.67</v>
      </c>
      <c r="I12" s="14">
        <f t="shared" si="2"/>
        <v>0.107</v>
      </c>
    </row>
    <row r="13" spans="1:9" x14ac:dyDescent="0.25">
      <c r="A13" t="s">
        <v>19</v>
      </c>
      <c r="B13" t="s">
        <v>25</v>
      </c>
      <c r="C13" s="10">
        <v>12650</v>
      </c>
      <c r="D13" s="10"/>
      <c r="E13" s="10"/>
      <c r="F13" s="10"/>
      <c r="G13" s="10">
        <f t="shared" si="0"/>
        <v>12650</v>
      </c>
      <c r="H13">
        <f t="shared" si="1"/>
        <v>19.25</v>
      </c>
      <c r="I13" s="14">
        <f t="shared" si="2"/>
        <v>0.13100000000000001</v>
      </c>
    </row>
    <row r="14" spans="1:9" x14ac:dyDescent="0.25">
      <c r="A14" t="s">
        <v>19</v>
      </c>
      <c r="B14" t="s">
        <v>28</v>
      </c>
      <c r="C14" s="10"/>
      <c r="D14" s="10"/>
      <c r="E14" s="10">
        <v>37.24</v>
      </c>
      <c r="F14" s="10"/>
      <c r="G14" s="10">
        <f t="shared" si="0"/>
        <v>37.24</v>
      </c>
      <c r="H14">
        <f t="shared" si="1"/>
        <v>0.06</v>
      </c>
      <c r="I14" s="14">
        <f t="shared" si="2"/>
        <v>0</v>
      </c>
    </row>
    <row r="15" spans="1:9" x14ac:dyDescent="0.25">
      <c r="A15" t="s">
        <v>19</v>
      </c>
      <c r="B15" t="s">
        <v>29</v>
      </c>
      <c r="C15" s="10"/>
      <c r="D15" s="10"/>
      <c r="E15" s="10">
        <v>428.57</v>
      </c>
      <c r="F15" s="10"/>
      <c r="G15" s="10">
        <f t="shared" si="0"/>
        <v>428.57</v>
      </c>
      <c r="H15">
        <f t="shared" si="1"/>
        <v>0.65</v>
      </c>
      <c r="I15" s="14">
        <f t="shared" si="2"/>
        <v>4.0000000000000001E-3</v>
      </c>
    </row>
    <row r="16" spans="1:9" x14ac:dyDescent="0.25">
      <c r="A16" t="s">
        <v>19</v>
      </c>
      <c r="B16" t="s">
        <v>30</v>
      </c>
      <c r="C16" s="10"/>
      <c r="D16" s="10"/>
      <c r="E16" s="10">
        <v>33.619999999999997</v>
      </c>
      <c r="F16" s="10"/>
      <c r="G16" s="10">
        <f t="shared" si="0"/>
        <v>33.619999999999997</v>
      </c>
      <c r="H16">
        <f t="shared" si="1"/>
        <v>0.05</v>
      </c>
      <c r="I16" s="14">
        <f t="shared" si="2"/>
        <v>0</v>
      </c>
    </row>
    <row r="17" spans="1:9" x14ac:dyDescent="0.25">
      <c r="A17" t="s">
        <v>19</v>
      </c>
      <c r="B17" t="s">
        <v>31</v>
      </c>
      <c r="C17" s="10"/>
      <c r="D17" s="10"/>
      <c r="E17" s="10">
        <v>42.86</v>
      </c>
      <c r="F17" s="10"/>
      <c r="G17" s="10">
        <f t="shared" si="0"/>
        <v>42.86</v>
      </c>
      <c r="H17">
        <f t="shared" si="1"/>
        <v>7.0000000000000007E-2</v>
      </c>
      <c r="I17" s="14">
        <f t="shared" si="2"/>
        <v>0</v>
      </c>
    </row>
    <row r="18" spans="1:9" x14ac:dyDescent="0.25">
      <c r="A18" t="s">
        <v>19</v>
      </c>
      <c r="B18" t="s">
        <v>34</v>
      </c>
      <c r="C18" s="10"/>
      <c r="D18" s="10"/>
      <c r="E18" s="10">
        <v>499.69</v>
      </c>
      <c r="F18" s="10"/>
      <c r="G18" s="10">
        <f t="shared" si="0"/>
        <v>499.69</v>
      </c>
      <c r="H18">
        <f t="shared" si="1"/>
        <v>0.76</v>
      </c>
      <c r="I18" s="14">
        <f t="shared" si="2"/>
        <v>5.0000000000000001E-3</v>
      </c>
    </row>
    <row r="19" spans="1:9" x14ac:dyDescent="0.25">
      <c r="A19" t="s">
        <v>19</v>
      </c>
      <c r="B19" t="s">
        <v>35</v>
      </c>
      <c r="C19" s="10"/>
      <c r="D19" s="10"/>
      <c r="E19" s="10">
        <v>58.02</v>
      </c>
      <c r="F19" s="10"/>
      <c r="G19" s="10">
        <f t="shared" si="0"/>
        <v>58.02</v>
      </c>
      <c r="H19">
        <f t="shared" si="1"/>
        <v>0.09</v>
      </c>
      <c r="I19" s="14">
        <f t="shared" si="2"/>
        <v>1E-3</v>
      </c>
    </row>
    <row r="20" spans="1:9" x14ac:dyDescent="0.25">
      <c r="A20" t="s">
        <v>19</v>
      </c>
      <c r="B20" t="s">
        <v>36</v>
      </c>
      <c r="C20" s="10"/>
      <c r="D20" s="10"/>
      <c r="E20" s="10">
        <v>6507.65</v>
      </c>
      <c r="F20" s="10"/>
      <c r="G20" s="10">
        <f t="shared" si="0"/>
        <v>6507.65</v>
      </c>
      <c r="H20">
        <f t="shared" si="1"/>
        <v>9.91</v>
      </c>
      <c r="I20" s="14">
        <f t="shared" si="2"/>
        <v>6.8000000000000005E-2</v>
      </c>
    </row>
    <row r="21" spans="1:9" x14ac:dyDescent="0.25">
      <c r="A21" t="s">
        <v>19</v>
      </c>
      <c r="B21" t="s">
        <v>38</v>
      </c>
      <c r="C21" s="10"/>
      <c r="D21" s="10"/>
      <c r="E21" s="10">
        <v>2866.29</v>
      </c>
      <c r="F21" s="10"/>
      <c r="G21" s="10">
        <f t="shared" si="0"/>
        <v>2866.29</v>
      </c>
      <c r="H21">
        <f t="shared" si="1"/>
        <v>4.3600000000000003</v>
      </c>
      <c r="I21" s="14">
        <f t="shared" si="2"/>
        <v>0.03</v>
      </c>
    </row>
    <row r="22" spans="1:9" x14ac:dyDescent="0.25">
      <c r="A22" t="s">
        <v>19</v>
      </c>
      <c r="B22" t="s">
        <v>39</v>
      </c>
      <c r="C22" s="10"/>
      <c r="D22" s="10"/>
      <c r="E22" s="10">
        <v>730.07</v>
      </c>
      <c r="F22" s="10"/>
      <c r="G22" s="10">
        <f t="shared" si="0"/>
        <v>730.07</v>
      </c>
      <c r="H22">
        <f t="shared" si="1"/>
        <v>1.1100000000000001</v>
      </c>
      <c r="I22" s="14">
        <f t="shared" si="2"/>
        <v>8.0000000000000002E-3</v>
      </c>
    </row>
    <row r="23" spans="1:9" x14ac:dyDescent="0.25">
      <c r="A23" t="s">
        <v>19</v>
      </c>
      <c r="B23" t="s">
        <v>41</v>
      </c>
      <c r="C23" s="10"/>
      <c r="D23" s="10"/>
      <c r="E23" s="10"/>
      <c r="F23" s="10"/>
      <c r="G23" s="10">
        <f t="shared" si="0"/>
        <v>0</v>
      </c>
      <c r="H23">
        <f t="shared" si="1"/>
        <v>0</v>
      </c>
      <c r="I23" s="14">
        <f t="shared" si="2"/>
        <v>0</v>
      </c>
    </row>
    <row r="24" spans="1:9" x14ac:dyDescent="0.25">
      <c r="A24" t="s">
        <v>19</v>
      </c>
      <c r="B24" t="s">
        <v>22</v>
      </c>
      <c r="C24" s="10"/>
      <c r="D24" s="10"/>
      <c r="E24" s="10"/>
      <c r="F24" s="10"/>
      <c r="G24" s="10">
        <f t="shared" si="0"/>
        <v>0</v>
      </c>
      <c r="H24">
        <f t="shared" si="1"/>
        <v>0</v>
      </c>
      <c r="I24" s="14">
        <f t="shared" si="2"/>
        <v>0</v>
      </c>
    </row>
    <row r="25" spans="1:9" x14ac:dyDescent="0.25">
      <c r="A25" t="s">
        <v>19</v>
      </c>
      <c r="B25" t="s">
        <v>32</v>
      </c>
      <c r="C25" s="10"/>
      <c r="D25" s="10"/>
      <c r="E25" s="10"/>
      <c r="F25" s="10"/>
      <c r="G25" s="10">
        <f t="shared" si="0"/>
        <v>0</v>
      </c>
      <c r="H25">
        <f t="shared" si="1"/>
        <v>0</v>
      </c>
      <c r="I25" s="14">
        <f t="shared" si="2"/>
        <v>0</v>
      </c>
    </row>
    <row r="26" spans="1:9" x14ac:dyDescent="0.25">
      <c r="A26" t="s">
        <v>19</v>
      </c>
      <c r="B26" t="s">
        <v>42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 s="14">
        <f t="shared" si="2"/>
        <v>0</v>
      </c>
    </row>
    <row r="27" spans="1:9" x14ac:dyDescent="0.25">
      <c r="A27" t="s">
        <v>19</v>
      </c>
      <c r="B27" t="s">
        <v>33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37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43</v>
      </c>
      <c r="B29" t="s">
        <v>44</v>
      </c>
      <c r="C29" s="10">
        <v>32060</v>
      </c>
      <c r="D29" s="10"/>
      <c r="E29" s="10"/>
      <c r="F29" s="10"/>
      <c r="G29" s="10">
        <f t="shared" si="0"/>
        <v>32060</v>
      </c>
      <c r="H29">
        <f t="shared" si="1"/>
        <v>48.8</v>
      </c>
      <c r="I29" s="14">
        <f t="shared" si="2"/>
        <v>0.33300000000000002</v>
      </c>
    </row>
    <row r="30" spans="1:9" x14ac:dyDescent="0.25">
      <c r="A30" t="s">
        <v>43</v>
      </c>
      <c r="B30" t="s">
        <v>45</v>
      </c>
      <c r="C30" s="10"/>
      <c r="D30" s="10"/>
      <c r="E30" s="10">
        <v>3473.55</v>
      </c>
      <c r="F30" s="10"/>
      <c r="G30" s="10">
        <f t="shared" si="0"/>
        <v>3473.55</v>
      </c>
      <c r="H30">
        <f t="shared" si="1"/>
        <v>5.29</v>
      </c>
      <c r="I30" s="14">
        <f t="shared" si="2"/>
        <v>3.5999999999999997E-2</v>
      </c>
    </row>
    <row r="31" spans="1:9" x14ac:dyDescent="0.25">
      <c r="A31" t="s">
        <v>43</v>
      </c>
      <c r="B31" t="s">
        <v>46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15</v>
      </c>
      <c r="B32" t="s">
        <v>18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8" x14ac:dyDescent="0.25">
      <c r="A33" s="3" t="s">
        <v>253</v>
      </c>
      <c r="B33" s="3"/>
      <c r="C33" s="8">
        <f t="shared" ref="C33:H33" si="3">SUM(C8:C32)</f>
        <v>74820</v>
      </c>
      <c r="D33" s="8">
        <f t="shared" si="3"/>
        <v>0</v>
      </c>
      <c r="E33" s="8">
        <f t="shared" si="3"/>
        <v>21432.44</v>
      </c>
      <c r="F33" s="8">
        <f t="shared" si="3"/>
        <v>0</v>
      </c>
      <c r="G33" s="8">
        <f t="shared" si="3"/>
        <v>96252.44</v>
      </c>
      <c r="H33" s="3">
        <f t="shared" si="3"/>
        <v>146.52000000000001</v>
      </c>
    </row>
    <row r="34" spans="1:8" x14ac:dyDescent="0.25">
      <c r="A34" s="3" t="s">
        <v>14</v>
      </c>
      <c r="B34" s="3"/>
      <c r="C34" s="13">
        <f>ROUND(C33/G33,2)</f>
        <v>0.78</v>
      </c>
      <c r="D34" s="13">
        <f>ROUND(D33/G33,2)</f>
        <v>0</v>
      </c>
      <c r="E34" s="13">
        <f>ROUND(E33/G33,2)</f>
        <v>0.22</v>
      </c>
      <c r="F34" s="13">
        <f>ROUND(F33/G33,2)</f>
        <v>0</v>
      </c>
      <c r="G34" s="3"/>
      <c r="H34" s="3"/>
    </row>
    <row r="35" spans="1:8" x14ac:dyDescent="0.25">
      <c r="A35" s="3" t="s">
        <v>47</v>
      </c>
      <c r="B35" s="3"/>
      <c r="C35" s="3"/>
      <c r="D35" s="3"/>
      <c r="E35" s="3"/>
      <c r="F35" s="3"/>
      <c r="G35" s="3"/>
      <c r="H35" s="3"/>
    </row>
    <row r="36" spans="1:8" x14ac:dyDescent="0.25">
      <c r="A36" s="3" t="s">
        <v>48</v>
      </c>
      <c r="B36" s="3"/>
      <c r="C36" s="8">
        <v>42760</v>
      </c>
      <c r="D36" s="8">
        <v>0</v>
      </c>
      <c r="E36" s="8">
        <v>17958.89</v>
      </c>
      <c r="F36" s="8">
        <v>0</v>
      </c>
      <c r="G36" s="8">
        <f>SUM(C36:F36)</f>
        <v>60718.89</v>
      </c>
      <c r="H36" s="3">
        <f>ROUND(G36/657,2)</f>
        <v>92.42</v>
      </c>
    </row>
    <row r="37" spans="1:8" x14ac:dyDescent="0.25">
      <c r="A37" s="3" t="s">
        <v>49</v>
      </c>
      <c r="B37" s="3"/>
      <c r="C37" s="8">
        <v>32060</v>
      </c>
      <c r="D37" s="8">
        <v>0</v>
      </c>
      <c r="E37" s="8">
        <v>3473.55</v>
      </c>
      <c r="F37" s="8">
        <v>0</v>
      </c>
      <c r="G37" s="8">
        <f>SUM(C37:F37)</f>
        <v>35533.550000000003</v>
      </c>
      <c r="H37" s="3">
        <f>ROUND(G37/657,2)</f>
        <v>54.08</v>
      </c>
    </row>
    <row r="38" spans="1:8" x14ac:dyDescent="0.25">
      <c r="A38" s="3" t="s">
        <v>50</v>
      </c>
      <c r="B38" s="3"/>
      <c r="C38" s="8">
        <v>0</v>
      </c>
      <c r="D38" s="8">
        <v>0</v>
      </c>
      <c r="E38" s="8">
        <v>0</v>
      </c>
      <c r="F38" s="8">
        <v>0</v>
      </c>
      <c r="G38" s="8">
        <f>SUM(C38:F38)</f>
        <v>0</v>
      </c>
      <c r="H38" s="3">
        <f>ROUND(G38/657,2)</f>
        <v>0</v>
      </c>
    </row>
    <row r="40" spans="1:8" x14ac:dyDescent="0.25">
      <c r="A40" s="3"/>
      <c r="B40" s="3"/>
      <c r="C40" s="3" t="s">
        <v>2</v>
      </c>
      <c r="D40" s="3">
        <v>2022</v>
      </c>
      <c r="E40" s="3" t="s">
        <v>51</v>
      </c>
    </row>
    <row r="41" spans="1:8" x14ac:dyDescent="0.25">
      <c r="A41" s="3" t="s">
        <v>52</v>
      </c>
      <c r="B41" s="3"/>
      <c r="C41" s="13">
        <v>0.64790000000000003</v>
      </c>
      <c r="D41" s="13">
        <v>0.67300000000000004</v>
      </c>
      <c r="E41" s="13">
        <v>0.77659999999999996</v>
      </c>
    </row>
    <row r="42" spans="1:8" x14ac:dyDescent="0.25">
      <c r="A42" s="3" t="s">
        <v>53</v>
      </c>
      <c r="B42" s="3"/>
      <c r="C42" s="13">
        <v>0.64790000000000003</v>
      </c>
      <c r="D42" s="13">
        <v>0.62870000000000004</v>
      </c>
      <c r="E42" s="13">
        <v>0.75900000000000001</v>
      </c>
    </row>
    <row r="44" spans="1:8" x14ac:dyDescent="0.25">
      <c r="A44" s="3" t="s">
        <v>256</v>
      </c>
      <c r="B44" s="3"/>
      <c r="C44" s="3" t="s">
        <v>2</v>
      </c>
      <c r="D44" s="3" t="s">
        <v>142</v>
      </c>
      <c r="E44" s="3" t="s">
        <v>55</v>
      </c>
      <c r="F44" s="3" t="s">
        <v>254</v>
      </c>
      <c r="G44" s="3"/>
    </row>
    <row r="45" spans="1:8" x14ac:dyDescent="0.25">
      <c r="A45" s="3" t="s">
        <v>56</v>
      </c>
      <c r="B45" s="3"/>
      <c r="C45" s="3"/>
      <c r="D45" s="3">
        <v>78.459999999999994</v>
      </c>
      <c r="E45" s="3">
        <v>81.5</v>
      </c>
      <c r="F45" s="3">
        <v>50.61</v>
      </c>
      <c r="G45" s="3"/>
    </row>
    <row r="46" spans="1:8" x14ac:dyDescent="0.25">
      <c r="A46" s="3" t="s">
        <v>57</v>
      </c>
      <c r="B46" s="3"/>
      <c r="C46" s="3"/>
      <c r="D46" s="3">
        <v>31.81</v>
      </c>
      <c r="E46" s="3">
        <v>58.24</v>
      </c>
      <c r="F46" s="3">
        <v>57.37</v>
      </c>
      <c r="G46" s="3"/>
    </row>
    <row r="47" spans="1:8" x14ac:dyDescent="0.25">
      <c r="A47" s="3" t="s">
        <v>58</v>
      </c>
      <c r="B47" s="3"/>
      <c r="C47" s="3"/>
      <c r="D47" s="3">
        <v>169.02</v>
      </c>
      <c r="E47" s="3">
        <v>261.52999999999997</v>
      </c>
      <c r="F47" s="3">
        <v>249.57</v>
      </c>
      <c r="G47" s="3"/>
    </row>
    <row r="48" spans="1:8" x14ac:dyDescent="0.25">
      <c r="A48" s="3" t="s">
        <v>59</v>
      </c>
      <c r="B48" s="3"/>
      <c r="C48" s="3"/>
      <c r="D48" s="3">
        <v>90.76</v>
      </c>
      <c r="E48" s="3">
        <v>103.11</v>
      </c>
      <c r="F48" s="3">
        <v>71.400000000000006</v>
      </c>
      <c r="G4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8"/>
  <sheetViews>
    <sheetView topLeftCell="A24" workbookViewId="0">
      <selection activeCell="G45" sqref="G45:G48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2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  <col min="14" max="14" width="6" bestFit="1" customWidth="1"/>
    <col min="15" max="15" width="7" bestFit="1" customWidth="1"/>
  </cols>
  <sheetData>
    <row r="2" spans="1:14" ht="18.75" x14ac:dyDescent="0.3">
      <c r="A2" s="1" t="s">
        <v>0</v>
      </c>
      <c r="B2" s="2" t="s">
        <v>60</v>
      </c>
    </row>
    <row r="3" spans="1:14" x14ac:dyDescent="0.25">
      <c r="A3" s="1" t="s">
        <v>2</v>
      </c>
      <c r="B3" t="s">
        <v>3</v>
      </c>
    </row>
    <row r="4" spans="1:14" x14ac:dyDescent="0.25">
      <c r="A4" s="1" t="s">
        <v>4</v>
      </c>
      <c r="B4">
        <v>909</v>
      </c>
    </row>
    <row r="7" spans="1:14" x14ac:dyDescent="0.25">
      <c r="C7" s="1" t="s">
        <v>5</v>
      </c>
    </row>
    <row r="8" spans="1:14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N8" s="3"/>
    </row>
    <row r="9" spans="1:14" x14ac:dyDescent="0.25">
      <c r="A9" t="s">
        <v>19</v>
      </c>
      <c r="B9" t="s">
        <v>20</v>
      </c>
      <c r="C9" s="10">
        <v>13360</v>
      </c>
      <c r="D9" s="10"/>
      <c r="E9" s="10">
        <v>137.94999999999999</v>
      </c>
      <c r="F9" s="10"/>
      <c r="G9" s="10">
        <f t="shared" ref="G9:G32" si="0">SUM(C9:F9)</f>
        <v>13497.95</v>
      </c>
      <c r="H9">
        <f t="shared" ref="H9:H32" si="1">ROUND(G9/909,2)</f>
        <v>14.85</v>
      </c>
      <c r="I9" s="14">
        <f t="shared" ref="I9:I32" si="2">ROUND(G9/$G$33,3)</f>
        <v>0.107</v>
      </c>
    </row>
    <row r="10" spans="1:14" x14ac:dyDescent="0.25">
      <c r="A10" t="s">
        <v>19</v>
      </c>
      <c r="B10" t="s">
        <v>21</v>
      </c>
      <c r="C10" s="10">
        <v>18610</v>
      </c>
      <c r="D10" s="10"/>
      <c r="E10" s="10"/>
      <c r="F10" s="10"/>
      <c r="G10" s="10">
        <f t="shared" si="0"/>
        <v>18610</v>
      </c>
      <c r="H10">
        <f t="shared" si="1"/>
        <v>20.47</v>
      </c>
      <c r="I10" s="14">
        <f t="shared" si="2"/>
        <v>0.14799999999999999</v>
      </c>
    </row>
    <row r="11" spans="1:14" x14ac:dyDescent="0.25">
      <c r="A11" t="s">
        <v>19</v>
      </c>
      <c r="B11" t="s">
        <v>41</v>
      </c>
      <c r="C11" s="10"/>
      <c r="D11" s="10"/>
      <c r="E11" s="10">
        <v>70</v>
      </c>
      <c r="F11" s="10"/>
      <c r="G11" s="10">
        <f t="shared" si="0"/>
        <v>70</v>
      </c>
      <c r="H11">
        <f t="shared" si="1"/>
        <v>0.08</v>
      </c>
      <c r="I11" s="14">
        <f t="shared" si="2"/>
        <v>1E-3</v>
      </c>
    </row>
    <row r="12" spans="1:14" x14ac:dyDescent="0.25">
      <c r="A12" t="s">
        <v>19</v>
      </c>
      <c r="B12" t="s">
        <v>23</v>
      </c>
      <c r="C12" s="10"/>
      <c r="D12" s="10"/>
      <c r="E12" s="10">
        <v>3630.85</v>
      </c>
      <c r="F12" s="10"/>
      <c r="G12" s="10">
        <f t="shared" si="0"/>
        <v>3630.85</v>
      </c>
      <c r="H12">
        <f t="shared" si="1"/>
        <v>3.99</v>
      </c>
      <c r="I12" s="14">
        <f t="shared" si="2"/>
        <v>2.9000000000000001E-2</v>
      </c>
    </row>
    <row r="13" spans="1:14" x14ac:dyDescent="0.25">
      <c r="A13" t="s">
        <v>19</v>
      </c>
      <c r="B13" t="s">
        <v>24</v>
      </c>
      <c r="C13" s="10">
        <v>16580</v>
      </c>
      <c r="D13" s="10"/>
      <c r="E13" s="10">
        <v>579</v>
      </c>
      <c r="F13" s="10"/>
      <c r="G13" s="10">
        <f t="shared" si="0"/>
        <v>17159</v>
      </c>
      <c r="H13">
        <f t="shared" si="1"/>
        <v>18.88</v>
      </c>
      <c r="I13" s="14">
        <f t="shared" si="2"/>
        <v>0.13600000000000001</v>
      </c>
    </row>
    <row r="14" spans="1:14" x14ac:dyDescent="0.25">
      <c r="A14" t="s">
        <v>19</v>
      </c>
      <c r="B14" t="s">
        <v>25</v>
      </c>
      <c r="C14" s="10">
        <v>15380</v>
      </c>
      <c r="D14" s="10"/>
      <c r="E14" s="10"/>
      <c r="F14" s="10">
        <v>200</v>
      </c>
      <c r="G14" s="10">
        <f t="shared" si="0"/>
        <v>15580</v>
      </c>
      <c r="H14">
        <f t="shared" si="1"/>
        <v>17.14</v>
      </c>
      <c r="I14" s="14">
        <f t="shared" si="2"/>
        <v>0.124</v>
      </c>
    </row>
    <row r="15" spans="1:14" x14ac:dyDescent="0.25">
      <c r="A15" t="s">
        <v>19</v>
      </c>
      <c r="B15" t="s">
        <v>28</v>
      </c>
      <c r="C15" s="10"/>
      <c r="D15" s="10"/>
      <c r="E15" s="10">
        <v>7.45</v>
      </c>
      <c r="F15" s="10"/>
      <c r="G15" s="10">
        <f t="shared" si="0"/>
        <v>7.45</v>
      </c>
      <c r="H15">
        <f t="shared" si="1"/>
        <v>0.01</v>
      </c>
      <c r="I15" s="14">
        <f t="shared" si="2"/>
        <v>0</v>
      </c>
    </row>
    <row r="16" spans="1:14" x14ac:dyDescent="0.25">
      <c r="A16" t="s">
        <v>19</v>
      </c>
      <c r="B16" t="s">
        <v>29</v>
      </c>
      <c r="C16" s="10"/>
      <c r="D16" s="10"/>
      <c r="E16" s="10">
        <v>476.07</v>
      </c>
      <c r="F16" s="10"/>
      <c r="G16" s="10">
        <f t="shared" si="0"/>
        <v>476.07</v>
      </c>
      <c r="H16">
        <f t="shared" si="1"/>
        <v>0.52</v>
      </c>
      <c r="I16" s="14">
        <f t="shared" si="2"/>
        <v>4.0000000000000001E-3</v>
      </c>
    </row>
    <row r="17" spans="1:9" x14ac:dyDescent="0.25">
      <c r="A17" t="s">
        <v>19</v>
      </c>
      <c r="B17" t="s">
        <v>30</v>
      </c>
      <c r="C17" s="10"/>
      <c r="D17" s="10"/>
      <c r="E17" s="10">
        <v>125.79</v>
      </c>
      <c r="F17" s="10"/>
      <c r="G17" s="10">
        <f t="shared" si="0"/>
        <v>125.79</v>
      </c>
      <c r="H17">
        <f t="shared" si="1"/>
        <v>0.14000000000000001</v>
      </c>
      <c r="I17" s="14">
        <f t="shared" si="2"/>
        <v>1E-3</v>
      </c>
    </row>
    <row r="18" spans="1:9" x14ac:dyDescent="0.25">
      <c r="A18" t="s">
        <v>19</v>
      </c>
      <c r="B18" t="s">
        <v>34</v>
      </c>
      <c r="C18" s="10"/>
      <c r="D18" s="10"/>
      <c r="E18" s="10">
        <v>644.55999999999995</v>
      </c>
      <c r="F18" s="10"/>
      <c r="G18" s="10">
        <f t="shared" si="0"/>
        <v>644.55999999999995</v>
      </c>
      <c r="H18">
        <f t="shared" si="1"/>
        <v>0.71</v>
      </c>
      <c r="I18" s="14">
        <f t="shared" si="2"/>
        <v>5.0000000000000001E-3</v>
      </c>
    </row>
    <row r="19" spans="1:9" x14ac:dyDescent="0.25">
      <c r="A19" t="s">
        <v>19</v>
      </c>
      <c r="B19" t="s">
        <v>35</v>
      </c>
      <c r="C19" s="10"/>
      <c r="D19" s="10"/>
      <c r="E19" s="10">
        <v>208.86</v>
      </c>
      <c r="F19" s="10"/>
      <c r="G19" s="10">
        <f t="shared" si="0"/>
        <v>208.86</v>
      </c>
      <c r="H19">
        <f t="shared" si="1"/>
        <v>0.23</v>
      </c>
      <c r="I19" s="14">
        <f t="shared" si="2"/>
        <v>2E-3</v>
      </c>
    </row>
    <row r="20" spans="1:9" x14ac:dyDescent="0.25">
      <c r="A20" t="s">
        <v>19</v>
      </c>
      <c r="B20" t="s">
        <v>36</v>
      </c>
      <c r="C20" s="10"/>
      <c r="D20" s="10"/>
      <c r="E20" s="10">
        <v>7140.94</v>
      </c>
      <c r="F20" s="10"/>
      <c r="G20" s="10">
        <f t="shared" si="0"/>
        <v>7140.94</v>
      </c>
      <c r="H20">
        <f t="shared" si="1"/>
        <v>7.86</v>
      </c>
      <c r="I20" s="14">
        <f t="shared" si="2"/>
        <v>5.7000000000000002E-2</v>
      </c>
    </row>
    <row r="21" spans="1:9" x14ac:dyDescent="0.25">
      <c r="A21" t="s">
        <v>19</v>
      </c>
      <c r="B21" t="s">
        <v>38</v>
      </c>
      <c r="C21" s="10"/>
      <c r="D21" s="10"/>
      <c r="E21" s="10">
        <v>3408.69</v>
      </c>
      <c r="F21" s="10"/>
      <c r="G21" s="10">
        <f t="shared" si="0"/>
        <v>3408.69</v>
      </c>
      <c r="H21">
        <f t="shared" si="1"/>
        <v>3.75</v>
      </c>
      <c r="I21" s="14">
        <f t="shared" si="2"/>
        <v>2.7E-2</v>
      </c>
    </row>
    <row r="22" spans="1:9" x14ac:dyDescent="0.25">
      <c r="A22" t="s">
        <v>19</v>
      </c>
      <c r="B22" t="s">
        <v>39</v>
      </c>
      <c r="C22" s="10"/>
      <c r="D22" s="10"/>
      <c r="E22" s="10">
        <v>332.4</v>
      </c>
      <c r="F22" s="10"/>
      <c r="G22" s="10">
        <f t="shared" si="0"/>
        <v>332.4</v>
      </c>
      <c r="H22">
        <f t="shared" si="1"/>
        <v>0.37</v>
      </c>
      <c r="I22" s="14">
        <f t="shared" si="2"/>
        <v>3.0000000000000001E-3</v>
      </c>
    </row>
    <row r="23" spans="1:9" x14ac:dyDescent="0.25">
      <c r="A23" t="s">
        <v>19</v>
      </c>
      <c r="B23" t="s">
        <v>31</v>
      </c>
      <c r="C23" s="10"/>
      <c r="D23" s="10"/>
      <c r="E23" s="10"/>
      <c r="F23" s="10"/>
      <c r="G23" s="10">
        <f t="shared" si="0"/>
        <v>0</v>
      </c>
      <c r="H23">
        <f t="shared" si="1"/>
        <v>0</v>
      </c>
      <c r="I23" s="14">
        <f t="shared" si="2"/>
        <v>0</v>
      </c>
    </row>
    <row r="24" spans="1:9" x14ac:dyDescent="0.25">
      <c r="A24" t="s">
        <v>19</v>
      </c>
      <c r="B24" t="s">
        <v>32</v>
      </c>
      <c r="C24" s="10"/>
      <c r="D24" s="10"/>
      <c r="E24" s="10"/>
      <c r="F24" s="10"/>
      <c r="G24" s="10">
        <f t="shared" si="0"/>
        <v>0</v>
      </c>
      <c r="H24">
        <f t="shared" si="1"/>
        <v>0</v>
      </c>
      <c r="I24" s="14">
        <f t="shared" si="2"/>
        <v>0</v>
      </c>
    </row>
    <row r="25" spans="1:9" x14ac:dyDescent="0.25">
      <c r="A25" t="s">
        <v>19</v>
      </c>
      <c r="B25" t="s">
        <v>22</v>
      </c>
      <c r="C25" s="10"/>
      <c r="D25" s="10"/>
      <c r="E25" s="10"/>
      <c r="F25" s="10"/>
      <c r="G25" s="10">
        <f t="shared" si="0"/>
        <v>0</v>
      </c>
      <c r="H25">
        <f t="shared" si="1"/>
        <v>0</v>
      </c>
      <c r="I25" s="14">
        <f t="shared" si="2"/>
        <v>0</v>
      </c>
    </row>
    <row r="26" spans="1:9" x14ac:dyDescent="0.25">
      <c r="A26" t="s">
        <v>19</v>
      </c>
      <c r="B26" t="s">
        <v>42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 s="14">
        <f t="shared" si="2"/>
        <v>0</v>
      </c>
    </row>
    <row r="27" spans="1:9" x14ac:dyDescent="0.25">
      <c r="A27" t="s">
        <v>19</v>
      </c>
      <c r="B27" t="s">
        <v>33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37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43</v>
      </c>
      <c r="B29" t="s">
        <v>44</v>
      </c>
      <c r="C29" s="10">
        <v>41100</v>
      </c>
      <c r="D29" s="10"/>
      <c r="E29" s="10"/>
      <c r="F29" s="10">
        <v>200</v>
      </c>
      <c r="G29" s="10">
        <f t="shared" si="0"/>
        <v>41300</v>
      </c>
      <c r="H29">
        <f t="shared" si="1"/>
        <v>45.43</v>
      </c>
      <c r="I29" s="14">
        <f t="shared" si="2"/>
        <v>0.32800000000000001</v>
      </c>
    </row>
    <row r="30" spans="1:9" x14ac:dyDescent="0.25">
      <c r="A30" t="s">
        <v>43</v>
      </c>
      <c r="B30" t="s">
        <v>45</v>
      </c>
      <c r="C30" s="10"/>
      <c r="D30" s="10"/>
      <c r="E30" s="10">
        <v>3603.44</v>
      </c>
      <c r="F30" s="10"/>
      <c r="G30" s="10">
        <f t="shared" si="0"/>
        <v>3603.44</v>
      </c>
      <c r="H30">
        <f t="shared" si="1"/>
        <v>3.96</v>
      </c>
      <c r="I30" s="14">
        <f t="shared" si="2"/>
        <v>2.9000000000000001E-2</v>
      </c>
    </row>
    <row r="31" spans="1:9" x14ac:dyDescent="0.25">
      <c r="A31" t="s">
        <v>43</v>
      </c>
      <c r="B31" t="s">
        <v>46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15</v>
      </c>
      <c r="B32" t="s">
        <v>18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8" x14ac:dyDescent="0.25">
      <c r="A33" s="3" t="s">
        <v>253</v>
      </c>
      <c r="B33" s="3"/>
      <c r="C33" s="8">
        <f t="shared" ref="C33:H33" si="3">SUM(C8:C32)</f>
        <v>105030</v>
      </c>
      <c r="D33" s="8">
        <f t="shared" si="3"/>
        <v>0</v>
      </c>
      <c r="E33" s="8">
        <f t="shared" si="3"/>
        <v>20365.999999999996</v>
      </c>
      <c r="F33" s="8">
        <f t="shared" si="3"/>
        <v>400</v>
      </c>
      <c r="G33" s="8">
        <f t="shared" si="3"/>
        <v>125796</v>
      </c>
      <c r="H33" s="3">
        <f t="shared" si="3"/>
        <v>138.39000000000001</v>
      </c>
    </row>
    <row r="34" spans="1:8" x14ac:dyDescent="0.25">
      <c r="A34" s="3" t="s">
        <v>14</v>
      </c>
      <c r="B34" s="3"/>
      <c r="C34" s="13">
        <f>ROUND(C33/G33,2)</f>
        <v>0.83</v>
      </c>
      <c r="D34" s="13">
        <f>ROUND(D33/G33,2)</f>
        <v>0</v>
      </c>
      <c r="E34" s="13">
        <f>ROUND(E33/G33,2)</f>
        <v>0.16</v>
      </c>
      <c r="F34" s="13">
        <f>ROUND(F33/G33,2)</f>
        <v>0</v>
      </c>
      <c r="G34" s="3"/>
      <c r="H34" s="3"/>
    </row>
    <row r="35" spans="1:8" x14ac:dyDescent="0.25">
      <c r="A35" s="3" t="s">
        <v>47</v>
      </c>
      <c r="B35" s="3"/>
      <c r="C35" s="3"/>
      <c r="D35" s="3"/>
      <c r="E35" s="3"/>
      <c r="F35" s="3"/>
      <c r="G35" s="3"/>
      <c r="H35" s="3"/>
    </row>
    <row r="36" spans="1:8" x14ac:dyDescent="0.25">
      <c r="A36" s="3" t="s">
        <v>48</v>
      </c>
      <c r="B36" s="3"/>
      <c r="C36" s="8">
        <v>63930</v>
      </c>
      <c r="D36" s="8">
        <v>0</v>
      </c>
      <c r="E36" s="8">
        <v>16762.560000000001</v>
      </c>
      <c r="F36" s="8">
        <v>200</v>
      </c>
      <c r="G36" s="8">
        <f>SUM(C36:F36)</f>
        <v>80892.56</v>
      </c>
      <c r="H36" s="8">
        <f>ROUND(G36/909,2)</f>
        <v>88.99</v>
      </c>
    </row>
    <row r="37" spans="1:8" x14ac:dyDescent="0.25">
      <c r="A37" s="3" t="s">
        <v>49</v>
      </c>
      <c r="B37" s="3"/>
      <c r="C37" s="8">
        <v>41100</v>
      </c>
      <c r="D37" s="8">
        <v>0</v>
      </c>
      <c r="E37" s="8">
        <v>3603.44</v>
      </c>
      <c r="F37" s="8">
        <v>200</v>
      </c>
      <c r="G37" s="8">
        <f>SUM(C37:F37)</f>
        <v>44903.44</v>
      </c>
      <c r="H37" s="8">
        <f>ROUND(G37/909,2)</f>
        <v>49.4</v>
      </c>
    </row>
    <row r="38" spans="1:8" x14ac:dyDescent="0.25">
      <c r="A38" s="3" t="s">
        <v>50</v>
      </c>
      <c r="B38" s="3"/>
      <c r="C38" s="8">
        <v>0</v>
      </c>
      <c r="D38" s="8">
        <v>0</v>
      </c>
      <c r="E38" s="8">
        <v>0</v>
      </c>
      <c r="F38" s="8">
        <v>0</v>
      </c>
      <c r="G38" s="8">
        <f>SUM(C38:F38)</f>
        <v>0</v>
      </c>
      <c r="H38" s="8">
        <f>ROUND(G38/909,2)</f>
        <v>0</v>
      </c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 t="s">
        <v>2</v>
      </c>
      <c r="D40" s="3">
        <v>2022</v>
      </c>
      <c r="E40" s="3" t="s">
        <v>51</v>
      </c>
      <c r="F40" s="3"/>
      <c r="G40" s="3"/>
      <c r="H40" s="3"/>
    </row>
    <row r="41" spans="1:8" x14ac:dyDescent="0.25">
      <c r="A41" s="3" t="s">
        <v>52</v>
      </c>
      <c r="B41" s="3"/>
      <c r="C41" s="13">
        <v>0.66190000000000004</v>
      </c>
      <c r="D41" s="13">
        <v>0.59730000000000005</v>
      </c>
      <c r="E41" s="13">
        <v>0.77659999999999996</v>
      </c>
      <c r="F41" s="3"/>
      <c r="G41" s="3"/>
      <c r="H41" s="3"/>
    </row>
    <row r="42" spans="1:8" x14ac:dyDescent="0.25">
      <c r="A42" s="3" t="s">
        <v>53</v>
      </c>
      <c r="B42" s="3"/>
      <c r="C42" s="13">
        <v>0.66190000000000004</v>
      </c>
      <c r="D42" s="13">
        <v>0.55910000000000004</v>
      </c>
      <c r="E42" s="13">
        <v>0.75900000000000001</v>
      </c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 t="s">
        <v>256</v>
      </c>
      <c r="B44" s="3"/>
      <c r="C44" s="3" t="s">
        <v>2</v>
      </c>
      <c r="D44" s="3" t="s">
        <v>61</v>
      </c>
      <c r="E44" s="3" t="s">
        <v>55</v>
      </c>
      <c r="F44" s="3" t="s">
        <v>254</v>
      </c>
      <c r="G44" s="3"/>
      <c r="H44" s="3"/>
    </row>
    <row r="45" spans="1:8" x14ac:dyDescent="0.25">
      <c r="A45" s="3" t="s">
        <v>56</v>
      </c>
      <c r="B45" s="3"/>
      <c r="C45" s="3"/>
      <c r="D45" s="3">
        <v>97.88</v>
      </c>
      <c r="E45" s="3">
        <v>81.5</v>
      </c>
      <c r="F45" s="3">
        <v>50.61</v>
      </c>
      <c r="G45" s="3"/>
      <c r="H45" s="3"/>
    </row>
    <row r="46" spans="1:8" x14ac:dyDescent="0.25">
      <c r="A46" s="3" t="s">
        <v>57</v>
      </c>
      <c r="B46" s="3"/>
      <c r="C46" s="3"/>
      <c r="D46" s="3">
        <v>41.21</v>
      </c>
      <c r="E46" s="3">
        <v>58.24</v>
      </c>
      <c r="F46" s="3">
        <v>57.37</v>
      </c>
      <c r="G46" s="3"/>
      <c r="H46" s="3"/>
    </row>
    <row r="47" spans="1:8" x14ac:dyDescent="0.25">
      <c r="A47" s="3" t="s">
        <v>58</v>
      </c>
      <c r="B47" s="3"/>
      <c r="C47" s="3"/>
      <c r="D47" s="3">
        <v>174.99</v>
      </c>
      <c r="E47" s="3">
        <v>261.52999999999997</v>
      </c>
      <c r="F47" s="3">
        <v>249.57</v>
      </c>
      <c r="G47" s="3"/>
      <c r="H47" s="3"/>
    </row>
    <row r="48" spans="1:8" x14ac:dyDescent="0.25">
      <c r="A48" s="3" t="s">
        <v>59</v>
      </c>
      <c r="B48" s="3"/>
      <c r="C48" s="3"/>
      <c r="D48" s="3">
        <v>104.9</v>
      </c>
      <c r="E48" s="3">
        <v>103.11</v>
      </c>
      <c r="F48" s="3">
        <v>71.400000000000006</v>
      </c>
      <c r="G48" s="3"/>
      <c r="H4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I59"/>
  <sheetViews>
    <sheetView topLeftCell="A27" workbookViewId="0">
      <selection activeCell="G56" sqref="G56:G59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1.855468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143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3623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57</v>
      </c>
      <c r="F9" s="10"/>
      <c r="G9" s="10">
        <f t="shared" ref="G9:G43" si="0">SUM(C9:F9)</f>
        <v>57</v>
      </c>
      <c r="H9">
        <f t="shared" ref="H9:H43" si="1">ROUND(G9/3623,2)</f>
        <v>0.02</v>
      </c>
      <c r="I9" s="14">
        <f t="shared" ref="I9:I40" si="2">ROUND(G9/$G$44,3)</f>
        <v>0</v>
      </c>
    </row>
    <row r="10" spans="1:9" x14ac:dyDescent="0.25">
      <c r="A10" t="s">
        <v>19</v>
      </c>
      <c r="B10" t="s">
        <v>20</v>
      </c>
      <c r="C10" s="10">
        <v>58060</v>
      </c>
      <c r="D10" s="10"/>
      <c r="E10" s="10">
        <v>1970</v>
      </c>
      <c r="F10" s="10"/>
      <c r="G10" s="10">
        <f t="shared" si="0"/>
        <v>60030</v>
      </c>
      <c r="H10">
        <f t="shared" si="1"/>
        <v>16.57</v>
      </c>
      <c r="I10" s="14">
        <f>ROUND(G10/$G$44,3)</f>
        <v>0.113</v>
      </c>
    </row>
    <row r="11" spans="1:9" x14ac:dyDescent="0.25">
      <c r="A11" t="s">
        <v>19</v>
      </c>
      <c r="B11" t="s">
        <v>21</v>
      </c>
      <c r="C11" s="10">
        <v>63670</v>
      </c>
      <c r="D11" s="10"/>
      <c r="E11" s="10"/>
      <c r="F11" s="10"/>
      <c r="G11" s="10">
        <f t="shared" si="0"/>
        <v>63670</v>
      </c>
      <c r="H11">
        <f t="shared" si="1"/>
        <v>17.57</v>
      </c>
      <c r="I11" s="14">
        <f t="shared" si="2"/>
        <v>0.12</v>
      </c>
    </row>
    <row r="12" spans="1:9" x14ac:dyDescent="0.25">
      <c r="A12" t="s">
        <v>19</v>
      </c>
      <c r="B12" t="s">
        <v>76</v>
      </c>
      <c r="C12" s="10"/>
      <c r="D12" s="10"/>
      <c r="E12" s="10">
        <v>84</v>
      </c>
      <c r="F12" s="10"/>
      <c r="G12" s="10">
        <f t="shared" si="0"/>
        <v>84</v>
      </c>
      <c r="H12">
        <f t="shared" si="1"/>
        <v>0.02</v>
      </c>
      <c r="I12" s="14">
        <f t="shared" si="2"/>
        <v>0</v>
      </c>
    </row>
    <row r="13" spans="1:9" x14ac:dyDescent="0.25">
      <c r="A13" t="s">
        <v>19</v>
      </c>
      <c r="B13" t="s">
        <v>41</v>
      </c>
      <c r="C13" s="10"/>
      <c r="D13" s="10"/>
      <c r="E13" s="10">
        <v>180</v>
      </c>
      <c r="F13" s="10"/>
      <c r="G13" s="10">
        <f t="shared" si="0"/>
        <v>180</v>
      </c>
      <c r="H13">
        <f t="shared" si="1"/>
        <v>0.05</v>
      </c>
      <c r="I13" s="14">
        <f t="shared" si="2"/>
        <v>0</v>
      </c>
    </row>
    <row r="14" spans="1:9" x14ac:dyDescent="0.25">
      <c r="A14" t="s">
        <v>19</v>
      </c>
      <c r="B14" t="s">
        <v>22</v>
      </c>
      <c r="C14" s="10"/>
      <c r="D14" s="10"/>
      <c r="E14" s="10">
        <v>1500</v>
      </c>
      <c r="F14" s="10"/>
      <c r="G14" s="10">
        <f t="shared" si="0"/>
        <v>1500</v>
      </c>
      <c r="H14">
        <f t="shared" si="1"/>
        <v>0.41</v>
      </c>
      <c r="I14" s="14">
        <f t="shared" si="2"/>
        <v>3.0000000000000001E-3</v>
      </c>
    </row>
    <row r="15" spans="1:9" x14ac:dyDescent="0.25">
      <c r="A15" t="s">
        <v>19</v>
      </c>
      <c r="B15" t="s">
        <v>23</v>
      </c>
      <c r="C15" s="10"/>
      <c r="D15" s="10"/>
      <c r="E15" s="10">
        <v>20940</v>
      </c>
      <c r="F15" s="10"/>
      <c r="G15" s="10">
        <f t="shared" si="0"/>
        <v>20940</v>
      </c>
      <c r="H15">
        <f t="shared" si="1"/>
        <v>5.78</v>
      </c>
      <c r="I15" s="14">
        <f t="shared" si="2"/>
        <v>3.9E-2</v>
      </c>
    </row>
    <row r="16" spans="1:9" x14ac:dyDescent="0.25">
      <c r="A16" t="s">
        <v>19</v>
      </c>
      <c r="B16" t="s">
        <v>24</v>
      </c>
      <c r="C16" s="10">
        <v>79540</v>
      </c>
      <c r="D16" s="10"/>
      <c r="E16" s="10">
        <v>6540</v>
      </c>
      <c r="F16" s="10"/>
      <c r="G16" s="10">
        <f t="shared" si="0"/>
        <v>86080</v>
      </c>
      <c r="H16">
        <f t="shared" si="1"/>
        <v>23.76</v>
      </c>
      <c r="I16" s="14">
        <f t="shared" si="2"/>
        <v>0.16200000000000001</v>
      </c>
    </row>
    <row r="17" spans="1:9" x14ac:dyDescent="0.25">
      <c r="A17" t="s">
        <v>19</v>
      </c>
      <c r="B17" t="s">
        <v>66</v>
      </c>
      <c r="C17" s="10"/>
      <c r="D17" s="10"/>
      <c r="E17" s="10">
        <v>2090</v>
      </c>
      <c r="F17" s="10"/>
      <c r="G17" s="10">
        <f t="shared" si="0"/>
        <v>2090</v>
      </c>
      <c r="H17">
        <f t="shared" si="1"/>
        <v>0.57999999999999996</v>
      </c>
      <c r="I17" s="14">
        <f t="shared" si="2"/>
        <v>4.0000000000000001E-3</v>
      </c>
    </row>
    <row r="18" spans="1:9" x14ac:dyDescent="0.25">
      <c r="A18" t="s">
        <v>19</v>
      </c>
      <c r="B18" t="s">
        <v>25</v>
      </c>
      <c r="C18" s="10">
        <v>91490</v>
      </c>
      <c r="D18" s="10"/>
      <c r="E18" s="10"/>
      <c r="F18" s="10">
        <v>930</v>
      </c>
      <c r="G18" s="10">
        <f t="shared" si="0"/>
        <v>92420</v>
      </c>
      <c r="H18">
        <f t="shared" si="1"/>
        <v>25.51</v>
      </c>
      <c r="I18" s="14">
        <f t="shared" si="2"/>
        <v>0.17299999999999999</v>
      </c>
    </row>
    <row r="19" spans="1:9" x14ac:dyDescent="0.25">
      <c r="A19" t="s">
        <v>19</v>
      </c>
      <c r="B19" t="s">
        <v>26</v>
      </c>
      <c r="C19" s="10"/>
      <c r="D19" s="10"/>
      <c r="E19" s="10">
        <v>304</v>
      </c>
      <c r="F19" s="10"/>
      <c r="G19" s="10">
        <f t="shared" si="0"/>
        <v>304</v>
      </c>
      <c r="H19">
        <f t="shared" si="1"/>
        <v>0.08</v>
      </c>
      <c r="I19" s="14">
        <f t="shared" si="2"/>
        <v>1E-3</v>
      </c>
    </row>
    <row r="20" spans="1:9" x14ac:dyDescent="0.25">
      <c r="A20" t="s">
        <v>19</v>
      </c>
      <c r="B20" t="s">
        <v>27</v>
      </c>
      <c r="C20" s="10"/>
      <c r="D20" s="10"/>
      <c r="E20" s="10">
        <v>333</v>
      </c>
      <c r="F20" s="10"/>
      <c r="G20" s="10">
        <f t="shared" si="0"/>
        <v>333</v>
      </c>
      <c r="H20">
        <f t="shared" si="1"/>
        <v>0.09</v>
      </c>
      <c r="I20" s="14">
        <f t="shared" si="2"/>
        <v>1E-3</v>
      </c>
    </row>
    <row r="21" spans="1:9" x14ac:dyDescent="0.25">
      <c r="A21" t="s">
        <v>19</v>
      </c>
      <c r="B21" t="s">
        <v>28</v>
      </c>
      <c r="C21" s="10"/>
      <c r="D21" s="10"/>
      <c r="E21" s="10">
        <v>144</v>
      </c>
      <c r="F21" s="10"/>
      <c r="G21" s="10">
        <f t="shared" si="0"/>
        <v>144</v>
      </c>
      <c r="H21">
        <f t="shared" si="1"/>
        <v>0.04</v>
      </c>
      <c r="I21" s="14">
        <f t="shared" si="2"/>
        <v>0</v>
      </c>
    </row>
    <row r="22" spans="1:9" x14ac:dyDescent="0.25">
      <c r="A22" t="s">
        <v>19</v>
      </c>
      <c r="B22" t="s">
        <v>29</v>
      </c>
      <c r="C22" s="10"/>
      <c r="D22" s="10"/>
      <c r="E22" s="10">
        <v>5040</v>
      </c>
      <c r="F22" s="10"/>
      <c r="G22" s="10">
        <f t="shared" si="0"/>
        <v>5040</v>
      </c>
      <c r="H22">
        <f t="shared" si="1"/>
        <v>1.39</v>
      </c>
      <c r="I22" s="14">
        <f t="shared" si="2"/>
        <v>8.9999999999999993E-3</v>
      </c>
    </row>
    <row r="23" spans="1:9" x14ac:dyDescent="0.25">
      <c r="A23" t="s">
        <v>19</v>
      </c>
      <c r="B23" t="s">
        <v>30</v>
      </c>
      <c r="C23" s="10"/>
      <c r="D23" s="10"/>
      <c r="E23" s="10">
        <v>730</v>
      </c>
      <c r="F23" s="10"/>
      <c r="G23" s="10">
        <f t="shared" si="0"/>
        <v>730</v>
      </c>
      <c r="H23">
        <f t="shared" si="1"/>
        <v>0.2</v>
      </c>
      <c r="I23" s="14">
        <f t="shared" si="2"/>
        <v>1E-3</v>
      </c>
    </row>
    <row r="24" spans="1:9" x14ac:dyDescent="0.25">
      <c r="A24" t="s">
        <v>19</v>
      </c>
      <c r="B24" t="s">
        <v>31</v>
      </c>
      <c r="C24" s="10"/>
      <c r="D24" s="10"/>
      <c r="E24" s="10">
        <v>530</v>
      </c>
      <c r="F24" s="10"/>
      <c r="G24" s="10">
        <f t="shared" si="0"/>
        <v>530</v>
      </c>
      <c r="H24">
        <f t="shared" si="1"/>
        <v>0.15</v>
      </c>
      <c r="I24" s="14">
        <f t="shared" si="2"/>
        <v>1E-3</v>
      </c>
    </row>
    <row r="25" spans="1:9" x14ac:dyDescent="0.25">
      <c r="A25" t="s">
        <v>19</v>
      </c>
      <c r="B25" t="s">
        <v>32</v>
      </c>
      <c r="C25" s="10"/>
      <c r="D25" s="10"/>
      <c r="E25" s="10">
        <v>545</v>
      </c>
      <c r="F25" s="10"/>
      <c r="G25" s="10">
        <f t="shared" si="0"/>
        <v>545</v>
      </c>
      <c r="H25">
        <f t="shared" si="1"/>
        <v>0.15</v>
      </c>
      <c r="I25" s="14">
        <f t="shared" si="2"/>
        <v>1E-3</v>
      </c>
    </row>
    <row r="26" spans="1:9" x14ac:dyDescent="0.25">
      <c r="A26" t="s">
        <v>19</v>
      </c>
      <c r="B26" t="s">
        <v>42</v>
      </c>
      <c r="C26" s="10"/>
      <c r="D26" s="10">
        <v>127</v>
      </c>
      <c r="E26" s="10"/>
      <c r="F26" s="10"/>
      <c r="G26" s="10">
        <f t="shared" si="0"/>
        <v>127</v>
      </c>
      <c r="H26">
        <f t="shared" si="1"/>
        <v>0.04</v>
      </c>
      <c r="I26" s="14">
        <f t="shared" si="2"/>
        <v>0</v>
      </c>
    </row>
    <row r="27" spans="1:9" x14ac:dyDescent="0.25">
      <c r="A27" t="s">
        <v>19</v>
      </c>
      <c r="B27" t="s">
        <v>34</v>
      </c>
      <c r="C27" s="10"/>
      <c r="D27" s="10"/>
      <c r="E27" s="10">
        <v>2824</v>
      </c>
      <c r="F27" s="10"/>
      <c r="G27" s="10">
        <f t="shared" si="0"/>
        <v>2824</v>
      </c>
      <c r="H27">
        <f t="shared" si="1"/>
        <v>0.78</v>
      </c>
      <c r="I27" s="14">
        <f t="shared" si="2"/>
        <v>5.0000000000000001E-3</v>
      </c>
    </row>
    <row r="28" spans="1:9" x14ac:dyDescent="0.25">
      <c r="A28" t="s">
        <v>19</v>
      </c>
      <c r="B28" t="s">
        <v>35</v>
      </c>
      <c r="C28" s="10"/>
      <c r="D28" s="10"/>
      <c r="E28" s="10">
        <v>1680</v>
      </c>
      <c r="F28" s="10"/>
      <c r="G28" s="10">
        <f t="shared" si="0"/>
        <v>1680</v>
      </c>
      <c r="H28">
        <f t="shared" si="1"/>
        <v>0.46</v>
      </c>
      <c r="I28" s="14">
        <f t="shared" si="2"/>
        <v>3.0000000000000001E-3</v>
      </c>
    </row>
    <row r="29" spans="1:9" x14ac:dyDescent="0.25">
      <c r="A29" t="s">
        <v>19</v>
      </c>
      <c r="B29" t="s">
        <v>40</v>
      </c>
      <c r="C29" s="10"/>
      <c r="D29" s="10"/>
      <c r="E29" s="10">
        <v>3863</v>
      </c>
      <c r="F29" s="10"/>
      <c r="G29" s="10">
        <f t="shared" si="0"/>
        <v>3863</v>
      </c>
      <c r="H29">
        <f t="shared" si="1"/>
        <v>1.07</v>
      </c>
      <c r="I29" s="14">
        <f t="shared" si="2"/>
        <v>7.0000000000000001E-3</v>
      </c>
    </row>
    <row r="30" spans="1:9" x14ac:dyDescent="0.25">
      <c r="A30" t="s">
        <v>19</v>
      </c>
      <c r="B30" t="s">
        <v>36</v>
      </c>
      <c r="C30" s="10"/>
      <c r="D30" s="10"/>
      <c r="E30" s="10">
        <v>33330</v>
      </c>
      <c r="F30" s="10"/>
      <c r="G30" s="10">
        <f t="shared" si="0"/>
        <v>33330</v>
      </c>
      <c r="H30">
        <f t="shared" si="1"/>
        <v>9.1999999999999993</v>
      </c>
      <c r="I30" s="14">
        <f t="shared" si="2"/>
        <v>6.3E-2</v>
      </c>
    </row>
    <row r="31" spans="1:9" x14ac:dyDescent="0.25">
      <c r="A31" t="s">
        <v>19</v>
      </c>
      <c r="B31" t="s">
        <v>37</v>
      </c>
      <c r="C31" s="10"/>
      <c r="D31" s="10"/>
      <c r="E31" s="10">
        <v>2480</v>
      </c>
      <c r="F31" s="10"/>
      <c r="G31" s="10">
        <f t="shared" si="0"/>
        <v>2480</v>
      </c>
      <c r="H31">
        <f t="shared" si="1"/>
        <v>0.68</v>
      </c>
      <c r="I31" s="14">
        <f t="shared" si="2"/>
        <v>5.0000000000000001E-3</v>
      </c>
    </row>
    <row r="32" spans="1:9" x14ac:dyDescent="0.25">
      <c r="A32" t="s">
        <v>19</v>
      </c>
      <c r="B32" t="s">
        <v>38</v>
      </c>
      <c r="C32" s="10"/>
      <c r="D32" s="10"/>
      <c r="E32" s="10">
        <v>9860</v>
      </c>
      <c r="F32" s="10"/>
      <c r="G32" s="10">
        <f t="shared" si="0"/>
        <v>9860</v>
      </c>
      <c r="H32">
        <f t="shared" si="1"/>
        <v>2.72</v>
      </c>
      <c r="I32" s="14">
        <f t="shared" si="2"/>
        <v>1.9E-2</v>
      </c>
    </row>
    <row r="33" spans="1:9" x14ac:dyDescent="0.25">
      <c r="A33" t="s">
        <v>19</v>
      </c>
      <c r="B33" t="s">
        <v>39</v>
      </c>
      <c r="C33" s="10"/>
      <c r="D33" s="10"/>
      <c r="E33" s="10">
        <v>39650</v>
      </c>
      <c r="F33" s="10"/>
      <c r="G33" s="10">
        <f t="shared" si="0"/>
        <v>39650</v>
      </c>
      <c r="H33">
        <f t="shared" si="1"/>
        <v>10.94</v>
      </c>
      <c r="I33" s="14">
        <f t="shared" si="2"/>
        <v>7.3999999999999996E-2</v>
      </c>
    </row>
    <row r="34" spans="1:9" x14ac:dyDescent="0.25">
      <c r="A34" t="s">
        <v>19</v>
      </c>
      <c r="B34" t="s">
        <v>33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79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19</v>
      </c>
      <c r="B36" t="s">
        <v>67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43</v>
      </c>
      <c r="B37" t="s">
        <v>44</v>
      </c>
      <c r="C37" s="10">
        <v>77440</v>
      </c>
      <c r="D37" s="10"/>
      <c r="E37" s="10"/>
      <c r="F37" s="10">
        <v>420</v>
      </c>
      <c r="G37" s="10">
        <f t="shared" si="0"/>
        <v>77860</v>
      </c>
      <c r="H37">
        <f t="shared" si="1"/>
        <v>21.49</v>
      </c>
      <c r="I37" s="14">
        <f t="shared" si="2"/>
        <v>0.14599999999999999</v>
      </c>
    </row>
    <row r="38" spans="1:9" x14ac:dyDescent="0.25">
      <c r="A38" t="s">
        <v>43</v>
      </c>
      <c r="B38" t="s">
        <v>45</v>
      </c>
      <c r="C38" s="10"/>
      <c r="D38" s="10"/>
      <c r="E38" s="10">
        <v>26420</v>
      </c>
      <c r="F38" s="10"/>
      <c r="G38" s="10">
        <f t="shared" si="0"/>
        <v>26420</v>
      </c>
      <c r="H38">
        <f t="shared" si="1"/>
        <v>7.29</v>
      </c>
      <c r="I38" s="14">
        <f t="shared" si="2"/>
        <v>0.05</v>
      </c>
    </row>
    <row r="39" spans="1:9" x14ac:dyDescent="0.25">
      <c r="A39" t="s">
        <v>43</v>
      </c>
      <c r="B39" t="s">
        <v>46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15</v>
      </c>
      <c r="B40" t="s">
        <v>18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t="s">
        <v>15</v>
      </c>
      <c r="B41" t="s">
        <v>16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ROUND(G41/$G$44,3)</f>
        <v>0</v>
      </c>
    </row>
    <row r="42" spans="1:9" x14ac:dyDescent="0.25">
      <c r="A42" t="s">
        <v>15</v>
      </c>
      <c r="B42" t="s">
        <v>17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>ROUND(G42/$G$44,3)</f>
        <v>0</v>
      </c>
    </row>
    <row r="43" spans="1:9" x14ac:dyDescent="0.25">
      <c r="A43" t="s">
        <v>15</v>
      </c>
      <c r="B43" t="s">
        <v>63</v>
      </c>
      <c r="C43" s="10"/>
      <c r="D43" s="10"/>
      <c r="E43" s="10"/>
      <c r="F43" s="10"/>
      <c r="G43" s="10">
        <f t="shared" si="0"/>
        <v>0</v>
      </c>
      <c r="H43">
        <f t="shared" si="1"/>
        <v>0</v>
      </c>
      <c r="I43" s="14">
        <f>ROUND(G43/$G$44,3)</f>
        <v>0</v>
      </c>
    </row>
    <row r="44" spans="1:9" x14ac:dyDescent="0.25">
      <c r="A44" s="3" t="s">
        <v>253</v>
      </c>
      <c r="B44" s="3"/>
      <c r="C44" s="8">
        <f t="shared" ref="C44:H44" si="4">SUM(C8:C43)</f>
        <v>370200</v>
      </c>
      <c r="D44" s="8">
        <f t="shared" si="4"/>
        <v>127</v>
      </c>
      <c r="E44" s="8">
        <f t="shared" si="4"/>
        <v>161094</v>
      </c>
      <c r="F44" s="8">
        <f t="shared" si="4"/>
        <v>1350</v>
      </c>
      <c r="G44" s="8">
        <f t="shared" si="4"/>
        <v>532771</v>
      </c>
      <c r="H44" s="3">
        <f t="shared" si="4"/>
        <v>147.04000000000002</v>
      </c>
    </row>
    <row r="45" spans="1:9" x14ac:dyDescent="0.25">
      <c r="A45" s="3" t="s">
        <v>14</v>
      </c>
      <c r="B45" s="3"/>
      <c r="C45" s="13">
        <f>ROUND(C44/G44,2)</f>
        <v>0.69</v>
      </c>
      <c r="D45" s="13">
        <f>ROUND(D44/G44,2)</f>
        <v>0</v>
      </c>
      <c r="E45" s="13">
        <f>ROUND(E44/G44,2)</f>
        <v>0.3</v>
      </c>
      <c r="F45" s="13">
        <f>ROUND(F44/G44,2)</f>
        <v>0</v>
      </c>
      <c r="G45" s="3"/>
      <c r="H45" s="3"/>
    </row>
    <row r="46" spans="1:9" x14ac:dyDescent="0.25">
      <c r="A46" s="3" t="s">
        <v>47</v>
      </c>
      <c r="B46" s="3"/>
      <c r="C46" s="3"/>
      <c r="D46" s="3"/>
      <c r="E46" s="3"/>
      <c r="F46" s="3"/>
      <c r="G46" s="3"/>
      <c r="H46" s="3"/>
    </row>
    <row r="47" spans="1:9" x14ac:dyDescent="0.25">
      <c r="A47" s="3" t="s">
        <v>48</v>
      </c>
      <c r="B47" s="3"/>
      <c r="C47" s="8">
        <v>292760</v>
      </c>
      <c r="D47" s="8">
        <v>127</v>
      </c>
      <c r="E47" s="8">
        <v>134674</v>
      </c>
      <c r="F47" s="8">
        <v>930</v>
      </c>
      <c r="G47" s="8">
        <f>SUM(C47:F47)</f>
        <v>428491</v>
      </c>
      <c r="H47" s="8">
        <f>ROUND(G47/3623,2)</f>
        <v>118.27</v>
      </c>
    </row>
    <row r="48" spans="1:9" x14ac:dyDescent="0.25">
      <c r="A48" s="3" t="s">
        <v>49</v>
      </c>
      <c r="B48" s="3"/>
      <c r="C48" s="8">
        <v>77440</v>
      </c>
      <c r="D48" s="8">
        <v>0</v>
      </c>
      <c r="E48" s="8">
        <v>26420</v>
      </c>
      <c r="F48" s="8">
        <v>420</v>
      </c>
      <c r="G48" s="8">
        <f>SUM(C48:F48)</f>
        <v>104280</v>
      </c>
      <c r="H48" s="8">
        <f>ROUND(G48/3623,2)</f>
        <v>28.78</v>
      </c>
    </row>
    <row r="49" spans="1:8" x14ac:dyDescent="0.25">
      <c r="A49" s="3" t="s">
        <v>50</v>
      </c>
      <c r="B49" s="3"/>
      <c r="C49" s="8">
        <v>0</v>
      </c>
      <c r="D49" s="8">
        <v>0</v>
      </c>
      <c r="E49" s="8">
        <v>0</v>
      </c>
      <c r="F49" s="8">
        <v>0</v>
      </c>
      <c r="G49" s="8">
        <f>SUM(C49:F49)</f>
        <v>0</v>
      </c>
      <c r="H49" s="8">
        <f>ROUND(G49/3623,2)</f>
        <v>0</v>
      </c>
    </row>
    <row r="51" spans="1:8" x14ac:dyDescent="0.25">
      <c r="A51" s="3"/>
      <c r="B51" s="3"/>
      <c r="C51" s="3" t="s">
        <v>2</v>
      </c>
      <c r="D51" s="3">
        <v>2022</v>
      </c>
      <c r="E51" s="3" t="s">
        <v>51</v>
      </c>
    </row>
    <row r="52" spans="1:8" x14ac:dyDescent="0.25">
      <c r="A52" s="3" t="s">
        <v>52</v>
      </c>
      <c r="B52" s="3"/>
      <c r="C52" s="13">
        <v>0.84740000000000004</v>
      </c>
      <c r="D52" s="13">
        <v>0.84330000000000005</v>
      </c>
      <c r="E52" s="13">
        <v>0.77659999999999996</v>
      </c>
    </row>
    <row r="53" spans="1:8" x14ac:dyDescent="0.25">
      <c r="A53" s="3" t="s">
        <v>53</v>
      </c>
      <c r="B53" s="3"/>
      <c r="C53" s="13">
        <v>0.83230000000000004</v>
      </c>
      <c r="D53" s="13">
        <v>0.83</v>
      </c>
      <c r="E53" s="13">
        <v>0.75900000000000001</v>
      </c>
    </row>
    <row r="55" spans="1:8" x14ac:dyDescent="0.25">
      <c r="A55" s="3" t="s">
        <v>256</v>
      </c>
      <c r="B55" s="3"/>
      <c r="C55" s="3" t="s">
        <v>2</v>
      </c>
      <c r="D55" s="3" t="s">
        <v>144</v>
      </c>
      <c r="E55" s="3" t="s">
        <v>55</v>
      </c>
      <c r="F55" s="3" t="s">
        <v>254</v>
      </c>
      <c r="G55" s="3"/>
    </row>
    <row r="56" spans="1:8" x14ac:dyDescent="0.25">
      <c r="A56" s="3" t="s">
        <v>56</v>
      </c>
      <c r="B56" s="3"/>
      <c r="C56" s="3"/>
      <c r="D56" s="3">
        <v>37.81</v>
      </c>
      <c r="E56" s="3">
        <v>81.5</v>
      </c>
      <c r="F56" s="3">
        <v>50.61</v>
      </c>
      <c r="G56" s="3"/>
    </row>
    <row r="57" spans="1:8" x14ac:dyDescent="0.25">
      <c r="A57" s="3" t="s">
        <v>57</v>
      </c>
      <c r="B57" s="3"/>
      <c r="C57" s="3"/>
      <c r="D57" s="3">
        <v>50.54</v>
      </c>
      <c r="E57" s="3">
        <v>58.24</v>
      </c>
      <c r="F57" s="3">
        <v>57.37</v>
      </c>
      <c r="G57" s="3"/>
    </row>
    <row r="58" spans="1:8" x14ac:dyDescent="0.25">
      <c r="A58" s="3" t="s">
        <v>58</v>
      </c>
      <c r="B58" s="3"/>
      <c r="C58" s="3"/>
      <c r="D58" s="3">
        <v>228.73</v>
      </c>
      <c r="E58" s="3">
        <v>261.52999999999997</v>
      </c>
      <c r="F58" s="3">
        <v>249.57</v>
      </c>
      <c r="G58" s="3"/>
    </row>
    <row r="59" spans="1:8" x14ac:dyDescent="0.25">
      <c r="A59" s="3" t="s">
        <v>59</v>
      </c>
      <c r="B59" s="3"/>
      <c r="C59" s="3"/>
      <c r="D59" s="3">
        <v>62.12</v>
      </c>
      <c r="E59" s="3">
        <v>103.11</v>
      </c>
      <c r="F59" s="3">
        <v>71.400000000000006</v>
      </c>
      <c r="G5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N53"/>
  <sheetViews>
    <sheetView topLeftCell="A21" workbookViewId="0">
      <selection activeCell="G50" sqref="G50:G53"/>
    </sheetView>
  </sheetViews>
  <sheetFormatPr defaultRowHeight="15" x14ac:dyDescent="0.25"/>
  <cols>
    <col min="1" max="1" width="48.28515625" bestFit="1" customWidth="1"/>
    <col min="2" max="2" width="42.7109375" bestFit="1" customWidth="1"/>
    <col min="3" max="3" width="12.5703125" bestFit="1" customWidth="1"/>
    <col min="4" max="4" width="23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  <col min="14" max="15" width="6" bestFit="1" customWidth="1"/>
  </cols>
  <sheetData>
    <row r="2" spans="1:14" ht="18.75" x14ac:dyDescent="0.3">
      <c r="A2" s="1" t="s">
        <v>0</v>
      </c>
      <c r="B2" s="2" t="s">
        <v>145</v>
      </c>
    </row>
    <row r="3" spans="1:14" x14ac:dyDescent="0.25">
      <c r="A3" s="1" t="s">
        <v>2</v>
      </c>
      <c r="B3" t="s">
        <v>3</v>
      </c>
    </row>
    <row r="4" spans="1:14" x14ac:dyDescent="0.25">
      <c r="A4" s="1" t="s">
        <v>4</v>
      </c>
      <c r="B4">
        <v>596</v>
      </c>
    </row>
    <row r="7" spans="1:14" x14ac:dyDescent="0.25">
      <c r="C7" s="1" t="s">
        <v>5</v>
      </c>
    </row>
    <row r="8" spans="1:14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N8" s="3"/>
    </row>
    <row r="9" spans="1:14" x14ac:dyDescent="0.25">
      <c r="A9" t="s">
        <v>19</v>
      </c>
      <c r="B9" t="s">
        <v>20</v>
      </c>
      <c r="C9" s="10">
        <v>7550</v>
      </c>
      <c r="D9" s="10"/>
      <c r="E9" s="10"/>
      <c r="F9" s="10"/>
      <c r="G9" s="10">
        <f t="shared" ref="G9:G37" si="0">SUM(C9:F9)</f>
        <v>7550</v>
      </c>
      <c r="H9">
        <f t="shared" ref="H9:H37" si="1">ROUND(G9/596,2)</f>
        <v>12.67</v>
      </c>
      <c r="I9" s="14">
        <f t="shared" ref="I9:I37" si="2">ROUND(G9/$G$38,3)</f>
        <v>8.5000000000000006E-2</v>
      </c>
    </row>
    <row r="10" spans="1:14" x14ac:dyDescent="0.25">
      <c r="A10" t="s">
        <v>19</v>
      </c>
      <c r="B10" t="s">
        <v>21</v>
      </c>
      <c r="C10" s="10">
        <v>14250</v>
      </c>
      <c r="D10" s="10"/>
      <c r="E10" s="10"/>
      <c r="F10" s="10"/>
      <c r="G10" s="10">
        <f t="shared" si="0"/>
        <v>14250</v>
      </c>
      <c r="H10">
        <f t="shared" si="1"/>
        <v>23.91</v>
      </c>
      <c r="I10" s="14">
        <f t="shared" si="2"/>
        <v>0.16</v>
      </c>
    </row>
    <row r="11" spans="1:14" x14ac:dyDescent="0.25">
      <c r="A11" t="s">
        <v>19</v>
      </c>
      <c r="B11" t="s">
        <v>41</v>
      </c>
      <c r="C11" s="10"/>
      <c r="D11" s="10"/>
      <c r="E11" s="10">
        <v>30</v>
      </c>
      <c r="F11" s="10"/>
      <c r="G11" s="10">
        <f t="shared" si="0"/>
        <v>30</v>
      </c>
      <c r="H11">
        <f t="shared" si="1"/>
        <v>0.05</v>
      </c>
      <c r="I11" s="14">
        <f t="shared" si="2"/>
        <v>0</v>
      </c>
    </row>
    <row r="12" spans="1:14" x14ac:dyDescent="0.25">
      <c r="A12" t="s">
        <v>19</v>
      </c>
      <c r="B12" t="s">
        <v>23</v>
      </c>
      <c r="C12" s="10"/>
      <c r="D12" s="10"/>
      <c r="E12" s="10">
        <v>7380</v>
      </c>
      <c r="F12" s="10"/>
      <c r="G12" s="10">
        <f t="shared" si="0"/>
        <v>7380</v>
      </c>
      <c r="H12">
        <f t="shared" si="1"/>
        <v>12.38</v>
      </c>
      <c r="I12" s="14">
        <f t="shared" si="2"/>
        <v>8.3000000000000004E-2</v>
      </c>
    </row>
    <row r="13" spans="1:14" x14ac:dyDescent="0.25">
      <c r="A13" t="s">
        <v>19</v>
      </c>
      <c r="B13" t="s">
        <v>24</v>
      </c>
      <c r="C13" s="10">
        <v>10180</v>
      </c>
      <c r="D13" s="10"/>
      <c r="E13" s="10"/>
      <c r="F13" s="10"/>
      <c r="G13" s="10">
        <f t="shared" si="0"/>
        <v>10180</v>
      </c>
      <c r="H13">
        <f t="shared" si="1"/>
        <v>17.079999999999998</v>
      </c>
      <c r="I13" s="14">
        <f t="shared" si="2"/>
        <v>0.114</v>
      </c>
    </row>
    <row r="14" spans="1:14" x14ac:dyDescent="0.25">
      <c r="A14" t="s">
        <v>19</v>
      </c>
      <c r="B14" t="s">
        <v>25</v>
      </c>
      <c r="C14" s="10">
        <v>11620</v>
      </c>
      <c r="D14" s="10"/>
      <c r="E14" s="10"/>
      <c r="F14" s="10"/>
      <c r="G14" s="10">
        <f t="shared" si="0"/>
        <v>11620</v>
      </c>
      <c r="H14">
        <f t="shared" si="1"/>
        <v>19.5</v>
      </c>
      <c r="I14" s="14">
        <f t="shared" si="2"/>
        <v>0.13</v>
      </c>
    </row>
    <row r="15" spans="1:14" x14ac:dyDescent="0.25">
      <c r="A15" t="s">
        <v>19</v>
      </c>
      <c r="B15" t="s">
        <v>26</v>
      </c>
      <c r="C15" s="10"/>
      <c r="D15" s="10"/>
      <c r="E15" s="10">
        <v>319</v>
      </c>
      <c r="F15" s="10"/>
      <c r="G15" s="10">
        <f t="shared" si="0"/>
        <v>319</v>
      </c>
      <c r="H15">
        <f t="shared" si="1"/>
        <v>0.54</v>
      </c>
      <c r="I15" s="14">
        <f t="shared" si="2"/>
        <v>4.0000000000000001E-3</v>
      </c>
    </row>
    <row r="16" spans="1:14" x14ac:dyDescent="0.25">
      <c r="A16" t="s">
        <v>19</v>
      </c>
      <c r="B16" t="s">
        <v>27</v>
      </c>
      <c r="C16" s="10"/>
      <c r="D16" s="10"/>
      <c r="E16" s="10">
        <v>240</v>
      </c>
      <c r="F16" s="10"/>
      <c r="G16" s="10">
        <f t="shared" si="0"/>
        <v>240</v>
      </c>
      <c r="H16">
        <f t="shared" si="1"/>
        <v>0.4</v>
      </c>
      <c r="I16" s="14">
        <f t="shared" si="2"/>
        <v>3.0000000000000001E-3</v>
      </c>
    </row>
    <row r="17" spans="1:9" x14ac:dyDescent="0.25">
      <c r="A17" t="s">
        <v>19</v>
      </c>
      <c r="B17" t="s">
        <v>29</v>
      </c>
      <c r="C17" s="10"/>
      <c r="D17" s="10"/>
      <c r="E17" s="10">
        <v>520</v>
      </c>
      <c r="F17" s="10"/>
      <c r="G17" s="10">
        <f t="shared" si="0"/>
        <v>520</v>
      </c>
      <c r="H17">
        <f t="shared" si="1"/>
        <v>0.87</v>
      </c>
      <c r="I17" s="14">
        <f t="shared" si="2"/>
        <v>6.0000000000000001E-3</v>
      </c>
    </row>
    <row r="18" spans="1:9" x14ac:dyDescent="0.25">
      <c r="A18" t="s">
        <v>19</v>
      </c>
      <c r="B18" t="s">
        <v>30</v>
      </c>
      <c r="C18" s="10"/>
      <c r="D18" s="10"/>
      <c r="E18" s="10">
        <v>180</v>
      </c>
      <c r="F18" s="10"/>
      <c r="G18" s="10">
        <f t="shared" si="0"/>
        <v>180</v>
      </c>
      <c r="H18">
        <f t="shared" si="1"/>
        <v>0.3</v>
      </c>
      <c r="I18" s="14">
        <f t="shared" si="2"/>
        <v>2E-3</v>
      </c>
    </row>
    <row r="19" spans="1:9" x14ac:dyDescent="0.25">
      <c r="A19" t="s">
        <v>19</v>
      </c>
      <c r="B19" t="s">
        <v>32</v>
      </c>
      <c r="C19" s="10"/>
      <c r="D19" s="10"/>
      <c r="E19" s="10">
        <v>265</v>
      </c>
      <c r="F19" s="10"/>
      <c r="G19" s="10">
        <f t="shared" si="0"/>
        <v>265</v>
      </c>
      <c r="H19">
        <f t="shared" si="1"/>
        <v>0.44</v>
      </c>
      <c r="I19" s="14">
        <f t="shared" si="2"/>
        <v>3.0000000000000001E-3</v>
      </c>
    </row>
    <row r="20" spans="1:9" x14ac:dyDescent="0.25">
      <c r="A20" t="s">
        <v>19</v>
      </c>
      <c r="B20" t="s">
        <v>42</v>
      </c>
      <c r="C20" s="10"/>
      <c r="D20" s="10">
        <v>36</v>
      </c>
      <c r="E20" s="10"/>
      <c r="F20" s="10"/>
      <c r="G20" s="10">
        <f t="shared" si="0"/>
        <v>36</v>
      </c>
      <c r="H20">
        <f t="shared" si="1"/>
        <v>0.06</v>
      </c>
      <c r="I20" s="14">
        <f t="shared" si="2"/>
        <v>0</v>
      </c>
    </row>
    <row r="21" spans="1:9" x14ac:dyDescent="0.25">
      <c r="A21" t="s">
        <v>19</v>
      </c>
      <c r="B21" t="s">
        <v>34</v>
      </c>
      <c r="C21" s="10"/>
      <c r="D21" s="10"/>
      <c r="E21" s="10">
        <v>900</v>
      </c>
      <c r="F21" s="10"/>
      <c r="G21" s="10">
        <f t="shared" si="0"/>
        <v>900</v>
      </c>
      <c r="H21">
        <f t="shared" si="1"/>
        <v>1.51</v>
      </c>
      <c r="I21" s="14">
        <f t="shared" si="2"/>
        <v>0.01</v>
      </c>
    </row>
    <row r="22" spans="1:9" x14ac:dyDescent="0.25">
      <c r="A22" t="s">
        <v>19</v>
      </c>
      <c r="B22" t="s">
        <v>40</v>
      </c>
      <c r="C22" s="10"/>
      <c r="D22" s="10"/>
      <c r="E22" s="10">
        <v>700</v>
      </c>
      <c r="F22" s="10"/>
      <c r="G22" s="10">
        <f t="shared" si="0"/>
        <v>700</v>
      </c>
      <c r="H22">
        <f t="shared" si="1"/>
        <v>1.17</v>
      </c>
      <c r="I22" s="14">
        <f t="shared" si="2"/>
        <v>8.0000000000000002E-3</v>
      </c>
    </row>
    <row r="23" spans="1:9" x14ac:dyDescent="0.25">
      <c r="A23" t="s">
        <v>19</v>
      </c>
      <c r="B23" t="s">
        <v>35</v>
      </c>
      <c r="C23" s="10"/>
      <c r="D23" s="10"/>
      <c r="E23" s="10">
        <v>600</v>
      </c>
      <c r="F23" s="10"/>
      <c r="G23" s="10">
        <f t="shared" si="0"/>
        <v>600</v>
      </c>
      <c r="H23">
        <f t="shared" si="1"/>
        <v>1.01</v>
      </c>
      <c r="I23" s="14">
        <f t="shared" si="2"/>
        <v>7.0000000000000001E-3</v>
      </c>
    </row>
    <row r="24" spans="1:9" x14ac:dyDescent="0.25">
      <c r="A24" t="s">
        <v>19</v>
      </c>
      <c r="B24" t="s">
        <v>36</v>
      </c>
      <c r="C24" s="10"/>
      <c r="D24" s="10"/>
      <c r="E24" s="10">
        <v>6340</v>
      </c>
      <c r="F24" s="10"/>
      <c r="G24" s="10">
        <f t="shared" si="0"/>
        <v>6340</v>
      </c>
      <c r="H24">
        <f t="shared" si="1"/>
        <v>10.64</v>
      </c>
      <c r="I24" s="14">
        <f t="shared" si="2"/>
        <v>7.0999999999999994E-2</v>
      </c>
    </row>
    <row r="25" spans="1:9" x14ac:dyDescent="0.25">
      <c r="A25" t="s">
        <v>19</v>
      </c>
      <c r="B25" t="s">
        <v>37</v>
      </c>
      <c r="C25" s="10"/>
      <c r="D25" s="10"/>
      <c r="E25" s="10">
        <v>1240</v>
      </c>
      <c r="F25" s="10"/>
      <c r="G25" s="10">
        <f t="shared" si="0"/>
        <v>1240</v>
      </c>
      <c r="H25">
        <f t="shared" si="1"/>
        <v>2.08</v>
      </c>
      <c r="I25" s="14">
        <f t="shared" si="2"/>
        <v>1.4E-2</v>
      </c>
    </row>
    <row r="26" spans="1:9" x14ac:dyDescent="0.25">
      <c r="A26" t="s">
        <v>19</v>
      </c>
      <c r="B26" t="s">
        <v>38</v>
      </c>
      <c r="C26" s="10"/>
      <c r="D26" s="10"/>
      <c r="E26" s="10">
        <v>3750</v>
      </c>
      <c r="F26" s="10"/>
      <c r="G26" s="10">
        <f t="shared" si="0"/>
        <v>3750</v>
      </c>
      <c r="H26">
        <f t="shared" si="1"/>
        <v>6.29</v>
      </c>
      <c r="I26" s="14">
        <f t="shared" si="2"/>
        <v>4.2000000000000003E-2</v>
      </c>
    </row>
    <row r="27" spans="1:9" x14ac:dyDescent="0.25">
      <c r="A27" t="s">
        <v>19</v>
      </c>
      <c r="B27" t="s">
        <v>28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33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67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19</v>
      </c>
      <c r="B30" t="s">
        <v>71</v>
      </c>
      <c r="C30" s="10"/>
      <c r="D30" s="10"/>
      <c r="E30" s="10"/>
      <c r="F30" s="10"/>
      <c r="G30" s="10">
        <f t="shared" si="0"/>
        <v>0</v>
      </c>
      <c r="H30">
        <f t="shared" si="1"/>
        <v>0</v>
      </c>
      <c r="I30" s="14">
        <f t="shared" si="2"/>
        <v>0</v>
      </c>
    </row>
    <row r="31" spans="1:9" x14ac:dyDescent="0.25">
      <c r="A31" t="s">
        <v>19</v>
      </c>
      <c r="B31" t="s">
        <v>76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22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19</v>
      </c>
      <c r="B33" t="s">
        <v>66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19</v>
      </c>
      <c r="B34" t="s">
        <v>146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43</v>
      </c>
      <c r="B35" t="s">
        <v>44</v>
      </c>
      <c r="C35" s="10">
        <v>20585</v>
      </c>
      <c r="D35" s="10"/>
      <c r="E35" s="10"/>
      <c r="F35" s="10"/>
      <c r="G35" s="10">
        <f t="shared" si="0"/>
        <v>20585</v>
      </c>
      <c r="H35">
        <f t="shared" si="1"/>
        <v>34.54</v>
      </c>
      <c r="I35" s="14">
        <f t="shared" si="2"/>
        <v>0.23</v>
      </c>
    </row>
    <row r="36" spans="1:9" x14ac:dyDescent="0.25">
      <c r="A36" t="s">
        <v>43</v>
      </c>
      <c r="B36" t="s">
        <v>45</v>
      </c>
      <c r="C36" s="10"/>
      <c r="D36" s="10"/>
      <c r="E36" s="10">
        <v>2640</v>
      </c>
      <c r="F36" s="10"/>
      <c r="G36" s="10">
        <f t="shared" si="0"/>
        <v>2640</v>
      </c>
      <c r="H36">
        <f t="shared" si="1"/>
        <v>4.43</v>
      </c>
      <c r="I36" s="14">
        <f t="shared" si="2"/>
        <v>0.03</v>
      </c>
    </row>
    <row r="37" spans="1:9" x14ac:dyDescent="0.25">
      <c r="A37" t="s">
        <v>15</v>
      </c>
      <c r="B37" t="s">
        <v>18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s="3" t="s">
        <v>253</v>
      </c>
      <c r="B38" s="3"/>
      <c r="C38" s="8">
        <f t="shared" ref="C38:H38" si="3">SUM(C8:C37)</f>
        <v>64185</v>
      </c>
      <c r="D38" s="8">
        <f t="shared" si="3"/>
        <v>36</v>
      </c>
      <c r="E38" s="8">
        <f t="shared" si="3"/>
        <v>25104</v>
      </c>
      <c r="F38" s="8">
        <f t="shared" si="3"/>
        <v>0</v>
      </c>
      <c r="G38" s="8">
        <f t="shared" si="3"/>
        <v>89325</v>
      </c>
      <c r="H38" s="3">
        <f t="shared" si="3"/>
        <v>149.87000000000003</v>
      </c>
    </row>
    <row r="39" spans="1:9" x14ac:dyDescent="0.25">
      <c r="A39" s="3" t="s">
        <v>14</v>
      </c>
      <c r="B39" s="3"/>
      <c r="C39" s="13">
        <f>ROUND(C38/G38,2)</f>
        <v>0.72</v>
      </c>
      <c r="D39" s="13">
        <f>ROUND(D38/G38,2)</f>
        <v>0</v>
      </c>
      <c r="E39" s="13">
        <f>ROUND(E38/G38,2)</f>
        <v>0.28000000000000003</v>
      </c>
      <c r="F39" s="13">
        <f>ROUND(F38/G38,2)</f>
        <v>0</v>
      </c>
      <c r="G39" s="3"/>
      <c r="H39" s="3"/>
    </row>
    <row r="40" spans="1:9" x14ac:dyDescent="0.25">
      <c r="A40" s="3" t="s">
        <v>47</v>
      </c>
      <c r="B40" s="3"/>
      <c r="C40" s="3"/>
      <c r="D40" s="3"/>
      <c r="E40" s="3"/>
      <c r="F40" s="3"/>
      <c r="G40" s="3"/>
      <c r="H40" s="3"/>
    </row>
    <row r="41" spans="1:9" x14ac:dyDescent="0.25">
      <c r="A41" s="3" t="s">
        <v>48</v>
      </c>
      <c r="B41" s="3"/>
      <c r="C41" s="8">
        <v>43600</v>
      </c>
      <c r="D41" s="8">
        <v>36</v>
      </c>
      <c r="E41" s="8">
        <v>22464</v>
      </c>
      <c r="F41" s="8">
        <v>0</v>
      </c>
      <c r="G41" s="8">
        <f>SUM(C41:F41)</f>
        <v>66100</v>
      </c>
      <c r="H41" s="3">
        <f>ROUND(G41/596,2)</f>
        <v>110.91</v>
      </c>
    </row>
    <row r="42" spans="1:9" x14ac:dyDescent="0.25">
      <c r="A42" s="3" t="s">
        <v>49</v>
      </c>
      <c r="B42" s="3"/>
      <c r="C42" s="8">
        <v>20585</v>
      </c>
      <c r="D42" s="8">
        <v>0</v>
      </c>
      <c r="E42" s="8">
        <v>2640</v>
      </c>
      <c r="F42" s="8">
        <v>0</v>
      </c>
      <c r="G42" s="8">
        <f>SUM(C42:F42)</f>
        <v>23225</v>
      </c>
      <c r="H42" s="3">
        <f>ROUND(G42/596,2)</f>
        <v>38.97</v>
      </c>
    </row>
    <row r="43" spans="1:9" x14ac:dyDescent="0.25">
      <c r="A43" s="3" t="s">
        <v>50</v>
      </c>
      <c r="B43" s="3"/>
      <c r="C43" s="8">
        <v>0</v>
      </c>
      <c r="D43" s="8">
        <v>0</v>
      </c>
      <c r="E43" s="8">
        <v>0</v>
      </c>
      <c r="F43" s="8">
        <v>0</v>
      </c>
      <c r="G43" s="8">
        <f>SUM(C43:F43)</f>
        <v>0</v>
      </c>
      <c r="H43" s="3">
        <f>ROUND(G43/596,2)</f>
        <v>0</v>
      </c>
    </row>
    <row r="45" spans="1:9" x14ac:dyDescent="0.25">
      <c r="A45" s="3"/>
      <c r="B45" s="3"/>
      <c r="C45" s="3" t="s">
        <v>2</v>
      </c>
      <c r="D45" s="3">
        <v>2022</v>
      </c>
      <c r="E45" s="3" t="s">
        <v>51</v>
      </c>
    </row>
    <row r="46" spans="1:9" x14ac:dyDescent="0.25">
      <c r="A46" s="3" t="s">
        <v>52</v>
      </c>
      <c r="B46" s="3"/>
      <c r="C46" s="13">
        <v>0.74880000000000002</v>
      </c>
      <c r="D46" s="13">
        <v>0.74060000000000004</v>
      </c>
      <c r="E46" s="13">
        <v>0.77659999999999996</v>
      </c>
    </row>
    <row r="47" spans="1:9" x14ac:dyDescent="0.25">
      <c r="A47" s="3" t="s">
        <v>53</v>
      </c>
      <c r="B47" s="3"/>
      <c r="C47" s="13">
        <v>0.73939999999999995</v>
      </c>
      <c r="D47" s="13">
        <v>0.72699999999999998</v>
      </c>
      <c r="E47" s="13">
        <v>0.75900000000000001</v>
      </c>
    </row>
    <row r="49" spans="1:7" x14ac:dyDescent="0.25">
      <c r="A49" s="3" t="s">
        <v>256</v>
      </c>
      <c r="C49" s="3" t="s">
        <v>2</v>
      </c>
      <c r="D49" s="3" t="s">
        <v>147</v>
      </c>
      <c r="E49" s="3" t="s">
        <v>55</v>
      </c>
      <c r="F49" s="3" t="s">
        <v>254</v>
      </c>
      <c r="G49" s="3"/>
    </row>
    <row r="50" spans="1:7" x14ac:dyDescent="0.25">
      <c r="A50" s="3" t="s">
        <v>56</v>
      </c>
      <c r="C50" s="3"/>
      <c r="D50" s="3">
        <v>81.7</v>
      </c>
      <c r="E50" s="3">
        <v>81.5</v>
      </c>
      <c r="F50" s="3">
        <v>50.61</v>
      </c>
      <c r="G50" s="3"/>
    </row>
    <row r="51" spans="1:7" x14ac:dyDescent="0.25">
      <c r="A51" s="3" t="s">
        <v>57</v>
      </c>
      <c r="C51" s="3"/>
      <c r="D51" s="3">
        <v>38.22</v>
      </c>
      <c r="E51" s="3">
        <v>58.24</v>
      </c>
      <c r="F51" s="3">
        <v>57.37</v>
      </c>
      <c r="G51" s="3"/>
    </row>
    <row r="52" spans="1:7" x14ac:dyDescent="0.25">
      <c r="A52" s="3" t="s">
        <v>58</v>
      </c>
      <c r="C52" s="3"/>
      <c r="D52" s="3">
        <v>223.39</v>
      </c>
      <c r="E52" s="3">
        <v>261.52999999999997</v>
      </c>
      <c r="F52" s="3">
        <v>249.57</v>
      </c>
      <c r="G52" s="3"/>
    </row>
    <row r="53" spans="1:7" x14ac:dyDescent="0.25">
      <c r="A53" s="3" t="s">
        <v>59</v>
      </c>
      <c r="C53" s="3"/>
      <c r="D53" s="3">
        <v>99.97</v>
      </c>
      <c r="E53" s="3">
        <v>103.11</v>
      </c>
      <c r="F53" s="3">
        <v>71.400000000000006</v>
      </c>
      <c r="G53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I57"/>
  <sheetViews>
    <sheetView topLeftCell="A27" workbookViewId="0">
      <selection activeCell="G54" sqref="G54:G57"/>
    </sheetView>
  </sheetViews>
  <sheetFormatPr defaultRowHeight="15" x14ac:dyDescent="0.25"/>
  <cols>
    <col min="1" max="1" width="48.28515625" bestFit="1" customWidth="1"/>
    <col min="2" max="2" width="66.7109375" customWidth="1"/>
    <col min="3" max="3" width="12.5703125" bestFit="1" customWidth="1"/>
    <col min="4" max="4" width="34.28515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148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2256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28660</v>
      </c>
      <c r="D9" s="10"/>
      <c r="E9" s="10">
        <v>1475</v>
      </c>
      <c r="F9" s="10"/>
      <c r="G9" s="10">
        <f t="shared" ref="G9:G41" si="0">SUM(C9:F9)</f>
        <v>30135</v>
      </c>
      <c r="H9">
        <f t="shared" ref="H9:H41" si="1">ROUND(G9/2256,2)</f>
        <v>13.36</v>
      </c>
      <c r="I9" s="14">
        <f t="shared" ref="I9:I40" si="2">ROUND(G9/$G$42,3)</f>
        <v>0.06</v>
      </c>
    </row>
    <row r="10" spans="1:9" x14ac:dyDescent="0.25">
      <c r="A10" t="s">
        <v>19</v>
      </c>
      <c r="B10" t="s">
        <v>21</v>
      </c>
      <c r="C10" s="10">
        <v>26960</v>
      </c>
      <c r="D10" s="10">
        <v>17440</v>
      </c>
      <c r="E10" s="10"/>
      <c r="F10" s="10"/>
      <c r="G10" s="10">
        <f t="shared" si="0"/>
        <v>44400</v>
      </c>
      <c r="H10">
        <f t="shared" si="1"/>
        <v>19.68</v>
      </c>
      <c r="I10" s="14">
        <f t="shared" si="2"/>
        <v>8.8999999999999996E-2</v>
      </c>
    </row>
    <row r="11" spans="1:9" x14ac:dyDescent="0.25">
      <c r="A11" t="s">
        <v>19</v>
      </c>
      <c r="B11" t="s">
        <v>76</v>
      </c>
      <c r="C11" s="10"/>
      <c r="D11" s="10"/>
      <c r="E11" s="10">
        <v>145</v>
      </c>
      <c r="F11" s="10"/>
      <c r="G11" s="10">
        <f t="shared" si="0"/>
        <v>145</v>
      </c>
      <c r="H11">
        <f t="shared" si="1"/>
        <v>0.06</v>
      </c>
      <c r="I11" s="14">
        <f t="shared" si="2"/>
        <v>0</v>
      </c>
    </row>
    <row r="12" spans="1:9" x14ac:dyDescent="0.25">
      <c r="A12" t="s">
        <v>19</v>
      </c>
      <c r="B12" t="s">
        <v>22</v>
      </c>
      <c r="C12" s="10"/>
      <c r="D12" s="10"/>
      <c r="E12" s="10">
        <v>3000</v>
      </c>
      <c r="F12" s="10"/>
      <c r="G12" s="10">
        <f t="shared" si="0"/>
        <v>3000</v>
      </c>
      <c r="H12">
        <f t="shared" si="1"/>
        <v>1.33</v>
      </c>
      <c r="I12" s="14">
        <f t="shared" si="2"/>
        <v>6.0000000000000001E-3</v>
      </c>
    </row>
    <row r="13" spans="1:9" x14ac:dyDescent="0.25">
      <c r="A13" t="s">
        <v>19</v>
      </c>
      <c r="B13" t="s">
        <v>149</v>
      </c>
      <c r="C13" s="10"/>
      <c r="D13" s="10"/>
      <c r="E13" s="10"/>
      <c r="F13" s="10">
        <v>99.5</v>
      </c>
      <c r="G13" s="10">
        <f t="shared" si="0"/>
        <v>99.5</v>
      </c>
      <c r="H13">
        <f t="shared" si="1"/>
        <v>0.04</v>
      </c>
      <c r="I13" s="14">
        <f t="shared" si="2"/>
        <v>0</v>
      </c>
    </row>
    <row r="14" spans="1:9" x14ac:dyDescent="0.25">
      <c r="A14" t="s">
        <v>19</v>
      </c>
      <c r="B14" t="s">
        <v>23</v>
      </c>
      <c r="C14" s="10"/>
      <c r="D14" s="10"/>
      <c r="E14" s="10">
        <v>8660</v>
      </c>
      <c r="F14" s="10"/>
      <c r="G14" s="10">
        <f t="shared" si="0"/>
        <v>8660</v>
      </c>
      <c r="H14">
        <f t="shared" si="1"/>
        <v>3.84</v>
      </c>
      <c r="I14" s="14">
        <f t="shared" si="2"/>
        <v>1.7000000000000001E-2</v>
      </c>
    </row>
    <row r="15" spans="1:9" x14ac:dyDescent="0.25">
      <c r="A15" t="s">
        <v>19</v>
      </c>
      <c r="B15" t="s">
        <v>24</v>
      </c>
      <c r="C15" s="10">
        <v>42780</v>
      </c>
      <c r="D15" s="10"/>
      <c r="E15" s="10">
        <v>9545</v>
      </c>
      <c r="F15" s="10"/>
      <c r="G15" s="10">
        <f t="shared" si="0"/>
        <v>52325</v>
      </c>
      <c r="H15">
        <f t="shared" si="1"/>
        <v>23.19</v>
      </c>
      <c r="I15" s="14">
        <f t="shared" si="2"/>
        <v>0.105</v>
      </c>
    </row>
    <row r="16" spans="1:9" x14ac:dyDescent="0.25">
      <c r="A16" t="s">
        <v>19</v>
      </c>
      <c r="B16" t="s">
        <v>66</v>
      </c>
      <c r="C16" s="10"/>
      <c r="D16" s="10"/>
      <c r="E16" s="10">
        <v>1320</v>
      </c>
      <c r="F16" s="10"/>
      <c r="G16" s="10">
        <f t="shared" si="0"/>
        <v>1320</v>
      </c>
      <c r="H16">
        <f t="shared" si="1"/>
        <v>0.59</v>
      </c>
      <c r="I16" s="14">
        <f t="shared" si="2"/>
        <v>3.0000000000000001E-3</v>
      </c>
    </row>
    <row r="17" spans="1:9" x14ac:dyDescent="0.25">
      <c r="A17" t="s">
        <v>19</v>
      </c>
      <c r="B17" t="s">
        <v>25</v>
      </c>
      <c r="C17" s="10"/>
      <c r="D17" s="10">
        <v>10800</v>
      </c>
      <c r="E17" s="10"/>
      <c r="F17" s="10">
        <v>300</v>
      </c>
      <c r="G17" s="10">
        <f t="shared" si="0"/>
        <v>11100</v>
      </c>
      <c r="H17">
        <f t="shared" si="1"/>
        <v>4.92</v>
      </c>
      <c r="I17" s="14">
        <f t="shared" si="2"/>
        <v>2.1999999999999999E-2</v>
      </c>
    </row>
    <row r="18" spans="1:9" x14ac:dyDescent="0.25">
      <c r="A18" t="s">
        <v>19</v>
      </c>
      <c r="B18" t="s">
        <v>26</v>
      </c>
      <c r="C18" s="10"/>
      <c r="D18" s="10"/>
      <c r="E18" s="10">
        <v>139</v>
      </c>
      <c r="F18" s="10"/>
      <c r="G18" s="10">
        <f t="shared" si="0"/>
        <v>139</v>
      </c>
      <c r="H18">
        <f t="shared" si="1"/>
        <v>0.06</v>
      </c>
      <c r="I18" s="14">
        <f t="shared" si="2"/>
        <v>0</v>
      </c>
    </row>
    <row r="19" spans="1:9" x14ac:dyDescent="0.25">
      <c r="A19" t="s">
        <v>19</v>
      </c>
      <c r="B19" t="s">
        <v>27</v>
      </c>
      <c r="C19" s="10"/>
      <c r="D19" s="10"/>
      <c r="E19" s="10">
        <v>196</v>
      </c>
      <c r="F19" s="10"/>
      <c r="G19" s="10">
        <f t="shared" si="0"/>
        <v>196</v>
      </c>
      <c r="H19">
        <f t="shared" si="1"/>
        <v>0.09</v>
      </c>
      <c r="I19" s="14">
        <f t="shared" si="2"/>
        <v>0</v>
      </c>
    </row>
    <row r="20" spans="1:9" x14ac:dyDescent="0.25">
      <c r="A20" t="s">
        <v>19</v>
      </c>
      <c r="B20" t="s">
        <v>28</v>
      </c>
      <c r="C20" s="10"/>
      <c r="D20" s="10"/>
      <c r="E20" s="10">
        <v>185</v>
      </c>
      <c r="F20" s="10"/>
      <c r="G20" s="10">
        <f t="shared" si="0"/>
        <v>185</v>
      </c>
      <c r="H20">
        <f t="shared" si="1"/>
        <v>0.08</v>
      </c>
      <c r="I20" s="14">
        <f t="shared" si="2"/>
        <v>0</v>
      </c>
    </row>
    <row r="21" spans="1:9" x14ac:dyDescent="0.25">
      <c r="A21" t="s">
        <v>19</v>
      </c>
      <c r="B21" t="s">
        <v>29</v>
      </c>
      <c r="C21" s="10"/>
      <c r="D21" s="10"/>
      <c r="E21" s="10">
        <v>1500</v>
      </c>
      <c r="F21" s="10"/>
      <c r="G21" s="10">
        <f t="shared" si="0"/>
        <v>1500</v>
      </c>
      <c r="H21">
        <f t="shared" si="1"/>
        <v>0.66</v>
      </c>
      <c r="I21" s="14">
        <f t="shared" si="2"/>
        <v>3.0000000000000001E-3</v>
      </c>
    </row>
    <row r="22" spans="1:9" x14ac:dyDescent="0.25">
      <c r="A22" t="s">
        <v>19</v>
      </c>
      <c r="B22" t="s">
        <v>30</v>
      </c>
      <c r="C22" s="10"/>
      <c r="D22" s="10"/>
      <c r="E22" s="10">
        <v>420</v>
      </c>
      <c r="F22" s="10"/>
      <c r="G22" s="10">
        <f t="shared" si="0"/>
        <v>420</v>
      </c>
      <c r="H22">
        <f t="shared" si="1"/>
        <v>0.19</v>
      </c>
      <c r="I22" s="14">
        <f t="shared" si="2"/>
        <v>1E-3</v>
      </c>
    </row>
    <row r="23" spans="1:9" x14ac:dyDescent="0.25">
      <c r="A23" t="s">
        <v>19</v>
      </c>
      <c r="B23" t="s">
        <v>31</v>
      </c>
      <c r="C23" s="10"/>
      <c r="D23" s="10"/>
      <c r="E23" s="10">
        <v>230</v>
      </c>
      <c r="F23" s="10"/>
      <c r="G23" s="10">
        <f t="shared" si="0"/>
        <v>230</v>
      </c>
      <c r="H23">
        <f t="shared" si="1"/>
        <v>0.1</v>
      </c>
      <c r="I23" s="14">
        <f t="shared" si="2"/>
        <v>0</v>
      </c>
    </row>
    <row r="24" spans="1:9" x14ac:dyDescent="0.25">
      <c r="A24" t="s">
        <v>19</v>
      </c>
      <c r="B24" t="s">
        <v>32</v>
      </c>
      <c r="C24" s="10"/>
      <c r="D24" s="10"/>
      <c r="E24" s="10">
        <v>705</v>
      </c>
      <c r="F24" s="10"/>
      <c r="G24" s="10">
        <f t="shared" si="0"/>
        <v>705</v>
      </c>
      <c r="H24">
        <f t="shared" si="1"/>
        <v>0.31</v>
      </c>
      <c r="I24" s="14">
        <f t="shared" si="2"/>
        <v>1E-3</v>
      </c>
    </row>
    <row r="25" spans="1:9" x14ac:dyDescent="0.25">
      <c r="A25" t="s">
        <v>19</v>
      </c>
      <c r="B25" t="s">
        <v>42</v>
      </c>
      <c r="C25" s="10"/>
      <c r="D25" s="10">
        <v>101</v>
      </c>
      <c r="E25" s="10"/>
      <c r="F25" s="10"/>
      <c r="G25" s="10">
        <f t="shared" si="0"/>
        <v>101</v>
      </c>
      <c r="H25">
        <f t="shared" si="1"/>
        <v>0.04</v>
      </c>
      <c r="I25" s="14">
        <f t="shared" si="2"/>
        <v>0</v>
      </c>
    </row>
    <row r="26" spans="1:9" x14ac:dyDescent="0.25">
      <c r="A26" t="s">
        <v>19</v>
      </c>
      <c r="B26" t="s">
        <v>67</v>
      </c>
      <c r="C26" s="10"/>
      <c r="D26" s="10"/>
      <c r="E26" s="10">
        <v>1020</v>
      </c>
      <c r="F26" s="10"/>
      <c r="G26" s="10">
        <f t="shared" si="0"/>
        <v>1020</v>
      </c>
      <c r="H26">
        <f t="shared" si="1"/>
        <v>0.45</v>
      </c>
      <c r="I26" s="14">
        <f t="shared" si="2"/>
        <v>2E-3</v>
      </c>
    </row>
    <row r="27" spans="1:9" x14ac:dyDescent="0.25">
      <c r="A27" t="s">
        <v>19</v>
      </c>
      <c r="B27" t="s">
        <v>34</v>
      </c>
      <c r="C27" s="10"/>
      <c r="D27" s="10"/>
      <c r="E27" s="10">
        <v>1840</v>
      </c>
      <c r="F27" s="10"/>
      <c r="G27" s="10">
        <f t="shared" si="0"/>
        <v>1840</v>
      </c>
      <c r="H27">
        <f t="shared" si="1"/>
        <v>0.82</v>
      </c>
      <c r="I27" s="14">
        <f t="shared" si="2"/>
        <v>4.0000000000000001E-3</v>
      </c>
    </row>
    <row r="28" spans="1:9" x14ac:dyDescent="0.25">
      <c r="A28" t="s">
        <v>19</v>
      </c>
      <c r="B28" t="s">
        <v>40</v>
      </c>
      <c r="C28" s="10"/>
      <c r="D28" s="10"/>
      <c r="E28" s="10">
        <v>6390</v>
      </c>
      <c r="F28" s="10"/>
      <c r="G28" s="10">
        <f t="shared" si="0"/>
        <v>6390</v>
      </c>
      <c r="H28">
        <f t="shared" si="1"/>
        <v>2.83</v>
      </c>
      <c r="I28" s="14">
        <f t="shared" si="2"/>
        <v>1.2999999999999999E-2</v>
      </c>
    </row>
    <row r="29" spans="1:9" x14ac:dyDescent="0.25">
      <c r="A29" t="s">
        <v>19</v>
      </c>
      <c r="B29" t="s">
        <v>35</v>
      </c>
      <c r="C29" s="10"/>
      <c r="D29" s="10"/>
      <c r="E29" s="10">
        <v>500</v>
      </c>
      <c r="F29" s="10"/>
      <c r="G29" s="10">
        <f t="shared" si="0"/>
        <v>500</v>
      </c>
      <c r="H29">
        <f t="shared" si="1"/>
        <v>0.22</v>
      </c>
      <c r="I29" s="14">
        <f t="shared" si="2"/>
        <v>1E-3</v>
      </c>
    </row>
    <row r="30" spans="1:9" x14ac:dyDescent="0.25">
      <c r="A30" t="s">
        <v>19</v>
      </c>
      <c r="B30" t="s">
        <v>36</v>
      </c>
      <c r="C30" s="10"/>
      <c r="D30" s="10"/>
      <c r="E30" s="10">
        <v>24735</v>
      </c>
      <c r="F30" s="10"/>
      <c r="G30" s="10">
        <f t="shared" si="0"/>
        <v>24735</v>
      </c>
      <c r="H30">
        <f t="shared" si="1"/>
        <v>10.96</v>
      </c>
      <c r="I30" s="14">
        <f t="shared" si="2"/>
        <v>0.05</v>
      </c>
    </row>
    <row r="31" spans="1:9" x14ac:dyDescent="0.25">
      <c r="A31" t="s">
        <v>19</v>
      </c>
      <c r="B31" t="s">
        <v>37</v>
      </c>
      <c r="C31" s="10"/>
      <c r="D31" s="10"/>
      <c r="E31" s="10">
        <v>2160</v>
      </c>
      <c r="F31" s="10"/>
      <c r="G31" s="10">
        <f t="shared" si="0"/>
        <v>2160</v>
      </c>
      <c r="H31">
        <f t="shared" si="1"/>
        <v>0.96</v>
      </c>
      <c r="I31" s="14">
        <f t="shared" si="2"/>
        <v>4.0000000000000001E-3</v>
      </c>
    </row>
    <row r="32" spans="1:9" x14ac:dyDescent="0.25">
      <c r="A32" t="s">
        <v>19</v>
      </c>
      <c r="B32" t="s">
        <v>38</v>
      </c>
      <c r="C32" s="10"/>
      <c r="D32" s="10"/>
      <c r="E32" s="10">
        <v>6050</v>
      </c>
      <c r="F32" s="10"/>
      <c r="G32" s="10">
        <f t="shared" si="0"/>
        <v>6050</v>
      </c>
      <c r="H32">
        <f t="shared" si="1"/>
        <v>2.68</v>
      </c>
      <c r="I32" s="14">
        <f t="shared" si="2"/>
        <v>1.2E-2</v>
      </c>
    </row>
    <row r="33" spans="1:9" x14ac:dyDescent="0.25">
      <c r="A33" t="s">
        <v>19</v>
      </c>
      <c r="B33" t="s">
        <v>39</v>
      </c>
      <c r="C33" s="10"/>
      <c r="D33" s="10"/>
      <c r="E33" s="10">
        <v>86260</v>
      </c>
      <c r="F33" s="10"/>
      <c r="G33" s="10">
        <f t="shared" si="0"/>
        <v>86260</v>
      </c>
      <c r="H33">
        <f t="shared" si="1"/>
        <v>38.24</v>
      </c>
      <c r="I33" s="14">
        <f t="shared" si="2"/>
        <v>0.17299999999999999</v>
      </c>
    </row>
    <row r="34" spans="1:9" x14ac:dyDescent="0.25">
      <c r="A34" t="s">
        <v>19</v>
      </c>
      <c r="B34" t="s">
        <v>41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33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19</v>
      </c>
      <c r="B36" t="s">
        <v>64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43</v>
      </c>
      <c r="B37" t="s">
        <v>44</v>
      </c>
      <c r="C37" s="10"/>
      <c r="D37" s="10">
        <v>187875</v>
      </c>
      <c r="E37" s="10"/>
      <c r="F37" s="10"/>
      <c r="G37" s="10">
        <f t="shared" si="0"/>
        <v>187875</v>
      </c>
      <c r="H37">
        <f t="shared" si="1"/>
        <v>83.28</v>
      </c>
      <c r="I37" s="14">
        <f t="shared" si="2"/>
        <v>0.377</v>
      </c>
    </row>
    <row r="38" spans="1:9" x14ac:dyDescent="0.25">
      <c r="A38" t="s">
        <v>43</v>
      </c>
      <c r="B38" t="s">
        <v>46</v>
      </c>
      <c r="C38" s="10"/>
      <c r="D38" s="10"/>
      <c r="E38" s="10"/>
      <c r="F38" s="10">
        <v>7710</v>
      </c>
      <c r="G38" s="10">
        <f t="shared" si="0"/>
        <v>7710</v>
      </c>
      <c r="H38">
        <f t="shared" si="1"/>
        <v>3.42</v>
      </c>
      <c r="I38" s="14">
        <f t="shared" si="2"/>
        <v>1.4999999999999999E-2</v>
      </c>
    </row>
    <row r="39" spans="1:9" x14ac:dyDescent="0.25">
      <c r="A39" t="s">
        <v>43</v>
      </c>
      <c r="B39" t="s">
        <v>45</v>
      </c>
      <c r="C39" s="10"/>
      <c r="D39" s="10"/>
      <c r="E39" s="10">
        <v>19080</v>
      </c>
      <c r="F39" s="10"/>
      <c r="G39" s="10">
        <f t="shared" si="0"/>
        <v>19080</v>
      </c>
      <c r="H39">
        <f t="shared" si="1"/>
        <v>8.4600000000000009</v>
      </c>
      <c r="I39" s="14">
        <f t="shared" si="2"/>
        <v>3.7999999999999999E-2</v>
      </c>
    </row>
    <row r="40" spans="1:9" x14ac:dyDescent="0.25">
      <c r="A40" t="s">
        <v>15</v>
      </c>
      <c r="B40" t="s">
        <v>18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t="s">
        <v>15</v>
      </c>
      <c r="B41" t="s">
        <v>63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ROUND(G41/$G$42,3)</f>
        <v>0</v>
      </c>
    </row>
    <row r="42" spans="1:9" x14ac:dyDescent="0.25">
      <c r="A42" s="3" t="s">
        <v>253</v>
      </c>
      <c r="B42" s="3"/>
      <c r="C42" s="8">
        <f t="shared" ref="C42:H42" si="4">SUM(C8:C41)</f>
        <v>98400</v>
      </c>
      <c r="D42" s="8">
        <f t="shared" si="4"/>
        <v>216216</v>
      </c>
      <c r="E42" s="8">
        <f t="shared" si="4"/>
        <v>175555</v>
      </c>
      <c r="F42" s="8">
        <f t="shared" si="4"/>
        <v>8109.5</v>
      </c>
      <c r="G42" s="8">
        <f t="shared" si="4"/>
        <v>498280.5</v>
      </c>
      <c r="H42" s="3">
        <f t="shared" si="4"/>
        <v>220.85999999999999</v>
      </c>
    </row>
    <row r="43" spans="1:9" x14ac:dyDescent="0.25">
      <c r="A43" s="3" t="s">
        <v>14</v>
      </c>
      <c r="B43" s="3"/>
      <c r="C43" s="13">
        <f>ROUND(C42/G42,2)</f>
        <v>0.2</v>
      </c>
      <c r="D43" s="13">
        <f>ROUND(D42/G42,2)</f>
        <v>0.43</v>
      </c>
      <c r="E43" s="13">
        <f>ROUND(E42/G42,2)</f>
        <v>0.35</v>
      </c>
      <c r="F43" s="13">
        <f>ROUND(F42/G42,2)</f>
        <v>0.02</v>
      </c>
      <c r="G43" s="3"/>
      <c r="H43" s="3"/>
    </row>
    <row r="44" spans="1:9" x14ac:dyDescent="0.25">
      <c r="A44" s="3" t="s">
        <v>47</v>
      </c>
      <c r="B44" s="3"/>
      <c r="C44" s="3"/>
      <c r="D44" s="3"/>
      <c r="E44" s="3"/>
      <c r="F44" s="3"/>
      <c r="G44" s="3"/>
      <c r="H44" s="3"/>
    </row>
    <row r="45" spans="1:9" x14ac:dyDescent="0.25">
      <c r="A45" s="3" t="s">
        <v>48</v>
      </c>
      <c r="B45" s="3"/>
      <c r="C45" s="8">
        <v>98400</v>
      </c>
      <c r="D45" s="8">
        <v>28341</v>
      </c>
      <c r="E45" s="8">
        <v>156475</v>
      </c>
      <c r="F45" s="8">
        <v>399.5</v>
      </c>
      <c r="G45" s="8">
        <f>SUM(C45:F45)</f>
        <v>283615.5</v>
      </c>
      <c r="H45" s="3">
        <f>ROUND(G45/2256,2)</f>
        <v>125.72</v>
      </c>
    </row>
    <row r="46" spans="1:9" x14ac:dyDescent="0.25">
      <c r="A46" s="3" t="s">
        <v>49</v>
      </c>
      <c r="B46" s="3"/>
      <c r="C46" s="8">
        <v>0</v>
      </c>
      <c r="D46" s="8">
        <v>187875</v>
      </c>
      <c r="E46" s="8">
        <v>19080</v>
      </c>
      <c r="F46" s="8">
        <v>7710</v>
      </c>
      <c r="G46" s="8">
        <f>SUM(C46:F46)</f>
        <v>214665</v>
      </c>
      <c r="H46" s="3">
        <f>ROUND(G46/2256,2)</f>
        <v>95.15</v>
      </c>
    </row>
    <row r="47" spans="1:9" x14ac:dyDescent="0.25">
      <c r="A47" s="3" t="s">
        <v>50</v>
      </c>
      <c r="B47" s="3"/>
      <c r="C47" s="8">
        <v>0</v>
      </c>
      <c r="D47" s="8">
        <v>0</v>
      </c>
      <c r="E47" s="8">
        <v>0</v>
      </c>
      <c r="F47" s="8">
        <v>0</v>
      </c>
      <c r="G47" s="8">
        <f>SUM(C47:F47)</f>
        <v>0</v>
      </c>
      <c r="H47" s="3">
        <f>ROUND(G47/2256,2)</f>
        <v>0</v>
      </c>
    </row>
    <row r="49" spans="1:7" x14ac:dyDescent="0.25">
      <c r="A49" s="3"/>
      <c r="B49" s="3"/>
      <c r="C49" s="3" t="s">
        <v>2</v>
      </c>
      <c r="D49" s="3">
        <v>2022</v>
      </c>
      <c r="E49" s="3" t="s">
        <v>51</v>
      </c>
    </row>
    <row r="50" spans="1:7" x14ac:dyDescent="0.25">
      <c r="A50" s="3" t="s">
        <v>52</v>
      </c>
      <c r="B50" s="3"/>
      <c r="C50" s="13">
        <v>0.6139</v>
      </c>
      <c r="D50" s="13">
        <v>0.60750000000000004</v>
      </c>
      <c r="E50" s="13">
        <v>0.77659999999999996</v>
      </c>
    </row>
    <row r="51" spans="1:7" x14ac:dyDescent="0.25">
      <c r="A51" s="3" t="s">
        <v>53</v>
      </c>
      <c r="B51" s="3"/>
      <c r="C51" s="13">
        <v>0.60729999999999995</v>
      </c>
      <c r="D51" s="13">
        <v>0.59870000000000001</v>
      </c>
      <c r="E51" s="13">
        <v>0.75900000000000001</v>
      </c>
    </row>
    <row r="53" spans="1:7" x14ac:dyDescent="0.25">
      <c r="A53" s="3" t="s">
        <v>256</v>
      </c>
      <c r="B53" s="3"/>
      <c r="C53" s="3" t="s">
        <v>2</v>
      </c>
      <c r="D53" s="3" t="s">
        <v>150</v>
      </c>
      <c r="E53" s="3" t="s">
        <v>55</v>
      </c>
      <c r="F53" s="3" t="s">
        <v>254</v>
      </c>
      <c r="G53" s="3"/>
    </row>
    <row r="54" spans="1:7" x14ac:dyDescent="0.25">
      <c r="A54" s="3" t="s">
        <v>56</v>
      </c>
      <c r="B54" s="3"/>
      <c r="C54" s="3"/>
      <c r="D54" s="3">
        <v>151.24</v>
      </c>
      <c r="E54" s="3">
        <v>81.5</v>
      </c>
      <c r="F54" s="3">
        <v>50.61</v>
      </c>
      <c r="G54" s="3"/>
    </row>
    <row r="55" spans="1:7" x14ac:dyDescent="0.25">
      <c r="A55" s="3" t="s">
        <v>57</v>
      </c>
      <c r="B55" s="3"/>
      <c r="C55" s="3"/>
      <c r="D55" s="3">
        <v>9.67</v>
      </c>
      <c r="E55" s="3">
        <v>58.24</v>
      </c>
      <c r="F55" s="3">
        <v>57.37</v>
      </c>
      <c r="G55" s="3"/>
    </row>
    <row r="56" spans="1:7" x14ac:dyDescent="0.25">
      <c r="A56" s="3" t="s">
        <v>58</v>
      </c>
      <c r="B56" s="3"/>
      <c r="C56" s="3"/>
      <c r="D56" s="3">
        <v>244.84</v>
      </c>
      <c r="E56" s="3">
        <v>261.52999999999997</v>
      </c>
      <c r="F56" s="3">
        <v>249.57</v>
      </c>
      <c r="G56" s="3"/>
    </row>
    <row r="57" spans="1:7" x14ac:dyDescent="0.25">
      <c r="A57" s="3" t="s">
        <v>59</v>
      </c>
      <c r="B57" s="3"/>
      <c r="C57" s="3"/>
      <c r="D57" s="3">
        <v>172.15</v>
      </c>
      <c r="E57" s="3">
        <v>103.11</v>
      </c>
      <c r="F57" s="3">
        <v>71.400000000000006</v>
      </c>
      <c r="G5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I58"/>
  <sheetViews>
    <sheetView topLeftCell="A27" workbookViewId="0">
      <selection activeCell="G55" sqref="G55:G58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5703125" bestFit="1" customWidth="1"/>
    <col min="4" max="4" width="22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151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5771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65</v>
      </c>
      <c r="G9" s="10">
        <f t="shared" ref="G9:G42" si="0">SUM(C9:F9)</f>
        <v>65</v>
      </c>
      <c r="H9">
        <f t="shared" ref="H9:H42" si="1">ROUND(G9/5771,2)</f>
        <v>0.01</v>
      </c>
      <c r="I9" s="14">
        <f t="shared" ref="I9:I40" si="2">ROUND(G9/$G$43,3)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885</v>
      </c>
      <c r="G10" s="10">
        <f t="shared" si="0"/>
        <v>885</v>
      </c>
      <c r="H10">
        <f t="shared" si="1"/>
        <v>0.15</v>
      </c>
      <c r="I10" s="14">
        <f t="shared" si="2"/>
        <v>1E-3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75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15</v>
      </c>
      <c r="B13" t="s">
        <v>63</v>
      </c>
      <c r="C13" s="10"/>
      <c r="D13" s="10"/>
      <c r="E13" s="10"/>
      <c r="F13" s="10"/>
      <c r="G13" s="10">
        <f t="shared" si="0"/>
        <v>0</v>
      </c>
      <c r="H13">
        <f t="shared" si="1"/>
        <v>0</v>
      </c>
      <c r="I13" s="14">
        <f t="shared" si="2"/>
        <v>0</v>
      </c>
    </row>
    <row r="14" spans="1:9" x14ac:dyDescent="0.25">
      <c r="A14" t="s">
        <v>19</v>
      </c>
      <c r="B14" t="s">
        <v>64</v>
      </c>
      <c r="C14" s="10"/>
      <c r="D14" s="10"/>
      <c r="E14" s="10">
        <v>108</v>
      </c>
      <c r="F14" s="10"/>
      <c r="G14" s="10">
        <f t="shared" si="0"/>
        <v>108</v>
      </c>
      <c r="H14">
        <f t="shared" si="1"/>
        <v>0.02</v>
      </c>
      <c r="I14" s="14">
        <f t="shared" si="2"/>
        <v>0</v>
      </c>
    </row>
    <row r="15" spans="1:9" x14ac:dyDescent="0.25">
      <c r="A15" t="s">
        <v>19</v>
      </c>
      <c r="B15" t="s">
        <v>20</v>
      </c>
      <c r="C15" s="10">
        <v>91650</v>
      </c>
      <c r="D15" s="10"/>
      <c r="E15" s="10">
        <v>3540</v>
      </c>
      <c r="F15" s="10"/>
      <c r="G15" s="10">
        <f t="shared" si="0"/>
        <v>95190</v>
      </c>
      <c r="H15">
        <f t="shared" si="1"/>
        <v>16.489999999999998</v>
      </c>
      <c r="I15" s="14">
        <f t="shared" si="2"/>
        <v>8.1000000000000003E-2</v>
      </c>
    </row>
    <row r="16" spans="1:9" x14ac:dyDescent="0.25">
      <c r="A16" t="s">
        <v>19</v>
      </c>
      <c r="B16" t="s">
        <v>21</v>
      </c>
      <c r="C16" s="10">
        <v>110580</v>
      </c>
      <c r="D16" s="10"/>
      <c r="E16" s="10"/>
      <c r="F16" s="10"/>
      <c r="G16" s="10">
        <f t="shared" si="0"/>
        <v>110580</v>
      </c>
      <c r="H16">
        <f t="shared" si="1"/>
        <v>19.16</v>
      </c>
      <c r="I16" s="14">
        <f t="shared" si="2"/>
        <v>9.4E-2</v>
      </c>
    </row>
    <row r="17" spans="1:9" x14ac:dyDescent="0.25">
      <c r="A17" t="s">
        <v>19</v>
      </c>
      <c r="B17" t="s">
        <v>77</v>
      </c>
      <c r="C17" s="10"/>
      <c r="D17" s="10"/>
      <c r="E17" s="10"/>
      <c r="F17" s="10">
        <v>920</v>
      </c>
      <c r="G17" s="10">
        <f t="shared" si="0"/>
        <v>920</v>
      </c>
      <c r="H17">
        <f t="shared" si="1"/>
        <v>0.16</v>
      </c>
      <c r="I17" s="14">
        <f t="shared" si="2"/>
        <v>1E-3</v>
      </c>
    </row>
    <row r="18" spans="1:9" x14ac:dyDescent="0.25">
      <c r="A18" t="s">
        <v>19</v>
      </c>
      <c r="B18" t="s">
        <v>23</v>
      </c>
      <c r="C18" s="10"/>
      <c r="D18" s="10"/>
      <c r="E18" s="10">
        <v>36180</v>
      </c>
      <c r="F18" s="10"/>
      <c r="G18" s="10">
        <f t="shared" si="0"/>
        <v>36180</v>
      </c>
      <c r="H18">
        <f t="shared" si="1"/>
        <v>6.27</v>
      </c>
      <c r="I18" s="14">
        <f t="shared" si="2"/>
        <v>3.1E-2</v>
      </c>
    </row>
    <row r="19" spans="1:9" x14ac:dyDescent="0.25">
      <c r="A19" t="s">
        <v>19</v>
      </c>
      <c r="B19" t="s">
        <v>24</v>
      </c>
      <c r="C19" s="10">
        <v>125550</v>
      </c>
      <c r="D19" s="10"/>
      <c r="E19" s="10">
        <v>8140</v>
      </c>
      <c r="F19" s="10"/>
      <c r="G19" s="10">
        <f t="shared" si="0"/>
        <v>133690</v>
      </c>
      <c r="H19">
        <f t="shared" si="1"/>
        <v>23.17</v>
      </c>
      <c r="I19" s="14">
        <f t="shared" si="2"/>
        <v>0.114</v>
      </c>
    </row>
    <row r="20" spans="1:9" x14ac:dyDescent="0.25">
      <c r="A20" t="s">
        <v>19</v>
      </c>
      <c r="B20" t="s">
        <v>66</v>
      </c>
      <c r="C20" s="10"/>
      <c r="D20" s="10"/>
      <c r="E20" s="10">
        <v>7510</v>
      </c>
      <c r="F20" s="10"/>
      <c r="G20" s="10">
        <f t="shared" si="0"/>
        <v>7510</v>
      </c>
      <c r="H20">
        <f t="shared" si="1"/>
        <v>1.3</v>
      </c>
      <c r="I20" s="14">
        <f t="shared" si="2"/>
        <v>6.0000000000000001E-3</v>
      </c>
    </row>
    <row r="21" spans="1:9" x14ac:dyDescent="0.25">
      <c r="A21" t="s">
        <v>19</v>
      </c>
      <c r="B21" t="s">
        <v>25</v>
      </c>
      <c r="C21" s="10">
        <v>250280</v>
      </c>
      <c r="D21" s="10"/>
      <c r="E21" s="10"/>
      <c r="F21" s="10"/>
      <c r="G21" s="10">
        <f t="shared" si="0"/>
        <v>250280</v>
      </c>
      <c r="H21">
        <f t="shared" si="1"/>
        <v>43.37</v>
      </c>
      <c r="I21" s="14">
        <f t="shared" si="2"/>
        <v>0.21299999999999999</v>
      </c>
    </row>
    <row r="22" spans="1:9" x14ac:dyDescent="0.25">
      <c r="A22" t="s">
        <v>19</v>
      </c>
      <c r="B22" t="s">
        <v>26</v>
      </c>
      <c r="C22" s="10"/>
      <c r="D22" s="10"/>
      <c r="E22" s="10">
        <v>394</v>
      </c>
      <c r="F22" s="10"/>
      <c r="G22" s="10">
        <f t="shared" si="0"/>
        <v>394</v>
      </c>
      <c r="H22">
        <f t="shared" si="1"/>
        <v>7.0000000000000007E-2</v>
      </c>
      <c r="I22" s="14">
        <f t="shared" si="2"/>
        <v>0</v>
      </c>
    </row>
    <row r="23" spans="1:9" x14ac:dyDescent="0.25">
      <c r="A23" t="s">
        <v>19</v>
      </c>
      <c r="B23" t="s">
        <v>27</v>
      </c>
      <c r="C23" s="10"/>
      <c r="D23" s="10"/>
      <c r="E23" s="10">
        <v>121</v>
      </c>
      <c r="F23" s="10"/>
      <c r="G23" s="10">
        <f t="shared" si="0"/>
        <v>121</v>
      </c>
      <c r="H23">
        <f t="shared" si="1"/>
        <v>0.02</v>
      </c>
      <c r="I23" s="14">
        <f t="shared" si="2"/>
        <v>0</v>
      </c>
    </row>
    <row r="24" spans="1:9" x14ac:dyDescent="0.25">
      <c r="A24" t="s">
        <v>19</v>
      </c>
      <c r="B24" t="s">
        <v>28</v>
      </c>
      <c r="C24" s="10"/>
      <c r="D24" s="10"/>
      <c r="E24" s="10">
        <v>200</v>
      </c>
      <c r="F24" s="10"/>
      <c r="G24" s="10">
        <f t="shared" si="0"/>
        <v>200</v>
      </c>
      <c r="H24">
        <f t="shared" si="1"/>
        <v>0.03</v>
      </c>
      <c r="I24" s="14">
        <f t="shared" si="2"/>
        <v>0</v>
      </c>
    </row>
    <row r="25" spans="1:9" x14ac:dyDescent="0.25">
      <c r="A25" t="s">
        <v>19</v>
      </c>
      <c r="B25" t="s">
        <v>29</v>
      </c>
      <c r="C25" s="10"/>
      <c r="D25" s="10"/>
      <c r="E25" s="10">
        <v>5200</v>
      </c>
      <c r="F25" s="10"/>
      <c r="G25" s="10">
        <f t="shared" si="0"/>
        <v>5200</v>
      </c>
      <c r="H25">
        <f t="shared" si="1"/>
        <v>0.9</v>
      </c>
      <c r="I25" s="14">
        <f t="shared" si="2"/>
        <v>4.0000000000000001E-3</v>
      </c>
    </row>
    <row r="26" spans="1:9" x14ac:dyDescent="0.25">
      <c r="A26" t="s">
        <v>19</v>
      </c>
      <c r="B26" t="s">
        <v>30</v>
      </c>
      <c r="C26" s="10"/>
      <c r="D26" s="10"/>
      <c r="E26" s="10">
        <v>1090</v>
      </c>
      <c r="F26" s="10"/>
      <c r="G26" s="10">
        <f t="shared" si="0"/>
        <v>1090</v>
      </c>
      <c r="H26">
        <f t="shared" si="1"/>
        <v>0.19</v>
      </c>
      <c r="I26" s="14">
        <f t="shared" si="2"/>
        <v>1E-3</v>
      </c>
    </row>
    <row r="27" spans="1:9" x14ac:dyDescent="0.25">
      <c r="A27" t="s">
        <v>19</v>
      </c>
      <c r="B27" t="s">
        <v>31</v>
      </c>
      <c r="C27" s="10"/>
      <c r="D27" s="10"/>
      <c r="E27" s="10">
        <v>450</v>
      </c>
      <c r="F27" s="10"/>
      <c r="G27" s="10">
        <f t="shared" si="0"/>
        <v>450</v>
      </c>
      <c r="H27">
        <f t="shared" si="1"/>
        <v>0.08</v>
      </c>
      <c r="I27" s="14">
        <f t="shared" si="2"/>
        <v>0</v>
      </c>
    </row>
    <row r="28" spans="1:9" x14ac:dyDescent="0.25">
      <c r="A28" t="s">
        <v>19</v>
      </c>
      <c r="B28" t="s">
        <v>42</v>
      </c>
      <c r="C28" s="10"/>
      <c r="D28" s="10">
        <v>462</v>
      </c>
      <c r="E28" s="10"/>
      <c r="F28" s="10"/>
      <c r="G28" s="10">
        <f t="shared" si="0"/>
        <v>462</v>
      </c>
      <c r="H28">
        <f t="shared" si="1"/>
        <v>0.08</v>
      </c>
      <c r="I28" s="14">
        <f t="shared" si="2"/>
        <v>0</v>
      </c>
    </row>
    <row r="29" spans="1:9" x14ac:dyDescent="0.25">
      <c r="A29" t="s">
        <v>19</v>
      </c>
      <c r="B29" t="s">
        <v>67</v>
      </c>
      <c r="C29" s="10"/>
      <c r="D29" s="10"/>
      <c r="E29" s="10">
        <v>790</v>
      </c>
      <c r="F29" s="10"/>
      <c r="G29" s="10">
        <f t="shared" si="0"/>
        <v>790</v>
      </c>
      <c r="H29">
        <f t="shared" si="1"/>
        <v>0.14000000000000001</v>
      </c>
      <c r="I29" s="14">
        <f t="shared" si="2"/>
        <v>1E-3</v>
      </c>
    </row>
    <row r="30" spans="1:9" x14ac:dyDescent="0.25">
      <c r="A30" t="s">
        <v>19</v>
      </c>
      <c r="B30" t="s">
        <v>33</v>
      </c>
      <c r="C30" s="10"/>
      <c r="D30" s="10">
        <v>750</v>
      </c>
      <c r="E30" s="10"/>
      <c r="F30" s="10"/>
      <c r="G30" s="10">
        <f t="shared" si="0"/>
        <v>750</v>
      </c>
      <c r="H30">
        <f t="shared" si="1"/>
        <v>0.13</v>
      </c>
      <c r="I30" s="14">
        <f t="shared" si="2"/>
        <v>1E-3</v>
      </c>
    </row>
    <row r="31" spans="1:9" x14ac:dyDescent="0.25">
      <c r="A31" t="s">
        <v>19</v>
      </c>
      <c r="B31" t="s">
        <v>34</v>
      </c>
      <c r="C31" s="10"/>
      <c r="D31" s="10"/>
      <c r="E31" s="10">
        <v>2761</v>
      </c>
      <c r="F31" s="10"/>
      <c r="G31" s="10">
        <f t="shared" si="0"/>
        <v>2761</v>
      </c>
      <c r="H31">
        <f t="shared" si="1"/>
        <v>0.48</v>
      </c>
      <c r="I31" s="14">
        <f t="shared" si="2"/>
        <v>2E-3</v>
      </c>
    </row>
    <row r="32" spans="1:9" x14ac:dyDescent="0.25">
      <c r="A32" t="s">
        <v>19</v>
      </c>
      <c r="B32" t="s">
        <v>40</v>
      </c>
      <c r="C32" s="10"/>
      <c r="D32" s="10"/>
      <c r="E32" s="10">
        <v>9866</v>
      </c>
      <c r="F32" s="10"/>
      <c r="G32" s="10">
        <f t="shared" si="0"/>
        <v>9866</v>
      </c>
      <c r="H32">
        <f t="shared" si="1"/>
        <v>1.71</v>
      </c>
      <c r="I32" s="14">
        <f t="shared" si="2"/>
        <v>8.0000000000000002E-3</v>
      </c>
    </row>
    <row r="33" spans="1:9" x14ac:dyDescent="0.25">
      <c r="A33" t="s">
        <v>19</v>
      </c>
      <c r="B33" t="s">
        <v>35</v>
      </c>
      <c r="C33" s="10"/>
      <c r="D33" s="10"/>
      <c r="E33" s="10">
        <v>5011</v>
      </c>
      <c r="F33" s="10"/>
      <c r="G33" s="10">
        <f t="shared" si="0"/>
        <v>5011</v>
      </c>
      <c r="H33">
        <f t="shared" si="1"/>
        <v>0.87</v>
      </c>
      <c r="I33" s="14">
        <f t="shared" si="2"/>
        <v>4.0000000000000001E-3</v>
      </c>
    </row>
    <row r="34" spans="1:9" x14ac:dyDescent="0.25">
      <c r="A34" t="s">
        <v>19</v>
      </c>
      <c r="B34" t="s">
        <v>36</v>
      </c>
      <c r="C34" s="10"/>
      <c r="D34" s="10"/>
      <c r="E34" s="10">
        <v>72170</v>
      </c>
      <c r="F34" s="10"/>
      <c r="G34" s="10">
        <f t="shared" si="0"/>
        <v>72170</v>
      </c>
      <c r="H34">
        <f t="shared" si="1"/>
        <v>12.51</v>
      </c>
      <c r="I34" s="14">
        <f t="shared" si="2"/>
        <v>6.0999999999999999E-2</v>
      </c>
    </row>
    <row r="35" spans="1:9" x14ac:dyDescent="0.25">
      <c r="A35" t="s">
        <v>19</v>
      </c>
      <c r="B35" t="s">
        <v>37</v>
      </c>
      <c r="C35" s="10"/>
      <c r="D35" s="10"/>
      <c r="E35" s="10">
        <v>3120</v>
      </c>
      <c r="F35" s="10"/>
      <c r="G35" s="10">
        <f t="shared" si="0"/>
        <v>3120</v>
      </c>
      <c r="H35">
        <f t="shared" si="1"/>
        <v>0.54</v>
      </c>
      <c r="I35" s="14">
        <f t="shared" si="2"/>
        <v>3.0000000000000001E-3</v>
      </c>
    </row>
    <row r="36" spans="1:9" x14ac:dyDescent="0.25">
      <c r="A36" t="s">
        <v>19</v>
      </c>
      <c r="B36" t="s">
        <v>38</v>
      </c>
      <c r="C36" s="10"/>
      <c r="D36" s="10"/>
      <c r="E36" s="10">
        <v>21290</v>
      </c>
      <c r="F36" s="10"/>
      <c r="G36" s="10">
        <f t="shared" si="0"/>
        <v>21290</v>
      </c>
      <c r="H36">
        <f t="shared" si="1"/>
        <v>3.69</v>
      </c>
      <c r="I36" s="14">
        <f t="shared" si="2"/>
        <v>1.7999999999999999E-2</v>
      </c>
    </row>
    <row r="37" spans="1:9" x14ac:dyDescent="0.25">
      <c r="A37" t="s">
        <v>19</v>
      </c>
      <c r="B37" t="s">
        <v>39</v>
      </c>
      <c r="C37" s="10"/>
      <c r="D37" s="10"/>
      <c r="E37" s="10">
        <v>108580</v>
      </c>
      <c r="F37" s="10"/>
      <c r="G37" s="10">
        <f t="shared" si="0"/>
        <v>108580</v>
      </c>
      <c r="H37">
        <f t="shared" si="1"/>
        <v>18.809999999999999</v>
      </c>
      <c r="I37" s="14">
        <f t="shared" si="2"/>
        <v>9.1999999999999998E-2</v>
      </c>
    </row>
    <row r="38" spans="1:9" x14ac:dyDescent="0.25">
      <c r="A38" t="s">
        <v>19</v>
      </c>
      <c r="B38" t="s">
        <v>71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t="s">
        <v>19</v>
      </c>
      <c r="B39" t="s">
        <v>32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43</v>
      </c>
      <c r="B40" t="s">
        <v>44</v>
      </c>
      <c r="C40" s="10">
        <v>244080</v>
      </c>
      <c r="D40" s="10"/>
      <c r="E40" s="10"/>
      <c r="F40" s="10"/>
      <c r="G40" s="10">
        <f t="shared" si="0"/>
        <v>244080</v>
      </c>
      <c r="H40">
        <f t="shared" si="1"/>
        <v>42.29</v>
      </c>
      <c r="I40" s="14">
        <f t="shared" si="2"/>
        <v>0.20699999999999999</v>
      </c>
    </row>
    <row r="41" spans="1:9" x14ac:dyDescent="0.25">
      <c r="A41" t="s">
        <v>43</v>
      </c>
      <c r="B41" t="s">
        <v>46</v>
      </c>
      <c r="C41" s="10"/>
      <c r="D41" s="10"/>
      <c r="E41" s="10"/>
      <c r="F41" s="10">
        <v>20020</v>
      </c>
      <c r="G41" s="10">
        <f t="shared" si="0"/>
        <v>20020</v>
      </c>
      <c r="H41">
        <f t="shared" si="1"/>
        <v>3.47</v>
      </c>
      <c r="I41" s="14">
        <f t="shared" ref="I41" si="3">ROUND(G41/$G$43,3)</f>
        <v>1.7000000000000001E-2</v>
      </c>
    </row>
    <row r="42" spans="1:9" x14ac:dyDescent="0.25">
      <c r="A42" t="s">
        <v>43</v>
      </c>
      <c r="B42" t="s">
        <v>45</v>
      </c>
      <c r="C42" s="10"/>
      <c r="D42" s="10"/>
      <c r="E42" s="10">
        <v>44560</v>
      </c>
      <c r="F42" s="10"/>
      <c r="G42" s="10">
        <f t="shared" si="0"/>
        <v>44560</v>
      </c>
      <c r="H42">
        <f t="shared" si="1"/>
        <v>7.72</v>
      </c>
      <c r="I42" s="14">
        <f>ROUND(G42/$G$43,3)</f>
        <v>3.7999999999999999E-2</v>
      </c>
    </row>
    <row r="43" spans="1:9" x14ac:dyDescent="0.25">
      <c r="A43" s="3" t="s">
        <v>253</v>
      </c>
      <c r="B43" s="3"/>
      <c r="C43" s="8">
        <f t="shared" ref="C43:H43" si="4">SUM(C8:C42)</f>
        <v>822140</v>
      </c>
      <c r="D43" s="8">
        <f t="shared" si="4"/>
        <v>1212</v>
      </c>
      <c r="E43" s="8">
        <f t="shared" si="4"/>
        <v>331081</v>
      </c>
      <c r="F43" s="8">
        <f t="shared" si="4"/>
        <v>21890</v>
      </c>
      <c r="G43" s="8">
        <f t="shared" si="4"/>
        <v>1176323</v>
      </c>
      <c r="H43" s="3">
        <f t="shared" si="4"/>
        <v>203.82999999999998</v>
      </c>
    </row>
    <row r="44" spans="1:9" x14ac:dyDescent="0.25">
      <c r="A44" s="3" t="s">
        <v>14</v>
      </c>
      <c r="B44" s="3"/>
      <c r="C44" s="13">
        <f>ROUND(C43/G43,2)</f>
        <v>0.7</v>
      </c>
      <c r="D44" s="13">
        <f>ROUND(D43/G43,2)</f>
        <v>0</v>
      </c>
      <c r="E44" s="13">
        <f>ROUND(E43/G43,2)</f>
        <v>0.28000000000000003</v>
      </c>
      <c r="F44" s="13">
        <f>ROUND(F43/G43,2)</f>
        <v>0.02</v>
      </c>
      <c r="G44" s="3"/>
      <c r="H44" s="3"/>
    </row>
    <row r="45" spans="1:9" x14ac:dyDescent="0.25">
      <c r="A45" s="3" t="s">
        <v>47</v>
      </c>
      <c r="B45" s="3"/>
      <c r="C45" s="3"/>
      <c r="D45" s="3"/>
      <c r="E45" s="3"/>
      <c r="F45" s="3"/>
      <c r="G45" s="3"/>
      <c r="H45" s="3"/>
    </row>
    <row r="46" spans="1:9" x14ac:dyDescent="0.25">
      <c r="A46" s="3" t="s">
        <v>48</v>
      </c>
      <c r="B46" s="3"/>
      <c r="C46" s="8">
        <v>578060</v>
      </c>
      <c r="D46" s="8">
        <v>1212</v>
      </c>
      <c r="E46" s="8">
        <v>286521</v>
      </c>
      <c r="F46" s="8">
        <v>920</v>
      </c>
      <c r="G46" s="8">
        <f>SUM(C46:F46)</f>
        <v>866713</v>
      </c>
      <c r="H46" s="3">
        <f>ROUND(G46/5771,2)</f>
        <v>150.18</v>
      </c>
    </row>
    <row r="47" spans="1:9" x14ac:dyDescent="0.25">
      <c r="A47" s="3" t="s">
        <v>49</v>
      </c>
      <c r="B47" s="3"/>
      <c r="C47" s="8">
        <v>244080</v>
      </c>
      <c r="D47" s="8">
        <v>0</v>
      </c>
      <c r="E47" s="8">
        <v>44560</v>
      </c>
      <c r="F47" s="8">
        <v>20020</v>
      </c>
      <c r="G47" s="8">
        <f>SUM(C47:F47)</f>
        <v>308660</v>
      </c>
      <c r="H47" s="3">
        <f>ROUND(G47/5771,2)</f>
        <v>53.48</v>
      </c>
    </row>
    <row r="48" spans="1:9" x14ac:dyDescent="0.25">
      <c r="A48" s="3" t="s">
        <v>50</v>
      </c>
      <c r="B48" s="3"/>
      <c r="C48" s="8">
        <v>0</v>
      </c>
      <c r="D48" s="8">
        <v>0</v>
      </c>
      <c r="E48" s="8">
        <v>0</v>
      </c>
      <c r="F48" s="8">
        <v>950</v>
      </c>
      <c r="G48" s="8">
        <f>SUM(C48:F48)</f>
        <v>950</v>
      </c>
      <c r="H48" s="3">
        <f>ROUND(G48/5771,2)</f>
        <v>0.16</v>
      </c>
    </row>
    <row r="50" spans="1:7" x14ac:dyDescent="0.25">
      <c r="A50" s="3"/>
      <c r="B50" s="3"/>
      <c r="C50" s="3" t="s">
        <v>2</v>
      </c>
      <c r="D50" s="3">
        <v>2022</v>
      </c>
      <c r="E50" s="3" t="s">
        <v>51</v>
      </c>
    </row>
    <row r="51" spans="1:7" x14ac:dyDescent="0.25">
      <c r="A51" s="3" t="s">
        <v>52</v>
      </c>
      <c r="B51" s="3"/>
      <c r="C51" s="13">
        <v>0.78580000000000005</v>
      </c>
      <c r="D51" s="13">
        <v>0.78849999999999998</v>
      </c>
      <c r="E51" s="13">
        <v>0.77659999999999996</v>
      </c>
    </row>
    <row r="52" spans="1:7" x14ac:dyDescent="0.25">
      <c r="A52" s="3" t="s">
        <v>53</v>
      </c>
      <c r="B52" s="3"/>
      <c r="C52" s="13">
        <v>0.77759999999999996</v>
      </c>
      <c r="D52" s="13">
        <v>0.77790000000000004</v>
      </c>
      <c r="E52" s="13">
        <v>0.75900000000000001</v>
      </c>
    </row>
    <row r="54" spans="1:7" x14ac:dyDescent="0.25">
      <c r="A54" s="3" t="s">
        <v>256</v>
      </c>
      <c r="B54" s="3"/>
      <c r="C54" s="3" t="s">
        <v>2</v>
      </c>
      <c r="D54" s="3" t="s">
        <v>152</v>
      </c>
      <c r="E54" s="3" t="s">
        <v>55</v>
      </c>
      <c r="F54" s="3" t="s">
        <v>254</v>
      </c>
      <c r="G54" s="3"/>
    </row>
    <row r="55" spans="1:7" x14ac:dyDescent="0.25">
      <c r="A55" s="3" t="s">
        <v>56</v>
      </c>
      <c r="B55" s="3"/>
      <c r="C55" s="3"/>
      <c r="D55" s="3">
        <v>71.569999999999993</v>
      </c>
      <c r="E55" s="3">
        <v>81.5</v>
      </c>
      <c r="F55" s="3">
        <v>50.61</v>
      </c>
      <c r="G55" s="3"/>
    </row>
    <row r="56" spans="1:7" x14ac:dyDescent="0.25">
      <c r="A56" s="3" t="s">
        <v>57</v>
      </c>
      <c r="B56" s="3"/>
      <c r="C56" s="3"/>
      <c r="D56" s="3">
        <v>74.03</v>
      </c>
      <c r="E56" s="3">
        <v>58.24</v>
      </c>
      <c r="F56" s="3">
        <v>57.37</v>
      </c>
      <c r="G56" s="3"/>
    </row>
    <row r="57" spans="1:7" x14ac:dyDescent="0.25">
      <c r="A57" s="3" t="s">
        <v>58</v>
      </c>
      <c r="B57" s="3"/>
      <c r="C57" s="3"/>
      <c r="D57" s="3">
        <v>283.47000000000003</v>
      </c>
      <c r="E57" s="3">
        <v>261.52999999999997</v>
      </c>
      <c r="F57" s="3">
        <v>249.57</v>
      </c>
      <c r="G57" s="3"/>
    </row>
    <row r="58" spans="1:7" x14ac:dyDescent="0.25">
      <c r="A58" s="3" t="s">
        <v>59</v>
      </c>
      <c r="B58" s="3"/>
      <c r="C58" s="3"/>
      <c r="D58" s="3">
        <v>104.8</v>
      </c>
      <c r="E58" s="3">
        <v>103.11</v>
      </c>
      <c r="F58" s="3">
        <v>71.400000000000006</v>
      </c>
      <c r="G5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58"/>
  <sheetViews>
    <sheetView topLeftCell="A30" workbookViewId="0">
      <selection activeCell="G55" sqref="G55:G58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7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153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6871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20</v>
      </c>
      <c r="G9" s="10">
        <f t="shared" ref="G9:G42" si="0">SUM(C9:F9)</f>
        <v>20</v>
      </c>
      <c r="H9">
        <f t="shared" ref="H9:H42" si="1">ROUND(G9/6871,2)</f>
        <v>0</v>
      </c>
      <c r="I9" s="14">
        <f t="shared" ref="I9:I40" si="2">ROUND(G9/$G$43,3)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80</v>
      </c>
      <c r="G10" s="10">
        <f t="shared" si="0"/>
        <v>80</v>
      </c>
      <c r="H10">
        <f t="shared" si="1"/>
        <v>0.01</v>
      </c>
      <c r="I10" s="14">
        <f t="shared" si="2"/>
        <v>0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63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70</v>
      </c>
      <c r="F13" s="10"/>
      <c r="G13" s="10">
        <f t="shared" si="0"/>
        <v>70</v>
      </c>
      <c r="H13">
        <f t="shared" si="1"/>
        <v>0.01</v>
      </c>
      <c r="I13" s="14">
        <f t="shared" si="2"/>
        <v>0</v>
      </c>
    </row>
    <row r="14" spans="1:9" x14ac:dyDescent="0.25">
      <c r="A14" t="s">
        <v>19</v>
      </c>
      <c r="B14" t="s">
        <v>20</v>
      </c>
      <c r="C14" s="10">
        <v>94960</v>
      </c>
      <c r="D14" s="10"/>
      <c r="E14" s="10">
        <v>6420</v>
      </c>
      <c r="F14" s="10">
        <v>380</v>
      </c>
      <c r="G14" s="10">
        <f t="shared" si="0"/>
        <v>101760</v>
      </c>
      <c r="H14">
        <f t="shared" si="1"/>
        <v>14.81</v>
      </c>
      <c r="I14" s="14">
        <f t="shared" si="2"/>
        <v>7.8E-2</v>
      </c>
    </row>
    <row r="15" spans="1:9" x14ac:dyDescent="0.25">
      <c r="A15" t="s">
        <v>19</v>
      </c>
      <c r="B15" t="s">
        <v>21</v>
      </c>
      <c r="C15" s="10">
        <v>124390</v>
      </c>
      <c r="D15" s="10"/>
      <c r="E15" s="10"/>
      <c r="F15" s="10"/>
      <c r="G15" s="10">
        <f t="shared" si="0"/>
        <v>124390</v>
      </c>
      <c r="H15">
        <f t="shared" si="1"/>
        <v>18.100000000000001</v>
      </c>
      <c r="I15" s="14">
        <f t="shared" si="2"/>
        <v>9.6000000000000002E-2</v>
      </c>
    </row>
    <row r="16" spans="1:9" x14ac:dyDescent="0.25">
      <c r="A16" t="s">
        <v>19</v>
      </c>
      <c r="B16" t="s">
        <v>76</v>
      </c>
      <c r="C16" s="10"/>
      <c r="D16" s="10"/>
      <c r="E16" s="10">
        <v>118</v>
      </c>
      <c r="F16" s="10"/>
      <c r="G16" s="10">
        <f t="shared" si="0"/>
        <v>118</v>
      </c>
      <c r="H16">
        <f t="shared" si="1"/>
        <v>0.02</v>
      </c>
      <c r="I16" s="14">
        <f t="shared" si="2"/>
        <v>0</v>
      </c>
    </row>
    <row r="17" spans="1:9" x14ac:dyDescent="0.25">
      <c r="A17" t="s">
        <v>19</v>
      </c>
      <c r="B17" t="s">
        <v>41</v>
      </c>
      <c r="C17" s="10"/>
      <c r="D17" s="10"/>
      <c r="E17" s="10">
        <v>260</v>
      </c>
      <c r="F17" s="10"/>
      <c r="G17" s="10">
        <f t="shared" si="0"/>
        <v>260</v>
      </c>
      <c r="H17">
        <f t="shared" si="1"/>
        <v>0.04</v>
      </c>
      <c r="I17" s="14">
        <f t="shared" si="2"/>
        <v>0</v>
      </c>
    </row>
    <row r="18" spans="1:9" x14ac:dyDescent="0.25">
      <c r="A18" t="s">
        <v>19</v>
      </c>
      <c r="B18" t="s">
        <v>22</v>
      </c>
      <c r="C18" s="10"/>
      <c r="D18" s="10"/>
      <c r="E18" s="10">
        <v>2060</v>
      </c>
      <c r="F18" s="10"/>
      <c r="G18" s="10">
        <f t="shared" si="0"/>
        <v>2060</v>
      </c>
      <c r="H18">
        <f t="shared" si="1"/>
        <v>0.3</v>
      </c>
      <c r="I18" s="14">
        <f t="shared" si="2"/>
        <v>2E-3</v>
      </c>
    </row>
    <row r="19" spans="1:9" x14ac:dyDescent="0.25">
      <c r="A19" t="s">
        <v>19</v>
      </c>
      <c r="B19" t="s">
        <v>23</v>
      </c>
      <c r="C19" s="10"/>
      <c r="D19" s="10"/>
      <c r="E19" s="10">
        <v>68400</v>
      </c>
      <c r="F19" s="10"/>
      <c r="G19" s="10">
        <f t="shared" si="0"/>
        <v>68400</v>
      </c>
      <c r="H19">
        <f t="shared" si="1"/>
        <v>9.9499999999999993</v>
      </c>
      <c r="I19" s="14">
        <f t="shared" si="2"/>
        <v>5.2999999999999999E-2</v>
      </c>
    </row>
    <row r="20" spans="1:9" x14ac:dyDescent="0.25">
      <c r="A20" t="s">
        <v>19</v>
      </c>
      <c r="B20" t="s">
        <v>24</v>
      </c>
      <c r="C20" s="10">
        <v>148430</v>
      </c>
      <c r="D20" s="10"/>
      <c r="E20" s="10">
        <v>25560</v>
      </c>
      <c r="F20" s="10">
        <v>5730</v>
      </c>
      <c r="G20" s="10">
        <f t="shared" si="0"/>
        <v>179720</v>
      </c>
      <c r="H20">
        <f t="shared" si="1"/>
        <v>26.16</v>
      </c>
      <c r="I20" s="14">
        <f t="shared" si="2"/>
        <v>0.13800000000000001</v>
      </c>
    </row>
    <row r="21" spans="1:9" x14ac:dyDescent="0.25">
      <c r="A21" t="s">
        <v>19</v>
      </c>
      <c r="B21" t="s">
        <v>66</v>
      </c>
      <c r="C21" s="10"/>
      <c r="D21" s="10"/>
      <c r="E21" s="10">
        <v>4250</v>
      </c>
      <c r="F21" s="10"/>
      <c r="G21" s="10">
        <f t="shared" si="0"/>
        <v>4250</v>
      </c>
      <c r="H21">
        <f t="shared" si="1"/>
        <v>0.62</v>
      </c>
      <c r="I21" s="14">
        <f t="shared" si="2"/>
        <v>3.0000000000000001E-3</v>
      </c>
    </row>
    <row r="22" spans="1:9" x14ac:dyDescent="0.25">
      <c r="A22" t="s">
        <v>19</v>
      </c>
      <c r="B22" t="s">
        <v>25</v>
      </c>
      <c r="C22" s="10">
        <v>213870</v>
      </c>
      <c r="D22" s="10"/>
      <c r="E22" s="10"/>
      <c r="F22" s="10">
        <v>270</v>
      </c>
      <c r="G22" s="10">
        <f t="shared" si="0"/>
        <v>214140</v>
      </c>
      <c r="H22">
        <f t="shared" si="1"/>
        <v>31.17</v>
      </c>
      <c r="I22" s="14">
        <f t="shared" si="2"/>
        <v>0.16500000000000001</v>
      </c>
    </row>
    <row r="23" spans="1:9" x14ac:dyDescent="0.25">
      <c r="A23" t="s">
        <v>19</v>
      </c>
      <c r="B23" t="s">
        <v>26</v>
      </c>
      <c r="C23" s="10"/>
      <c r="D23" s="10"/>
      <c r="E23" s="10">
        <v>1819</v>
      </c>
      <c r="F23" s="10"/>
      <c r="G23" s="10">
        <f t="shared" si="0"/>
        <v>1819</v>
      </c>
      <c r="H23">
        <f t="shared" si="1"/>
        <v>0.26</v>
      </c>
      <c r="I23" s="14">
        <f t="shared" si="2"/>
        <v>1E-3</v>
      </c>
    </row>
    <row r="24" spans="1:9" x14ac:dyDescent="0.25">
      <c r="A24" t="s">
        <v>19</v>
      </c>
      <c r="B24" t="s">
        <v>27</v>
      </c>
      <c r="C24" s="10"/>
      <c r="D24" s="10"/>
      <c r="E24" s="10">
        <v>995</v>
      </c>
      <c r="F24" s="10"/>
      <c r="G24" s="10">
        <f t="shared" si="0"/>
        <v>995</v>
      </c>
      <c r="H24">
        <f t="shared" si="1"/>
        <v>0.14000000000000001</v>
      </c>
      <c r="I24" s="14">
        <f t="shared" si="2"/>
        <v>1E-3</v>
      </c>
    </row>
    <row r="25" spans="1:9" x14ac:dyDescent="0.25">
      <c r="A25" t="s">
        <v>19</v>
      </c>
      <c r="B25" t="s">
        <v>28</v>
      </c>
      <c r="C25" s="10"/>
      <c r="D25" s="10"/>
      <c r="E25" s="10">
        <v>119</v>
      </c>
      <c r="F25" s="10"/>
      <c r="G25" s="10">
        <f t="shared" si="0"/>
        <v>119</v>
      </c>
      <c r="H25">
        <f t="shared" si="1"/>
        <v>0.02</v>
      </c>
      <c r="I25" s="14">
        <f t="shared" si="2"/>
        <v>0</v>
      </c>
    </row>
    <row r="26" spans="1:9" x14ac:dyDescent="0.25">
      <c r="A26" t="s">
        <v>19</v>
      </c>
      <c r="B26" t="s">
        <v>29</v>
      </c>
      <c r="C26" s="10"/>
      <c r="D26" s="10"/>
      <c r="E26" s="10">
        <v>4920</v>
      </c>
      <c r="F26" s="10"/>
      <c r="G26" s="10">
        <f t="shared" si="0"/>
        <v>4920</v>
      </c>
      <c r="H26">
        <f t="shared" si="1"/>
        <v>0.72</v>
      </c>
      <c r="I26" s="14">
        <f t="shared" si="2"/>
        <v>4.0000000000000001E-3</v>
      </c>
    </row>
    <row r="27" spans="1:9" x14ac:dyDescent="0.25">
      <c r="A27" t="s">
        <v>19</v>
      </c>
      <c r="B27" t="s">
        <v>30</v>
      </c>
      <c r="C27" s="10"/>
      <c r="D27" s="10"/>
      <c r="E27" s="10">
        <v>1450</v>
      </c>
      <c r="F27" s="10"/>
      <c r="G27" s="10">
        <f t="shared" si="0"/>
        <v>1450</v>
      </c>
      <c r="H27">
        <f t="shared" si="1"/>
        <v>0.21</v>
      </c>
      <c r="I27" s="14">
        <f t="shared" si="2"/>
        <v>1E-3</v>
      </c>
    </row>
    <row r="28" spans="1:9" x14ac:dyDescent="0.25">
      <c r="A28" t="s">
        <v>19</v>
      </c>
      <c r="B28" t="s">
        <v>31</v>
      </c>
      <c r="C28" s="10"/>
      <c r="D28" s="10"/>
      <c r="E28" s="10">
        <v>330</v>
      </c>
      <c r="F28" s="10"/>
      <c r="G28" s="10">
        <f t="shared" si="0"/>
        <v>330</v>
      </c>
      <c r="H28">
        <f t="shared" si="1"/>
        <v>0.05</v>
      </c>
      <c r="I28" s="14">
        <f t="shared" si="2"/>
        <v>0</v>
      </c>
    </row>
    <row r="29" spans="1:9" x14ac:dyDescent="0.25">
      <c r="A29" t="s">
        <v>19</v>
      </c>
      <c r="B29" t="s">
        <v>32</v>
      </c>
      <c r="C29" s="10"/>
      <c r="D29" s="10"/>
      <c r="E29" s="10">
        <v>2430</v>
      </c>
      <c r="F29" s="10"/>
      <c r="G29" s="10">
        <f t="shared" si="0"/>
        <v>2430</v>
      </c>
      <c r="H29">
        <f t="shared" si="1"/>
        <v>0.35</v>
      </c>
      <c r="I29" s="14">
        <f t="shared" si="2"/>
        <v>2E-3</v>
      </c>
    </row>
    <row r="30" spans="1:9" x14ac:dyDescent="0.25">
      <c r="A30" t="s">
        <v>19</v>
      </c>
      <c r="B30" t="s">
        <v>42</v>
      </c>
      <c r="C30" s="10"/>
      <c r="D30" s="10">
        <v>325</v>
      </c>
      <c r="E30" s="10"/>
      <c r="F30" s="10"/>
      <c r="G30" s="10">
        <f t="shared" si="0"/>
        <v>325</v>
      </c>
      <c r="H30">
        <f t="shared" si="1"/>
        <v>0.05</v>
      </c>
      <c r="I30" s="14">
        <f t="shared" si="2"/>
        <v>0</v>
      </c>
    </row>
    <row r="31" spans="1:9" x14ac:dyDescent="0.25">
      <c r="A31" t="s">
        <v>19</v>
      </c>
      <c r="B31" t="s">
        <v>33</v>
      </c>
      <c r="C31" s="10"/>
      <c r="D31" s="10"/>
      <c r="E31" s="10">
        <v>634</v>
      </c>
      <c r="F31" s="10"/>
      <c r="G31" s="10">
        <f t="shared" si="0"/>
        <v>634</v>
      </c>
      <c r="H31">
        <f t="shared" si="1"/>
        <v>0.09</v>
      </c>
      <c r="I31" s="14">
        <f t="shared" si="2"/>
        <v>0</v>
      </c>
    </row>
    <row r="32" spans="1:9" x14ac:dyDescent="0.25">
      <c r="A32" t="s">
        <v>19</v>
      </c>
      <c r="B32" t="s">
        <v>34</v>
      </c>
      <c r="C32" s="10"/>
      <c r="D32" s="10"/>
      <c r="E32" s="10">
        <v>3482</v>
      </c>
      <c r="F32" s="10"/>
      <c r="G32" s="10">
        <f t="shared" si="0"/>
        <v>3482</v>
      </c>
      <c r="H32">
        <f t="shared" si="1"/>
        <v>0.51</v>
      </c>
      <c r="I32" s="14">
        <f t="shared" si="2"/>
        <v>3.0000000000000001E-3</v>
      </c>
    </row>
    <row r="33" spans="1:9" x14ac:dyDescent="0.25">
      <c r="A33" t="s">
        <v>19</v>
      </c>
      <c r="B33" t="s">
        <v>35</v>
      </c>
      <c r="C33" s="10"/>
      <c r="D33" s="10"/>
      <c r="E33" s="10">
        <v>5510</v>
      </c>
      <c r="F33" s="10"/>
      <c r="G33" s="10">
        <f t="shared" si="0"/>
        <v>5510</v>
      </c>
      <c r="H33">
        <f t="shared" si="1"/>
        <v>0.8</v>
      </c>
      <c r="I33" s="14">
        <f t="shared" si="2"/>
        <v>4.0000000000000001E-3</v>
      </c>
    </row>
    <row r="34" spans="1:9" x14ac:dyDescent="0.25">
      <c r="A34" t="s">
        <v>19</v>
      </c>
      <c r="B34" t="s">
        <v>40</v>
      </c>
      <c r="C34" s="10"/>
      <c r="D34" s="10"/>
      <c r="E34" s="10">
        <v>8412</v>
      </c>
      <c r="F34" s="10"/>
      <c r="G34" s="10">
        <f t="shared" si="0"/>
        <v>8412</v>
      </c>
      <c r="H34">
        <f t="shared" si="1"/>
        <v>1.22</v>
      </c>
      <c r="I34" s="14">
        <f t="shared" si="2"/>
        <v>6.0000000000000001E-3</v>
      </c>
    </row>
    <row r="35" spans="1:9" x14ac:dyDescent="0.25">
      <c r="A35" t="s">
        <v>19</v>
      </c>
      <c r="B35" t="s">
        <v>36</v>
      </c>
      <c r="C35" s="10"/>
      <c r="D35" s="10"/>
      <c r="E35" s="10">
        <v>85140</v>
      </c>
      <c r="F35" s="10"/>
      <c r="G35" s="10">
        <f t="shared" si="0"/>
        <v>85140</v>
      </c>
      <c r="H35">
        <f t="shared" si="1"/>
        <v>12.39</v>
      </c>
      <c r="I35" s="14">
        <f t="shared" si="2"/>
        <v>6.6000000000000003E-2</v>
      </c>
    </row>
    <row r="36" spans="1:9" x14ac:dyDescent="0.25">
      <c r="A36" t="s">
        <v>19</v>
      </c>
      <c r="B36" t="s">
        <v>37</v>
      </c>
      <c r="C36" s="10"/>
      <c r="D36" s="10"/>
      <c r="E36" s="10">
        <v>4875</v>
      </c>
      <c r="F36" s="10"/>
      <c r="G36" s="10">
        <f t="shared" si="0"/>
        <v>4875</v>
      </c>
      <c r="H36">
        <f t="shared" si="1"/>
        <v>0.71</v>
      </c>
      <c r="I36" s="14">
        <f t="shared" si="2"/>
        <v>4.0000000000000001E-3</v>
      </c>
    </row>
    <row r="37" spans="1:9" x14ac:dyDescent="0.25">
      <c r="A37" t="s">
        <v>19</v>
      </c>
      <c r="B37" t="s">
        <v>38</v>
      </c>
      <c r="C37" s="10"/>
      <c r="D37" s="10"/>
      <c r="E37" s="10">
        <v>21530</v>
      </c>
      <c r="F37" s="10"/>
      <c r="G37" s="10">
        <f t="shared" si="0"/>
        <v>21530</v>
      </c>
      <c r="H37">
        <f t="shared" si="1"/>
        <v>3.13</v>
      </c>
      <c r="I37" s="14">
        <f t="shared" si="2"/>
        <v>1.7000000000000001E-2</v>
      </c>
    </row>
    <row r="38" spans="1:9" x14ac:dyDescent="0.25">
      <c r="A38" t="s">
        <v>19</v>
      </c>
      <c r="B38" t="s">
        <v>39</v>
      </c>
      <c r="C38" s="10"/>
      <c r="D38" s="10"/>
      <c r="E38" s="10">
        <v>146920</v>
      </c>
      <c r="F38" s="10"/>
      <c r="G38" s="10">
        <f t="shared" si="0"/>
        <v>146920</v>
      </c>
      <c r="H38">
        <f t="shared" si="1"/>
        <v>21.38</v>
      </c>
      <c r="I38" s="14">
        <f t="shared" si="2"/>
        <v>0.113</v>
      </c>
    </row>
    <row r="39" spans="1:9" x14ac:dyDescent="0.25">
      <c r="A39" t="s">
        <v>19</v>
      </c>
      <c r="B39" t="s">
        <v>67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43</v>
      </c>
      <c r="B40" t="s">
        <v>44</v>
      </c>
      <c r="C40" s="10">
        <v>220410</v>
      </c>
      <c r="D40" s="10"/>
      <c r="E40" s="10"/>
      <c r="F40" s="10"/>
      <c r="G40" s="10">
        <f t="shared" si="0"/>
        <v>220410</v>
      </c>
      <c r="H40">
        <f t="shared" si="1"/>
        <v>32.08</v>
      </c>
      <c r="I40" s="14">
        <f t="shared" si="2"/>
        <v>0.17</v>
      </c>
    </row>
    <row r="41" spans="1:9" x14ac:dyDescent="0.25">
      <c r="A41" t="s">
        <v>43</v>
      </c>
      <c r="B41" t="s">
        <v>46</v>
      </c>
      <c r="C41" s="10"/>
      <c r="D41" s="10"/>
      <c r="E41" s="10"/>
      <c r="F41" s="10">
        <v>25620</v>
      </c>
      <c r="G41" s="10">
        <f t="shared" si="0"/>
        <v>25620</v>
      </c>
      <c r="H41">
        <f t="shared" si="1"/>
        <v>3.73</v>
      </c>
      <c r="I41" s="14">
        <f t="shared" ref="I41" si="3">ROUND(G41/$G$43,3)</f>
        <v>0.02</v>
      </c>
    </row>
    <row r="42" spans="1:9" x14ac:dyDescent="0.25">
      <c r="A42" t="s">
        <v>43</v>
      </c>
      <c r="B42" t="s">
        <v>45</v>
      </c>
      <c r="C42" s="10"/>
      <c r="D42" s="10"/>
      <c r="E42" s="10">
        <v>69580</v>
      </c>
      <c r="F42" s="10"/>
      <c r="G42" s="10">
        <f t="shared" si="0"/>
        <v>69580</v>
      </c>
      <c r="H42">
        <f t="shared" si="1"/>
        <v>10.130000000000001</v>
      </c>
      <c r="I42" s="14">
        <f>ROUND(G42/$G$43,3)</f>
        <v>5.3999999999999999E-2</v>
      </c>
    </row>
    <row r="43" spans="1:9" x14ac:dyDescent="0.25">
      <c r="A43" s="3" t="s">
        <v>253</v>
      </c>
      <c r="B43" s="3"/>
      <c r="C43" s="8">
        <f t="shared" ref="C43:H43" si="4">SUM(C8:C42)</f>
        <v>802060</v>
      </c>
      <c r="D43" s="8">
        <f t="shared" si="4"/>
        <v>325</v>
      </c>
      <c r="E43" s="8">
        <f t="shared" si="4"/>
        <v>465284</v>
      </c>
      <c r="F43" s="8">
        <f t="shared" si="4"/>
        <v>32100</v>
      </c>
      <c r="G43" s="8">
        <f t="shared" si="4"/>
        <v>1299769</v>
      </c>
      <c r="H43" s="3">
        <f t="shared" si="4"/>
        <v>189.15999999999994</v>
      </c>
    </row>
    <row r="44" spans="1:9" x14ac:dyDescent="0.25">
      <c r="A44" s="3" t="s">
        <v>14</v>
      </c>
      <c r="B44" s="3"/>
      <c r="C44" s="13">
        <f>ROUND(C43/G43,2)</f>
        <v>0.62</v>
      </c>
      <c r="D44" s="13">
        <f>ROUND(D43/G43,2)</f>
        <v>0</v>
      </c>
      <c r="E44" s="13">
        <f>ROUND(E43/G43,2)</f>
        <v>0.36</v>
      </c>
      <c r="F44" s="13">
        <f>ROUND(F43/G43,2)</f>
        <v>0.02</v>
      </c>
      <c r="G44" s="3"/>
      <c r="H44" s="3"/>
    </row>
    <row r="45" spans="1:9" x14ac:dyDescent="0.25">
      <c r="A45" s="3" t="s">
        <v>47</v>
      </c>
      <c r="B45" s="3"/>
      <c r="C45" s="3"/>
      <c r="D45" s="3"/>
      <c r="E45" s="3"/>
      <c r="F45" s="3"/>
      <c r="G45" s="3"/>
      <c r="H45" s="3"/>
    </row>
    <row r="46" spans="1:9" x14ac:dyDescent="0.25">
      <c r="A46" s="3" t="s">
        <v>48</v>
      </c>
      <c r="B46" s="3"/>
      <c r="C46" s="8">
        <v>581650</v>
      </c>
      <c r="D46" s="8">
        <v>325</v>
      </c>
      <c r="E46" s="8">
        <v>395704</v>
      </c>
      <c r="F46" s="8">
        <v>6380</v>
      </c>
      <c r="G46" s="8">
        <f>SUM(C46:F46)</f>
        <v>984059</v>
      </c>
      <c r="H46" s="3">
        <f>ROUND(G46/6871,2)</f>
        <v>143.22</v>
      </c>
    </row>
    <row r="47" spans="1:9" x14ac:dyDescent="0.25">
      <c r="A47" s="3" t="s">
        <v>49</v>
      </c>
      <c r="B47" s="3"/>
      <c r="C47" s="8">
        <v>220410</v>
      </c>
      <c r="D47" s="8">
        <v>0</v>
      </c>
      <c r="E47" s="8">
        <v>69580</v>
      </c>
      <c r="F47" s="8">
        <v>25620</v>
      </c>
      <c r="G47" s="8">
        <f>SUM(C47:F47)</f>
        <v>315610</v>
      </c>
      <c r="H47" s="3">
        <f>ROUND(G47/6871,2)</f>
        <v>45.93</v>
      </c>
    </row>
    <row r="48" spans="1:9" x14ac:dyDescent="0.25">
      <c r="A48" s="3" t="s">
        <v>50</v>
      </c>
      <c r="B48" s="3"/>
      <c r="C48" s="8">
        <v>0</v>
      </c>
      <c r="D48" s="8">
        <v>0</v>
      </c>
      <c r="E48" s="8">
        <v>0</v>
      </c>
      <c r="F48" s="8">
        <v>100</v>
      </c>
      <c r="G48" s="8">
        <f>SUM(C48:F48)</f>
        <v>100</v>
      </c>
      <c r="H48" s="3">
        <f>ROUND(G48/6871,2)</f>
        <v>0.01</v>
      </c>
    </row>
    <row r="50" spans="1:7" x14ac:dyDescent="0.25">
      <c r="A50" s="3"/>
      <c r="B50" s="3"/>
      <c r="C50" s="3" t="s">
        <v>2</v>
      </c>
      <c r="D50" s="3">
        <v>2022</v>
      </c>
      <c r="E50" s="3" t="s">
        <v>51</v>
      </c>
    </row>
    <row r="51" spans="1:7" x14ac:dyDescent="0.25">
      <c r="A51" s="3" t="s">
        <v>52</v>
      </c>
      <c r="B51" s="3"/>
      <c r="C51" s="13">
        <v>0.82069999999999999</v>
      </c>
      <c r="D51" s="13">
        <v>0.81230000000000002</v>
      </c>
      <c r="E51" s="13">
        <v>0.77659999999999996</v>
      </c>
    </row>
    <row r="52" spans="1:7" x14ac:dyDescent="0.25">
      <c r="A52" s="3" t="s">
        <v>53</v>
      </c>
      <c r="B52" s="3"/>
      <c r="C52" s="13">
        <v>0.81010000000000004</v>
      </c>
      <c r="D52" s="13">
        <v>0.80149999999999999</v>
      </c>
      <c r="E52" s="13">
        <v>0.75900000000000001</v>
      </c>
    </row>
    <row r="54" spans="1:7" x14ac:dyDescent="0.25">
      <c r="A54" s="3" t="s">
        <v>256</v>
      </c>
      <c r="B54" s="3"/>
      <c r="C54" s="3" t="s">
        <v>2</v>
      </c>
      <c r="D54" s="3" t="s">
        <v>154</v>
      </c>
      <c r="E54" s="3" t="s">
        <v>55</v>
      </c>
      <c r="F54" s="3" t="s">
        <v>254</v>
      </c>
      <c r="G54" s="3"/>
    </row>
    <row r="55" spans="1:7" x14ac:dyDescent="0.25">
      <c r="A55" s="3" t="s">
        <v>56</v>
      </c>
      <c r="B55" s="3"/>
      <c r="C55" s="3"/>
      <c r="D55" s="3">
        <v>57.07</v>
      </c>
      <c r="E55" s="3">
        <v>81.5</v>
      </c>
      <c r="F55" s="3">
        <v>50.61</v>
      </c>
      <c r="G55" s="3"/>
    </row>
    <row r="56" spans="1:7" x14ac:dyDescent="0.25">
      <c r="A56" s="3" t="s">
        <v>57</v>
      </c>
      <c r="B56" s="3"/>
      <c r="C56" s="3"/>
      <c r="D56" s="3">
        <v>56.65</v>
      </c>
      <c r="E56" s="3">
        <v>58.24</v>
      </c>
      <c r="F56" s="3">
        <v>57.37</v>
      </c>
      <c r="G56" s="3"/>
    </row>
    <row r="57" spans="1:7" x14ac:dyDescent="0.25">
      <c r="A57" s="3" t="s">
        <v>58</v>
      </c>
      <c r="B57" s="3"/>
      <c r="C57" s="3"/>
      <c r="D57" s="3">
        <v>260.25</v>
      </c>
      <c r="E57" s="3">
        <v>261.52999999999997</v>
      </c>
      <c r="F57" s="3">
        <v>249.57</v>
      </c>
      <c r="G57" s="3"/>
    </row>
    <row r="58" spans="1:7" x14ac:dyDescent="0.25">
      <c r="A58" s="3" t="s">
        <v>59</v>
      </c>
      <c r="B58" s="3"/>
      <c r="C58" s="3"/>
      <c r="D58" s="3">
        <v>81.86</v>
      </c>
      <c r="E58" s="3">
        <v>103.11</v>
      </c>
      <c r="F58" s="3">
        <v>71.400000000000006</v>
      </c>
      <c r="G5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I54"/>
  <sheetViews>
    <sheetView topLeftCell="A30" workbookViewId="0">
      <selection activeCell="G51" sqref="G51:G54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30.140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155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1614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87</v>
      </c>
      <c r="F9" s="10"/>
      <c r="G9" s="10">
        <f t="shared" ref="G9:G38" si="0">SUM(C9:F9)</f>
        <v>87</v>
      </c>
      <c r="H9">
        <f t="shared" ref="H9:H38" si="1">ROUND(G9/1614,2)</f>
        <v>0.05</v>
      </c>
      <c r="I9" s="14">
        <f t="shared" ref="I9:I38" si="2">ROUND(G9/$G$39,3)</f>
        <v>0</v>
      </c>
    </row>
    <row r="10" spans="1:9" x14ac:dyDescent="0.25">
      <c r="A10" t="s">
        <v>19</v>
      </c>
      <c r="B10" t="s">
        <v>20</v>
      </c>
      <c r="C10" s="10">
        <v>3830</v>
      </c>
      <c r="D10" s="10">
        <v>21520</v>
      </c>
      <c r="E10" s="10"/>
      <c r="F10" s="10"/>
      <c r="G10" s="10">
        <f t="shared" si="0"/>
        <v>25350</v>
      </c>
      <c r="H10">
        <f t="shared" si="1"/>
        <v>15.71</v>
      </c>
      <c r="I10" s="14">
        <f t="shared" si="2"/>
        <v>6.3E-2</v>
      </c>
    </row>
    <row r="11" spans="1:9" x14ac:dyDescent="0.25">
      <c r="A11" t="s">
        <v>19</v>
      </c>
      <c r="B11" t="s">
        <v>21</v>
      </c>
      <c r="C11" s="10">
        <v>815</v>
      </c>
      <c r="D11" s="10">
        <v>30100</v>
      </c>
      <c r="E11" s="10"/>
      <c r="F11" s="10"/>
      <c r="G11" s="10">
        <f t="shared" si="0"/>
        <v>30915</v>
      </c>
      <c r="H11">
        <f t="shared" si="1"/>
        <v>19.149999999999999</v>
      </c>
      <c r="I11" s="14">
        <f t="shared" si="2"/>
        <v>7.6999999999999999E-2</v>
      </c>
    </row>
    <row r="12" spans="1:9" x14ac:dyDescent="0.25">
      <c r="A12" t="s">
        <v>19</v>
      </c>
      <c r="B12" t="s">
        <v>41</v>
      </c>
      <c r="C12" s="10"/>
      <c r="D12" s="10"/>
      <c r="E12" s="10">
        <v>44</v>
      </c>
      <c r="F12" s="10"/>
      <c r="G12" s="10">
        <f t="shared" si="0"/>
        <v>44</v>
      </c>
      <c r="H12">
        <f t="shared" si="1"/>
        <v>0.03</v>
      </c>
      <c r="I12" s="14">
        <f t="shared" si="2"/>
        <v>0</v>
      </c>
    </row>
    <row r="13" spans="1:9" x14ac:dyDescent="0.25">
      <c r="A13" t="s">
        <v>19</v>
      </c>
      <c r="B13" t="s">
        <v>22</v>
      </c>
      <c r="C13" s="10"/>
      <c r="D13" s="10"/>
      <c r="E13" s="10">
        <v>1600</v>
      </c>
      <c r="F13" s="10"/>
      <c r="G13" s="10">
        <f t="shared" si="0"/>
        <v>1600</v>
      </c>
      <c r="H13">
        <f t="shared" si="1"/>
        <v>0.99</v>
      </c>
      <c r="I13" s="14">
        <f t="shared" si="2"/>
        <v>4.0000000000000001E-3</v>
      </c>
    </row>
    <row r="14" spans="1:9" x14ac:dyDescent="0.25">
      <c r="A14" t="s">
        <v>19</v>
      </c>
      <c r="B14" t="s">
        <v>23</v>
      </c>
      <c r="C14" s="10"/>
      <c r="D14" s="10"/>
      <c r="E14" s="10">
        <v>33860</v>
      </c>
      <c r="F14" s="10"/>
      <c r="G14" s="10">
        <f t="shared" si="0"/>
        <v>33860</v>
      </c>
      <c r="H14">
        <f t="shared" si="1"/>
        <v>20.98</v>
      </c>
      <c r="I14" s="14">
        <f t="shared" si="2"/>
        <v>8.4000000000000005E-2</v>
      </c>
    </row>
    <row r="15" spans="1:9" x14ac:dyDescent="0.25">
      <c r="A15" t="s">
        <v>19</v>
      </c>
      <c r="B15" t="s">
        <v>24</v>
      </c>
      <c r="C15" s="10">
        <v>5115</v>
      </c>
      <c r="D15" s="10">
        <v>26630</v>
      </c>
      <c r="E15" s="10">
        <v>3720</v>
      </c>
      <c r="F15" s="10"/>
      <c r="G15" s="10">
        <f t="shared" si="0"/>
        <v>35465</v>
      </c>
      <c r="H15">
        <f t="shared" si="1"/>
        <v>21.97</v>
      </c>
      <c r="I15" s="14">
        <f t="shared" si="2"/>
        <v>8.7999999999999995E-2</v>
      </c>
    </row>
    <row r="16" spans="1:9" x14ac:dyDescent="0.25">
      <c r="A16" t="s">
        <v>19</v>
      </c>
      <c r="B16" t="s">
        <v>66</v>
      </c>
      <c r="C16" s="10"/>
      <c r="D16" s="10"/>
      <c r="E16" s="10">
        <v>1665</v>
      </c>
      <c r="F16" s="10"/>
      <c r="G16" s="10">
        <f t="shared" si="0"/>
        <v>1665</v>
      </c>
      <c r="H16">
        <f t="shared" si="1"/>
        <v>1.03</v>
      </c>
      <c r="I16" s="14">
        <f t="shared" si="2"/>
        <v>4.0000000000000001E-3</v>
      </c>
    </row>
    <row r="17" spans="1:9" x14ac:dyDescent="0.25">
      <c r="A17" t="s">
        <v>19</v>
      </c>
      <c r="B17" t="s">
        <v>25</v>
      </c>
      <c r="C17" s="10"/>
      <c r="D17" s="10">
        <v>40680</v>
      </c>
      <c r="E17" s="10"/>
      <c r="F17" s="10"/>
      <c r="G17" s="10">
        <f t="shared" si="0"/>
        <v>40680</v>
      </c>
      <c r="H17">
        <f t="shared" si="1"/>
        <v>25.2</v>
      </c>
      <c r="I17" s="14">
        <f t="shared" si="2"/>
        <v>0.10100000000000001</v>
      </c>
    </row>
    <row r="18" spans="1:9" x14ac:dyDescent="0.25">
      <c r="A18" t="s">
        <v>19</v>
      </c>
      <c r="B18" t="s">
        <v>29</v>
      </c>
      <c r="C18" s="10"/>
      <c r="D18" s="10"/>
      <c r="E18" s="10">
        <v>600</v>
      </c>
      <c r="F18" s="10"/>
      <c r="G18" s="10">
        <f t="shared" si="0"/>
        <v>600</v>
      </c>
      <c r="H18">
        <f t="shared" si="1"/>
        <v>0.37</v>
      </c>
      <c r="I18" s="14">
        <f t="shared" si="2"/>
        <v>1E-3</v>
      </c>
    </row>
    <row r="19" spans="1:9" x14ac:dyDescent="0.25">
      <c r="A19" t="s">
        <v>19</v>
      </c>
      <c r="B19" t="s">
        <v>31</v>
      </c>
      <c r="C19" s="10"/>
      <c r="D19" s="10"/>
      <c r="E19" s="10">
        <v>420</v>
      </c>
      <c r="F19" s="10"/>
      <c r="G19" s="10">
        <f t="shared" si="0"/>
        <v>420</v>
      </c>
      <c r="H19">
        <f t="shared" si="1"/>
        <v>0.26</v>
      </c>
      <c r="I19" s="14">
        <f t="shared" si="2"/>
        <v>1E-3</v>
      </c>
    </row>
    <row r="20" spans="1:9" x14ac:dyDescent="0.25">
      <c r="A20" t="s">
        <v>19</v>
      </c>
      <c r="B20" t="s">
        <v>32</v>
      </c>
      <c r="C20" s="10"/>
      <c r="D20" s="10"/>
      <c r="E20" s="10">
        <v>720</v>
      </c>
      <c r="F20" s="10"/>
      <c r="G20" s="10">
        <f t="shared" si="0"/>
        <v>720</v>
      </c>
      <c r="H20">
        <f t="shared" si="1"/>
        <v>0.45</v>
      </c>
      <c r="I20" s="14">
        <f t="shared" si="2"/>
        <v>2E-3</v>
      </c>
    </row>
    <row r="21" spans="1:9" x14ac:dyDescent="0.25">
      <c r="A21" t="s">
        <v>19</v>
      </c>
      <c r="B21" t="s">
        <v>42</v>
      </c>
      <c r="C21" s="10"/>
      <c r="D21" s="10">
        <v>76</v>
      </c>
      <c r="E21" s="10"/>
      <c r="F21" s="10"/>
      <c r="G21" s="10">
        <f t="shared" si="0"/>
        <v>76</v>
      </c>
      <c r="H21">
        <f t="shared" si="1"/>
        <v>0.05</v>
      </c>
      <c r="I21" s="14">
        <f t="shared" si="2"/>
        <v>0</v>
      </c>
    </row>
    <row r="22" spans="1:9" x14ac:dyDescent="0.25">
      <c r="A22" t="s">
        <v>19</v>
      </c>
      <c r="B22" t="s">
        <v>67</v>
      </c>
      <c r="C22" s="10"/>
      <c r="D22" s="10"/>
      <c r="E22" s="10">
        <v>810</v>
      </c>
      <c r="F22" s="10"/>
      <c r="G22" s="10">
        <f t="shared" si="0"/>
        <v>810</v>
      </c>
      <c r="H22">
        <f t="shared" si="1"/>
        <v>0.5</v>
      </c>
      <c r="I22" s="14">
        <f t="shared" si="2"/>
        <v>2E-3</v>
      </c>
    </row>
    <row r="23" spans="1:9" x14ac:dyDescent="0.25">
      <c r="A23" t="s">
        <v>19</v>
      </c>
      <c r="B23" t="s">
        <v>33</v>
      </c>
      <c r="C23" s="10"/>
      <c r="D23" s="10">
        <v>159</v>
      </c>
      <c r="E23" s="10"/>
      <c r="F23" s="10"/>
      <c r="G23" s="10">
        <f t="shared" si="0"/>
        <v>159</v>
      </c>
      <c r="H23">
        <f t="shared" si="1"/>
        <v>0.1</v>
      </c>
      <c r="I23" s="14">
        <f t="shared" si="2"/>
        <v>0</v>
      </c>
    </row>
    <row r="24" spans="1:9" x14ac:dyDescent="0.25">
      <c r="A24" t="s">
        <v>19</v>
      </c>
      <c r="B24" t="s">
        <v>34</v>
      </c>
      <c r="C24" s="10"/>
      <c r="D24" s="10"/>
      <c r="E24" s="10">
        <v>1855</v>
      </c>
      <c r="F24" s="10"/>
      <c r="G24" s="10">
        <f t="shared" si="0"/>
        <v>1855</v>
      </c>
      <c r="H24">
        <f t="shared" si="1"/>
        <v>1.1499999999999999</v>
      </c>
      <c r="I24" s="14">
        <f t="shared" si="2"/>
        <v>5.0000000000000001E-3</v>
      </c>
    </row>
    <row r="25" spans="1:9" x14ac:dyDescent="0.25">
      <c r="A25" t="s">
        <v>19</v>
      </c>
      <c r="B25" t="s">
        <v>40</v>
      </c>
      <c r="C25" s="10"/>
      <c r="D25" s="10"/>
      <c r="E25" s="10">
        <v>1261</v>
      </c>
      <c r="F25" s="10"/>
      <c r="G25" s="10">
        <f t="shared" si="0"/>
        <v>1261</v>
      </c>
      <c r="H25">
        <f t="shared" si="1"/>
        <v>0.78</v>
      </c>
      <c r="I25" s="14">
        <f t="shared" si="2"/>
        <v>3.0000000000000001E-3</v>
      </c>
    </row>
    <row r="26" spans="1:9" x14ac:dyDescent="0.25">
      <c r="A26" t="s">
        <v>19</v>
      </c>
      <c r="B26" t="s">
        <v>35</v>
      </c>
      <c r="C26" s="10"/>
      <c r="D26" s="10"/>
      <c r="E26" s="10">
        <v>1600</v>
      </c>
      <c r="F26" s="10"/>
      <c r="G26" s="10">
        <f t="shared" si="0"/>
        <v>1600</v>
      </c>
      <c r="H26">
        <f t="shared" si="1"/>
        <v>0.99</v>
      </c>
      <c r="I26" s="14">
        <f t="shared" si="2"/>
        <v>4.0000000000000001E-3</v>
      </c>
    </row>
    <row r="27" spans="1:9" x14ac:dyDescent="0.25">
      <c r="A27" t="s">
        <v>19</v>
      </c>
      <c r="B27" t="s">
        <v>36</v>
      </c>
      <c r="C27" s="10"/>
      <c r="D27" s="10"/>
      <c r="E27" s="10">
        <v>21050</v>
      </c>
      <c r="F27" s="10"/>
      <c r="G27" s="10">
        <f t="shared" si="0"/>
        <v>21050</v>
      </c>
      <c r="H27">
        <f t="shared" si="1"/>
        <v>13.04</v>
      </c>
      <c r="I27" s="14">
        <f t="shared" si="2"/>
        <v>5.1999999999999998E-2</v>
      </c>
    </row>
    <row r="28" spans="1:9" x14ac:dyDescent="0.25">
      <c r="A28" t="s">
        <v>19</v>
      </c>
      <c r="B28" t="s">
        <v>37</v>
      </c>
      <c r="C28" s="10"/>
      <c r="D28" s="10"/>
      <c r="E28" s="10">
        <v>4020</v>
      </c>
      <c r="F28" s="10"/>
      <c r="G28" s="10">
        <f t="shared" si="0"/>
        <v>4020</v>
      </c>
      <c r="H28">
        <f t="shared" si="1"/>
        <v>2.4900000000000002</v>
      </c>
      <c r="I28" s="14">
        <f t="shared" si="2"/>
        <v>0.01</v>
      </c>
    </row>
    <row r="29" spans="1:9" x14ac:dyDescent="0.25">
      <c r="A29" t="s">
        <v>19</v>
      </c>
      <c r="B29" t="s">
        <v>38</v>
      </c>
      <c r="C29" s="10"/>
      <c r="D29" s="10"/>
      <c r="E29" s="10">
        <v>7980</v>
      </c>
      <c r="F29" s="10"/>
      <c r="G29" s="10">
        <f t="shared" si="0"/>
        <v>7980</v>
      </c>
      <c r="H29">
        <f t="shared" si="1"/>
        <v>4.9400000000000004</v>
      </c>
      <c r="I29" s="14">
        <f t="shared" si="2"/>
        <v>0.02</v>
      </c>
    </row>
    <row r="30" spans="1:9" x14ac:dyDescent="0.25">
      <c r="A30" t="s">
        <v>19</v>
      </c>
      <c r="B30" t="s">
        <v>39</v>
      </c>
      <c r="C30" s="10"/>
      <c r="D30" s="10"/>
      <c r="E30" s="10">
        <v>29330</v>
      </c>
      <c r="F30" s="10"/>
      <c r="G30" s="10">
        <f t="shared" si="0"/>
        <v>29330</v>
      </c>
      <c r="H30">
        <f t="shared" si="1"/>
        <v>18.170000000000002</v>
      </c>
      <c r="I30" s="14">
        <f t="shared" si="2"/>
        <v>7.2999999999999995E-2</v>
      </c>
    </row>
    <row r="31" spans="1:9" x14ac:dyDescent="0.25">
      <c r="A31" t="s">
        <v>19</v>
      </c>
      <c r="B31" t="s">
        <v>71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30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19</v>
      </c>
      <c r="B33" t="s">
        <v>28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43</v>
      </c>
      <c r="B34" t="s">
        <v>44</v>
      </c>
      <c r="C34" s="10">
        <v>4460</v>
      </c>
      <c r="D34" s="10">
        <v>142820</v>
      </c>
      <c r="E34" s="10"/>
      <c r="F34" s="10"/>
      <c r="G34" s="10">
        <f t="shared" si="0"/>
        <v>147280</v>
      </c>
      <c r="H34">
        <f t="shared" si="1"/>
        <v>91.25</v>
      </c>
      <c r="I34" s="14">
        <f t="shared" si="2"/>
        <v>0.36499999999999999</v>
      </c>
    </row>
    <row r="35" spans="1:9" x14ac:dyDescent="0.25">
      <c r="A35" t="s">
        <v>43</v>
      </c>
      <c r="B35" t="s">
        <v>45</v>
      </c>
      <c r="C35" s="10"/>
      <c r="D35" s="10"/>
      <c r="E35" s="10">
        <v>16620</v>
      </c>
      <c r="F35" s="10"/>
      <c r="G35" s="10">
        <f t="shared" si="0"/>
        <v>16620</v>
      </c>
      <c r="H35">
        <f t="shared" si="1"/>
        <v>10.3</v>
      </c>
      <c r="I35" s="14">
        <f t="shared" si="2"/>
        <v>4.1000000000000002E-2</v>
      </c>
    </row>
    <row r="36" spans="1:9" x14ac:dyDescent="0.25">
      <c r="A36" t="s">
        <v>43</v>
      </c>
      <c r="B36" t="s">
        <v>46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15</v>
      </c>
      <c r="B37" t="s">
        <v>18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t="s">
        <v>15</v>
      </c>
      <c r="B38" t="s">
        <v>63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s="3" t="s">
        <v>253</v>
      </c>
      <c r="B39" s="3"/>
      <c r="C39" s="8">
        <f t="shared" ref="C39:H39" si="3">SUM(C8:C38)</f>
        <v>14220</v>
      </c>
      <c r="D39" s="8">
        <f t="shared" si="3"/>
        <v>261985</v>
      </c>
      <c r="E39" s="8">
        <f t="shared" si="3"/>
        <v>127242</v>
      </c>
      <c r="F39" s="8">
        <f t="shared" si="3"/>
        <v>0</v>
      </c>
      <c r="G39" s="8">
        <f t="shared" si="3"/>
        <v>403447</v>
      </c>
      <c r="H39" s="3">
        <f t="shared" si="3"/>
        <v>249.95000000000005</v>
      </c>
    </row>
    <row r="40" spans="1:9" x14ac:dyDescent="0.25">
      <c r="A40" s="3" t="s">
        <v>14</v>
      </c>
      <c r="B40" s="3"/>
      <c r="C40" s="13">
        <f>ROUND(C39/G39,2)</f>
        <v>0.04</v>
      </c>
      <c r="D40" s="13">
        <f>ROUND(D39/G39,2)</f>
        <v>0.65</v>
      </c>
      <c r="E40" s="13">
        <f>ROUND(E39/G39,2)</f>
        <v>0.32</v>
      </c>
      <c r="F40" s="13">
        <f>ROUND(F39/G39,2)</f>
        <v>0</v>
      </c>
      <c r="G40" s="3"/>
      <c r="H40" s="3"/>
    </row>
    <row r="41" spans="1:9" x14ac:dyDescent="0.25">
      <c r="A41" s="3" t="s">
        <v>47</v>
      </c>
      <c r="B41" s="3"/>
      <c r="C41" s="3"/>
      <c r="D41" s="3"/>
      <c r="E41" s="3"/>
      <c r="F41" s="3"/>
      <c r="G41" s="3"/>
      <c r="H41" s="3"/>
    </row>
    <row r="42" spans="1:9" x14ac:dyDescent="0.25">
      <c r="A42" s="3" t="s">
        <v>48</v>
      </c>
      <c r="B42" s="3"/>
      <c r="C42" s="8">
        <v>9760</v>
      </c>
      <c r="D42" s="8">
        <v>119165</v>
      </c>
      <c r="E42" s="8">
        <v>110622</v>
      </c>
      <c r="F42" s="8">
        <v>0</v>
      </c>
      <c r="G42" s="8">
        <f>SUM(C42:F42)</f>
        <v>239547</v>
      </c>
      <c r="H42" s="3">
        <f>ROUND(G42/1614,2)</f>
        <v>148.41999999999999</v>
      </c>
    </row>
    <row r="43" spans="1:9" x14ac:dyDescent="0.25">
      <c r="A43" s="3" t="s">
        <v>49</v>
      </c>
      <c r="B43" s="3"/>
      <c r="C43" s="8">
        <v>4460</v>
      </c>
      <c r="D43" s="8">
        <v>142820</v>
      </c>
      <c r="E43" s="8">
        <v>16620</v>
      </c>
      <c r="F43" s="8">
        <v>0</v>
      </c>
      <c r="G43" s="8">
        <f>SUM(C43:F43)</f>
        <v>163900</v>
      </c>
      <c r="H43" s="3">
        <f>ROUND(G43/1614,2)</f>
        <v>101.55</v>
      </c>
    </row>
    <row r="44" spans="1:9" x14ac:dyDescent="0.25">
      <c r="A44" s="3" t="s">
        <v>50</v>
      </c>
      <c r="B44" s="3"/>
      <c r="C44" s="8">
        <v>0</v>
      </c>
      <c r="D44" s="8">
        <v>0</v>
      </c>
      <c r="E44" s="8">
        <v>0</v>
      </c>
      <c r="F44" s="8">
        <v>0</v>
      </c>
      <c r="G44" s="8">
        <f>SUM(C44:F44)</f>
        <v>0</v>
      </c>
      <c r="H44" s="3">
        <f>ROUND(G44/1614,2)</f>
        <v>0</v>
      </c>
    </row>
    <row r="46" spans="1:9" x14ac:dyDescent="0.25">
      <c r="A46" s="3"/>
      <c r="B46" s="3"/>
      <c r="C46" s="3" t="s">
        <v>2</v>
      </c>
      <c r="D46" s="3">
        <v>2022</v>
      </c>
      <c r="E46" s="3" t="s">
        <v>51</v>
      </c>
    </row>
    <row r="47" spans="1:9" x14ac:dyDescent="0.25">
      <c r="A47" s="3" t="s">
        <v>52</v>
      </c>
      <c r="B47" s="3"/>
      <c r="C47" s="13">
        <v>0.5998</v>
      </c>
      <c r="D47" s="13">
        <v>0.61799999999999999</v>
      </c>
      <c r="E47" s="13">
        <v>0.77659999999999996</v>
      </c>
    </row>
    <row r="48" spans="1:9" x14ac:dyDescent="0.25">
      <c r="A48" s="3" t="s">
        <v>53</v>
      </c>
      <c r="B48" s="3"/>
      <c r="C48" s="13">
        <v>0.5998</v>
      </c>
      <c r="D48" s="13">
        <v>0.58850000000000002</v>
      </c>
      <c r="E48" s="13">
        <v>0.75900000000000001</v>
      </c>
    </row>
    <row r="50" spans="1:7" x14ac:dyDescent="0.25">
      <c r="A50" s="3" t="s">
        <v>256</v>
      </c>
      <c r="B50" s="3"/>
      <c r="C50" s="3" t="s">
        <v>2</v>
      </c>
      <c r="D50" s="3" t="s">
        <v>156</v>
      </c>
      <c r="E50" s="3" t="s">
        <v>55</v>
      </c>
      <c r="F50" s="3" t="s">
        <v>254</v>
      </c>
      <c r="G50" s="3"/>
    </row>
    <row r="51" spans="1:7" x14ac:dyDescent="0.25">
      <c r="A51" s="3" t="s">
        <v>56</v>
      </c>
      <c r="B51" s="3"/>
      <c r="C51" s="3"/>
      <c r="D51" s="3">
        <v>163.53</v>
      </c>
      <c r="E51" s="3">
        <v>81.5</v>
      </c>
      <c r="F51" s="3">
        <v>50.61</v>
      </c>
      <c r="G51" s="3"/>
    </row>
    <row r="52" spans="1:7" x14ac:dyDescent="0.25">
      <c r="A52" s="3" t="s">
        <v>57</v>
      </c>
      <c r="B52" s="3"/>
      <c r="C52" s="3"/>
      <c r="D52" s="3">
        <v>52.21</v>
      </c>
      <c r="E52" s="3">
        <v>58.24</v>
      </c>
      <c r="F52" s="3">
        <v>57.37</v>
      </c>
      <c r="G52" s="3"/>
    </row>
    <row r="53" spans="1:7" x14ac:dyDescent="0.25">
      <c r="A53" s="3" t="s">
        <v>58</v>
      </c>
      <c r="B53" s="3"/>
      <c r="C53" s="3"/>
      <c r="D53" s="3">
        <v>298.93</v>
      </c>
      <c r="E53" s="3">
        <v>261.52999999999997</v>
      </c>
      <c r="F53" s="3">
        <v>249.57</v>
      </c>
      <c r="G53" s="3"/>
    </row>
    <row r="54" spans="1:7" x14ac:dyDescent="0.25">
      <c r="A54" s="3" t="s">
        <v>59</v>
      </c>
      <c r="B54" s="3"/>
      <c r="C54" s="3"/>
      <c r="D54" s="3">
        <v>182.29</v>
      </c>
      <c r="E54" s="3">
        <v>103.11</v>
      </c>
      <c r="F54" s="3">
        <v>71.400000000000006</v>
      </c>
      <c r="G54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I48"/>
  <sheetViews>
    <sheetView topLeftCell="A18" workbookViewId="0">
      <selection activeCell="G45" sqref="G45:G48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4.5703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157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1620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18800</v>
      </c>
      <c r="D9" s="10"/>
      <c r="E9" s="10"/>
      <c r="F9" s="10"/>
      <c r="G9" s="10">
        <f t="shared" ref="G9:G32" si="0">SUM(C9:F9)</f>
        <v>18800</v>
      </c>
      <c r="H9">
        <f t="shared" ref="H9:H32" si="1">ROUND(G9/1620,2)</f>
        <v>11.6</v>
      </c>
      <c r="I9" s="14">
        <f t="shared" ref="I9:I32" si="2">ROUND(G9/$G$33,3)</f>
        <v>8.2000000000000003E-2</v>
      </c>
    </row>
    <row r="10" spans="1:9" x14ac:dyDescent="0.25">
      <c r="A10" t="s">
        <v>19</v>
      </c>
      <c r="B10" t="s">
        <v>21</v>
      </c>
      <c r="C10" s="10">
        <v>27720</v>
      </c>
      <c r="D10" s="10"/>
      <c r="E10" s="10"/>
      <c r="F10" s="10"/>
      <c r="G10" s="10">
        <f t="shared" si="0"/>
        <v>27720</v>
      </c>
      <c r="H10">
        <f t="shared" si="1"/>
        <v>17.11</v>
      </c>
      <c r="I10" s="14">
        <f t="shared" si="2"/>
        <v>0.121</v>
      </c>
    </row>
    <row r="11" spans="1:9" x14ac:dyDescent="0.25">
      <c r="A11" t="s">
        <v>19</v>
      </c>
      <c r="B11" t="s">
        <v>76</v>
      </c>
      <c r="C11" s="10"/>
      <c r="D11" s="10"/>
      <c r="E11" s="10"/>
      <c r="F11" s="10">
        <v>145</v>
      </c>
      <c r="G11" s="10">
        <f t="shared" si="0"/>
        <v>145</v>
      </c>
      <c r="H11">
        <f t="shared" si="1"/>
        <v>0.09</v>
      </c>
      <c r="I11" s="14">
        <f t="shared" si="2"/>
        <v>1E-3</v>
      </c>
    </row>
    <row r="12" spans="1:9" x14ac:dyDescent="0.25">
      <c r="A12" t="s">
        <v>19</v>
      </c>
      <c r="B12" t="s">
        <v>41</v>
      </c>
      <c r="C12" s="10"/>
      <c r="D12" s="10"/>
      <c r="E12" s="10"/>
      <c r="F12" s="10">
        <v>26</v>
      </c>
      <c r="G12" s="10">
        <f t="shared" si="0"/>
        <v>26</v>
      </c>
      <c r="H12">
        <f t="shared" si="1"/>
        <v>0.02</v>
      </c>
      <c r="I12" s="14">
        <f t="shared" si="2"/>
        <v>0</v>
      </c>
    </row>
    <row r="13" spans="1:9" x14ac:dyDescent="0.25">
      <c r="A13" t="s">
        <v>19</v>
      </c>
      <c r="B13" t="s">
        <v>24</v>
      </c>
      <c r="C13" s="10">
        <v>24490</v>
      </c>
      <c r="D13" s="10"/>
      <c r="E13" s="10"/>
      <c r="F13" s="10">
        <v>250</v>
      </c>
      <c r="G13" s="10">
        <f t="shared" si="0"/>
        <v>24740</v>
      </c>
      <c r="H13">
        <f t="shared" si="1"/>
        <v>15.27</v>
      </c>
      <c r="I13" s="14">
        <f t="shared" si="2"/>
        <v>0.108</v>
      </c>
    </row>
    <row r="14" spans="1:9" x14ac:dyDescent="0.25">
      <c r="A14" t="s">
        <v>19</v>
      </c>
      <c r="B14" t="s">
        <v>25</v>
      </c>
      <c r="C14" s="10">
        <v>68220</v>
      </c>
      <c r="D14" s="10"/>
      <c r="E14" s="10"/>
      <c r="F14" s="10">
        <v>500</v>
      </c>
      <c r="G14" s="10">
        <f t="shared" si="0"/>
        <v>68720</v>
      </c>
      <c r="H14">
        <f t="shared" si="1"/>
        <v>42.42</v>
      </c>
      <c r="I14" s="14">
        <f t="shared" si="2"/>
        <v>0.30099999999999999</v>
      </c>
    </row>
    <row r="15" spans="1:9" x14ac:dyDescent="0.25">
      <c r="A15" t="s">
        <v>19</v>
      </c>
      <c r="B15" t="s">
        <v>28</v>
      </c>
      <c r="C15" s="10"/>
      <c r="D15" s="10"/>
      <c r="E15" s="10"/>
      <c r="F15" s="10">
        <v>100</v>
      </c>
      <c r="G15" s="10">
        <f t="shared" si="0"/>
        <v>100</v>
      </c>
      <c r="H15">
        <f t="shared" si="1"/>
        <v>0.06</v>
      </c>
      <c r="I15" s="14">
        <f t="shared" si="2"/>
        <v>0</v>
      </c>
    </row>
    <row r="16" spans="1:9" x14ac:dyDescent="0.25">
      <c r="A16" t="s">
        <v>19</v>
      </c>
      <c r="B16" t="s">
        <v>29</v>
      </c>
      <c r="C16" s="10"/>
      <c r="D16" s="10"/>
      <c r="E16" s="10"/>
      <c r="F16" s="10">
        <v>440</v>
      </c>
      <c r="G16" s="10">
        <f t="shared" si="0"/>
        <v>440</v>
      </c>
      <c r="H16">
        <f t="shared" si="1"/>
        <v>0.27</v>
      </c>
      <c r="I16" s="14">
        <f t="shared" si="2"/>
        <v>2E-3</v>
      </c>
    </row>
    <row r="17" spans="1:9" x14ac:dyDescent="0.25">
      <c r="A17" t="s">
        <v>19</v>
      </c>
      <c r="B17" t="s">
        <v>30</v>
      </c>
      <c r="C17" s="10"/>
      <c r="D17" s="10"/>
      <c r="E17" s="10"/>
      <c r="F17" s="10">
        <v>350</v>
      </c>
      <c r="G17" s="10">
        <f t="shared" si="0"/>
        <v>350</v>
      </c>
      <c r="H17">
        <f t="shared" si="1"/>
        <v>0.22</v>
      </c>
      <c r="I17" s="14">
        <f t="shared" si="2"/>
        <v>2E-3</v>
      </c>
    </row>
    <row r="18" spans="1:9" x14ac:dyDescent="0.25">
      <c r="A18" t="s">
        <v>19</v>
      </c>
      <c r="B18" t="s">
        <v>31</v>
      </c>
      <c r="C18" s="10"/>
      <c r="D18" s="10"/>
      <c r="E18" s="10"/>
      <c r="F18" s="10">
        <v>190</v>
      </c>
      <c r="G18" s="10">
        <f t="shared" si="0"/>
        <v>190</v>
      </c>
      <c r="H18">
        <f t="shared" si="1"/>
        <v>0.12</v>
      </c>
      <c r="I18" s="14">
        <f t="shared" si="2"/>
        <v>1E-3</v>
      </c>
    </row>
    <row r="19" spans="1:9" x14ac:dyDescent="0.25">
      <c r="A19" t="s">
        <v>19</v>
      </c>
      <c r="B19" t="s">
        <v>32</v>
      </c>
      <c r="C19" s="10"/>
      <c r="D19" s="10"/>
      <c r="E19" s="10"/>
      <c r="F19" s="10">
        <v>520</v>
      </c>
      <c r="G19" s="10">
        <f t="shared" si="0"/>
        <v>520</v>
      </c>
      <c r="H19">
        <f t="shared" si="1"/>
        <v>0.32</v>
      </c>
      <c r="I19" s="14">
        <f t="shared" si="2"/>
        <v>2E-3</v>
      </c>
    </row>
    <row r="20" spans="1:9" x14ac:dyDescent="0.25">
      <c r="A20" t="s">
        <v>19</v>
      </c>
      <c r="B20" t="s">
        <v>42</v>
      </c>
      <c r="C20" s="10"/>
      <c r="D20" s="10">
        <v>83</v>
      </c>
      <c r="E20" s="10"/>
      <c r="F20" s="10"/>
      <c r="G20" s="10">
        <f t="shared" si="0"/>
        <v>83</v>
      </c>
      <c r="H20">
        <f t="shared" si="1"/>
        <v>0.05</v>
      </c>
      <c r="I20" s="14">
        <f t="shared" si="2"/>
        <v>0</v>
      </c>
    </row>
    <row r="21" spans="1:9" x14ac:dyDescent="0.25">
      <c r="A21" t="s">
        <v>19</v>
      </c>
      <c r="B21" t="s">
        <v>33</v>
      </c>
      <c r="C21" s="10"/>
      <c r="D21" s="10">
        <v>90</v>
      </c>
      <c r="E21" s="10"/>
      <c r="F21" s="10">
        <v>283</v>
      </c>
      <c r="G21" s="10">
        <f t="shared" si="0"/>
        <v>373</v>
      </c>
      <c r="H21">
        <f t="shared" si="1"/>
        <v>0.23</v>
      </c>
      <c r="I21" s="14">
        <f t="shared" si="2"/>
        <v>2E-3</v>
      </c>
    </row>
    <row r="22" spans="1:9" x14ac:dyDescent="0.25">
      <c r="A22" t="s">
        <v>19</v>
      </c>
      <c r="B22" t="s">
        <v>34</v>
      </c>
      <c r="C22" s="10"/>
      <c r="D22" s="10"/>
      <c r="E22" s="10"/>
      <c r="F22" s="10">
        <v>370</v>
      </c>
      <c r="G22" s="10">
        <f t="shared" si="0"/>
        <v>370</v>
      </c>
      <c r="H22">
        <f t="shared" si="1"/>
        <v>0.23</v>
      </c>
      <c r="I22" s="14">
        <f t="shared" si="2"/>
        <v>2E-3</v>
      </c>
    </row>
    <row r="23" spans="1:9" x14ac:dyDescent="0.25">
      <c r="A23" t="s">
        <v>19</v>
      </c>
      <c r="B23" t="s">
        <v>40</v>
      </c>
      <c r="C23" s="10"/>
      <c r="D23" s="10"/>
      <c r="E23" s="10"/>
      <c r="F23" s="10">
        <v>1400</v>
      </c>
      <c r="G23" s="10">
        <f t="shared" si="0"/>
        <v>1400</v>
      </c>
      <c r="H23">
        <f t="shared" si="1"/>
        <v>0.86</v>
      </c>
      <c r="I23" s="14">
        <f t="shared" si="2"/>
        <v>6.0000000000000001E-3</v>
      </c>
    </row>
    <row r="24" spans="1:9" x14ac:dyDescent="0.25">
      <c r="A24" t="s">
        <v>19</v>
      </c>
      <c r="B24" t="s">
        <v>35</v>
      </c>
      <c r="C24" s="10"/>
      <c r="D24" s="10"/>
      <c r="E24" s="10"/>
      <c r="F24" s="10">
        <v>790</v>
      </c>
      <c r="G24" s="10">
        <f t="shared" si="0"/>
        <v>790</v>
      </c>
      <c r="H24">
        <f t="shared" si="1"/>
        <v>0.49</v>
      </c>
      <c r="I24" s="14">
        <f t="shared" si="2"/>
        <v>3.0000000000000001E-3</v>
      </c>
    </row>
    <row r="25" spans="1:9" x14ac:dyDescent="0.25">
      <c r="A25" t="s">
        <v>19</v>
      </c>
      <c r="B25" t="s">
        <v>36</v>
      </c>
      <c r="C25" s="10"/>
      <c r="D25" s="10"/>
      <c r="E25" s="10"/>
      <c r="F25" s="10">
        <v>8720</v>
      </c>
      <c r="G25" s="10">
        <f t="shared" si="0"/>
        <v>8720</v>
      </c>
      <c r="H25">
        <f t="shared" si="1"/>
        <v>5.38</v>
      </c>
      <c r="I25" s="14">
        <f t="shared" si="2"/>
        <v>3.7999999999999999E-2</v>
      </c>
    </row>
    <row r="26" spans="1:9" x14ac:dyDescent="0.25">
      <c r="A26" t="s">
        <v>19</v>
      </c>
      <c r="B26" t="s">
        <v>38</v>
      </c>
      <c r="C26" s="10"/>
      <c r="D26" s="10"/>
      <c r="E26" s="10"/>
      <c r="F26" s="10">
        <v>1580</v>
      </c>
      <c r="G26" s="10">
        <f t="shared" si="0"/>
        <v>1580</v>
      </c>
      <c r="H26">
        <f t="shared" si="1"/>
        <v>0.98</v>
      </c>
      <c r="I26" s="14">
        <f t="shared" si="2"/>
        <v>7.0000000000000001E-3</v>
      </c>
    </row>
    <row r="27" spans="1:9" x14ac:dyDescent="0.25">
      <c r="A27" t="s">
        <v>19</v>
      </c>
      <c r="B27" t="s">
        <v>39</v>
      </c>
      <c r="C27" s="10"/>
      <c r="D27" s="10"/>
      <c r="E27" s="10"/>
      <c r="F27" s="10">
        <v>20530</v>
      </c>
      <c r="G27" s="10">
        <f t="shared" si="0"/>
        <v>20530</v>
      </c>
      <c r="H27">
        <f t="shared" si="1"/>
        <v>12.67</v>
      </c>
      <c r="I27" s="14">
        <f t="shared" si="2"/>
        <v>0.09</v>
      </c>
    </row>
    <row r="28" spans="1:9" x14ac:dyDescent="0.25">
      <c r="A28" t="s">
        <v>19</v>
      </c>
      <c r="B28" t="s">
        <v>67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43</v>
      </c>
      <c r="B29" t="s">
        <v>44</v>
      </c>
      <c r="C29" s="10">
        <v>27345</v>
      </c>
      <c r="D29" s="10"/>
      <c r="E29" s="10"/>
      <c r="F29" s="10"/>
      <c r="G29" s="10">
        <f t="shared" si="0"/>
        <v>27345</v>
      </c>
      <c r="H29">
        <f t="shared" si="1"/>
        <v>16.88</v>
      </c>
      <c r="I29" s="14">
        <f t="shared" si="2"/>
        <v>0.12</v>
      </c>
    </row>
    <row r="30" spans="1:9" x14ac:dyDescent="0.25">
      <c r="A30" t="s">
        <v>43</v>
      </c>
      <c r="B30" t="s">
        <v>46</v>
      </c>
      <c r="C30" s="10"/>
      <c r="D30" s="10"/>
      <c r="E30" s="10"/>
      <c r="F30" s="10">
        <v>20320</v>
      </c>
      <c r="G30" s="10">
        <f t="shared" si="0"/>
        <v>20320</v>
      </c>
      <c r="H30">
        <f t="shared" si="1"/>
        <v>12.54</v>
      </c>
      <c r="I30" s="14">
        <f t="shared" si="2"/>
        <v>8.8999999999999996E-2</v>
      </c>
    </row>
    <row r="31" spans="1:9" x14ac:dyDescent="0.25">
      <c r="A31" t="s">
        <v>43</v>
      </c>
      <c r="B31" t="s">
        <v>45</v>
      </c>
      <c r="C31" s="10"/>
      <c r="D31" s="10"/>
      <c r="E31" s="10"/>
      <c r="F31" s="10">
        <v>4980</v>
      </c>
      <c r="G31" s="10">
        <f t="shared" si="0"/>
        <v>4980</v>
      </c>
      <c r="H31">
        <f t="shared" si="1"/>
        <v>3.07</v>
      </c>
      <c r="I31" s="14">
        <f t="shared" si="2"/>
        <v>2.1999999999999999E-2</v>
      </c>
    </row>
    <row r="32" spans="1:9" x14ac:dyDescent="0.25">
      <c r="A32" t="s">
        <v>15</v>
      </c>
      <c r="B32" t="s">
        <v>18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8" x14ac:dyDescent="0.25">
      <c r="A33" s="3" t="s">
        <v>253</v>
      </c>
      <c r="B33" s="3"/>
      <c r="C33" s="8">
        <f t="shared" ref="C33:H33" si="3">SUM(C8:C32)</f>
        <v>166575</v>
      </c>
      <c r="D33" s="8">
        <f t="shared" si="3"/>
        <v>173</v>
      </c>
      <c r="E33" s="8">
        <f t="shared" si="3"/>
        <v>0</v>
      </c>
      <c r="F33" s="8">
        <f t="shared" si="3"/>
        <v>61494</v>
      </c>
      <c r="G33" s="8">
        <f t="shared" si="3"/>
        <v>228242</v>
      </c>
      <c r="H33" s="3">
        <f t="shared" si="3"/>
        <v>140.88</v>
      </c>
    </row>
    <row r="34" spans="1:8" x14ac:dyDescent="0.25">
      <c r="A34" s="3" t="s">
        <v>14</v>
      </c>
      <c r="B34" s="3"/>
      <c r="C34" s="13">
        <f>ROUND(C33/G33,2)</f>
        <v>0.73</v>
      </c>
      <c r="D34" s="13">
        <f>ROUND(D33/G33,2)</f>
        <v>0</v>
      </c>
      <c r="E34" s="13">
        <f>ROUND(E33/G33,2)</f>
        <v>0</v>
      </c>
      <c r="F34" s="13">
        <f>ROUND(F33/G33,2)</f>
        <v>0.27</v>
      </c>
      <c r="G34" s="3"/>
      <c r="H34" s="3"/>
    </row>
    <row r="35" spans="1:8" x14ac:dyDescent="0.25">
      <c r="A35" s="3" t="s">
        <v>47</v>
      </c>
      <c r="B35" s="3"/>
      <c r="C35" s="3"/>
      <c r="D35" s="3"/>
      <c r="E35" s="3"/>
      <c r="F35" s="3"/>
      <c r="G35" s="3"/>
      <c r="H35" s="3"/>
    </row>
    <row r="36" spans="1:8" x14ac:dyDescent="0.25">
      <c r="A36" s="3" t="s">
        <v>48</v>
      </c>
      <c r="B36" s="3"/>
      <c r="C36" s="8">
        <v>139230</v>
      </c>
      <c r="D36" s="8">
        <v>173</v>
      </c>
      <c r="E36" s="8">
        <v>0</v>
      </c>
      <c r="F36" s="8">
        <v>36194</v>
      </c>
      <c r="G36" s="8">
        <f>SUM(C36:F36)</f>
        <v>175597</v>
      </c>
      <c r="H36" s="3">
        <f>ROUND(G36/1620,2)</f>
        <v>108.39</v>
      </c>
    </row>
    <row r="37" spans="1:8" x14ac:dyDescent="0.25">
      <c r="A37" s="3" t="s">
        <v>49</v>
      </c>
      <c r="B37" s="3"/>
      <c r="C37" s="8">
        <v>27345</v>
      </c>
      <c r="D37" s="8">
        <v>0</v>
      </c>
      <c r="E37" s="8">
        <v>0</v>
      </c>
      <c r="F37" s="8">
        <v>25300</v>
      </c>
      <c r="G37" s="8">
        <f>SUM(C37:F37)</f>
        <v>52645</v>
      </c>
      <c r="H37" s="3">
        <f>ROUND(G37/1620,2)</f>
        <v>32.5</v>
      </c>
    </row>
    <row r="38" spans="1:8" x14ac:dyDescent="0.25">
      <c r="A38" s="3" t="s">
        <v>50</v>
      </c>
      <c r="B38" s="3"/>
      <c r="C38" s="8">
        <v>0</v>
      </c>
      <c r="D38" s="8">
        <v>0</v>
      </c>
      <c r="E38" s="8">
        <v>0</v>
      </c>
      <c r="F38" s="8">
        <v>0</v>
      </c>
      <c r="G38" s="8">
        <f>SUM(C38:F38)</f>
        <v>0</v>
      </c>
      <c r="H38" s="3">
        <f>ROUND(G38/1620,2)</f>
        <v>0</v>
      </c>
    </row>
    <row r="40" spans="1:8" x14ac:dyDescent="0.25">
      <c r="A40" s="3"/>
      <c r="B40" s="3"/>
      <c r="C40" s="3" t="s">
        <v>2</v>
      </c>
      <c r="D40" s="3">
        <v>2022</v>
      </c>
      <c r="E40" s="3" t="s">
        <v>51</v>
      </c>
    </row>
    <row r="41" spans="1:8" x14ac:dyDescent="0.25">
      <c r="A41" s="3" t="s">
        <v>52</v>
      </c>
      <c r="B41" s="3"/>
      <c r="C41" s="13">
        <v>0.88019999999999998</v>
      </c>
      <c r="D41" s="13">
        <v>0.87519999999999998</v>
      </c>
      <c r="E41" s="13">
        <v>0.77659999999999996</v>
      </c>
    </row>
    <row r="42" spans="1:8" x14ac:dyDescent="0.25">
      <c r="A42" s="3" t="s">
        <v>53</v>
      </c>
      <c r="B42" s="3"/>
      <c r="C42" s="13">
        <v>0.86960000000000004</v>
      </c>
      <c r="D42" s="13">
        <v>0.86309999999999998</v>
      </c>
      <c r="E42" s="13">
        <v>0.75900000000000001</v>
      </c>
    </row>
    <row r="44" spans="1:8" x14ac:dyDescent="0.25">
      <c r="A44" s="3" t="s">
        <v>256</v>
      </c>
      <c r="B44" s="3"/>
      <c r="C44" s="3" t="s">
        <v>2</v>
      </c>
      <c r="D44" s="3" t="s">
        <v>158</v>
      </c>
      <c r="E44" s="3" t="s">
        <v>55</v>
      </c>
      <c r="F44" s="3" t="s">
        <v>254</v>
      </c>
      <c r="G44" s="3"/>
    </row>
    <row r="45" spans="1:8" x14ac:dyDescent="0.25">
      <c r="A45" s="3" t="s">
        <v>56</v>
      </c>
      <c r="B45" s="3"/>
      <c r="C45" s="3"/>
      <c r="D45" s="3">
        <v>46.55</v>
      </c>
      <c r="E45" s="3">
        <v>81.5</v>
      </c>
      <c r="F45" s="3">
        <v>50.61</v>
      </c>
      <c r="G45" s="3"/>
    </row>
    <row r="46" spans="1:8" x14ac:dyDescent="0.25">
      <c r="A46" s="3" t="s">
        <v>57</v>
      </c>
      <c r="B46" s="3"/>
      <c r="C46" s="3"/>
      <c r="D46" s="3">
        <v>76.22</v>
      </c>
      <c r="E46" s="3">
        <v>58.24</v>
      </c>
      <c r="F46" s="3">
        <v>57.37</v>
      </c>
      <c r="G46" s="3"/>
    </row>
    <row r="47" spans="1:8" x14ac:dyDescent="0.25">
      <c r="A47" s="3" t="s">
        <v>58</v>
      </c>
      <c r="B47" s="3"/>
      <c r="C47" s="3"/>
      <c r="D47" s="3">
        <v>222.44</v>
      </c>
      <c r="E47" s="3">
        <v>261.52999999999997</v>
      </c>
      <c r="F47" s="3">
        <v>249.57</v>
      </c>
      <c r="G47" s="3"/>
    </row>
    <row r="48" spans="1:8" x14ac:dyDescent="0.25">
      <c r="A48" s="3" t="s">
        <v>59</v>
      </c>
      <c r="B48" s="3"/>
      <c r="C48" s="3"/>
      <c r="D48" s="3">
        <v>63.4</v>
      </c>
      <c r="E48" s="3">
        <v>103.11</v>
      </c>
      <c r="F48" s="3">
        <v>71.400000000000006</v>
      </c>
      <c r="G4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I50"/>
  <sheetViews>
    <sheetView topLeftCell="A27" workbookViewId="0">
      <selection activeCell="G47" sqref="G47:G50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5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159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478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5690</v>
      </c>
      <c r="D9" s="10"/>
      <c r="E9" s="10"/>
      <c r="F9" s="10"/>
      <c r="G9" s="10">
        <f t="shared" ref="G9:G34" si="0">SUM(C9:F9)</f>
        <v>5690</v>
      </c>
      <c r="H9">
        <f t="shared" ref="H9:H34" si="1">ROUND(G9/478,2)</f>
        <v>11.9</v>
      </c>
      <c r="I9" s="14">
        <f t="shared" ref="I9:I34" si="2">ROUND(G9/$G$35,3)</f>
        <v>7.3999999999999996E-2</v>
      </c>
    </row>
    <row r="10" spans="1:9" x14ac:dyDescent="0.25">
      <c r="A10" t="s">
        <v>19</v>
      </c>
      <c r="B10" t="s">
        <v>21</v>
      </c>
      <c r="C10" s="10">
        <v>9810</v>
      </c>
      <c r="D10" s="10"/>
      <c r="E10" s="10"/>
      <c r="F10" s="10"/>
      <c r="G10" s="10">
        <f t="shared" si="0"/>
        <v>9810</v>
      </c>
      <c r="H10">
        <f t="shared" si="1"/>
        <v>20.52</v>
      </c>
      <c r="I10" s="14">
        <f t="shared" si="2"/>
        <v>0.127</v>
      </c>
    </row>
    <row r="11" spans="1:9" x14ac:dyDescent="0.25">
      <c r="A11" t="s">
        <v>19</v>
      </c>
      <c r="B11" t="s">
        <v>24</v>
      </c>
      <c r="C11" s="10">
        <v>7600</v>
      </c>
      <c r="D11" s="10"/>
      <c r="E11" s="10"/>
      <c r="F11" s="10"/>
      <c r="G11" s="10">
        <f t="shared" si="0"/>
        <v>7600</v>
      </c>
      <c r="H11">
        <f t="shared" si="1"/>
        <v>15.9</v>
      </c>
      <c r="I11" s="14">
        <f t="shared" si="2"/>
        <v>9.9000000000000005E-2</v>
      </c>
    </row>
    <row r="12" spans="1:9" x14ac:dyDescent="0.25">
      <c r="A12" t="s">
        <v>19</v>
      </c>
      <c r="B12" t="s">
        <v>25</v>
      </c>
      <c r="C12" s="10">
        <v>5850</v>
      </c>
      <c r="D12" s="10"/>
      <c r="E12" s="10"/>
      <c r="F12" s="10"/>
      <c r="G12" s="10">
        <f t="shared" si="0"/>
        <v>5850</v>
      </c>
      <c r="H12">
        <f t="shared" si="1"/>
        <v>12.24</v>
      </c>
      <c r="I12" s="14">
        <f t="shared" si="2"/>
        <v>7.5999999999999998E-2</v>
      </c>
    </row>
    <row r="13" spans="1:9" x14ac:dyDescent="0.25">
      <c r="A13" t="s">
        <v>19</v>
      </c>
      <c r="B13" t="s">
        <v>29</v>
      </c>
      <c r="C13" s="10"/>
      <c r="D13" s="10"/>
      <c r="E13" s="10">
        <v>680</v>
      </c>
      <c r="F13" s="10"/>
      <c r="G13" s="10">
        <f t="shared" si="0"/>
        <v>680</v>
      </c>
      <c r="H13">
        <f t="shared" si="1"/>
        <v>1.42</v>
      </c>
      <c r="I13" s="14">
        <f t="shared" si="2"/>
        <v>8.9999999999999993E-3</v>
      </c>
    </row>
    <row r="14" spans="1:9" x14ac:dyDescent="0.25">
      <c r="A14" t="s">
        <v>19</v>
      </c>
      <c r="B14" t="s">
        <v>32</v>
      </c>
      <c r="C14" s="10"/>
      <c r="D14" s="10"/>
      <c r="E14" s="10">
        <v>295</v>
      </c>
      <c r="F14" s="10"/>
      <c r="G14" s="10">
        <f t="shared" si="0"/>
        <v>295</v>
      </c>
      <c r="H14">
        <f t="shared" si="1"/>
        <v>0.62</v>
      </c>
      <c r="I14" s="14">
        <f t="shared" si="2"/>
        <v>4.0000000000000001E-3</v>
      </c>
    </row>
    <row r="15" spans="1:9" x14ac:dyDescent="0.25">
      <c r="A15" t="s">
        <v>19</v>
      </c>
      <c r="B15" t="s">
        <v>42</v>
      </c>
      <c r="C15" s="10"/>
      <c r="D15" s="10">
        <v>24</v>
      </c>
      <c r="E15" s="10"/>
      <c r="F15" s="10"/>
      <c r="G15" s="10">
        <f t="shared" si="0"/>
        <v>24</v>
      </c>
      <c r="H15">
        <f t="shared" si="1"/>
        <v>0.05</v>
      </c>
      <c r="I15" s="14">
        <f t="shared" si="2"/>
        <v>0</v>
      </c>
    </row>
    <row r="16" spans="1:9" x14ac:dyDescent="0.25">
      <c r="A16" t="s">
        <v>19</v>
      </c>
      <c r="B16" t="s">
        <v>34</v>
      </c>
      <c r="C16" s="10"/>
      <c r="D16" s="10"/>
      <c r="E16" s="10">
        <v>456</v>
      </c>
      <c r="F16" s="10"/>
      <c r="G16" s="10">
        <f t="shared" si="0"/>
        <v>456</v>
      </c>
      <c r="H16">
        <f t="shared" si="1"/>
        <v>0.95</v>
      </c>
      <c r="I16" s="14">
        <f t="shared" si="2"/>
        <v>6.0000000000000001E-3</v>
      </c>
    </row>
    <row r="17" spans="1:9" x14ac:dyDescent="0.25">
      <c r="A17" t="s">
        <v>19</v>
      </c>
      <c r="B17" t="s">
        <v>40</v>
      </c>
      <c r="C17" s="10"/>
      <c r="D17" s="10"/>
      <c r="E17" s="10">
        <v>1440</v>
      </c>
      <c r="F17" s="10"/>
      <c r="G17" s="10">
        <f t="shared" si="0"/>
        <v>1440</v>
      </c>
      <c r="H17">
        <f t="shared" si="1"/>
        <v>3.01</v>
      </c>
      <c r="I17" s="14">
        <f t="shared" si="2"/>
        <v>1.9E-2</v>
      </c>
    </row>
    <row r="18" spans="1:9" x14ac:dyDescent="0.25">
      <c r="A18" t="s">
        <v>19</v>
      </c>
      <c r="B18" t="s">
        <v>36</v>
      </c>
      <c r="C18" s="10"/>
      <c r="D18" s="10"/>
      <c r="E18" s="10">
        <v>9590</v>
      </c>
      <c r="F18" s="10"/>
      <c r="G18" s="10">
        <f t="shared" si="0"/>
        <v>9590</v>
      </c>
      <c r="H18">
        <f t="shared" si="1"/>
        <v>20.059999999999999</v>
      </c>
      <c r="I18" s="14">
        <f t="shared" si="2"/>
        <v>0.124</v>
      </c>
    </row>
    <row r="19" spans="1:9" x14ac:dyDescent="0.25">
      <c r="A19" t="s">
        <v>19</v>
      </c>
      <c r="B19" t="s">
        <v>37</v>
      </c>
      <c r="C19" s="10"/>
      <c r="D19" s="10"/>
      <c r="E19" s="10">
        <v>1580</v>
      </c>
      <c r="F19" s="10"/>
      <c r="G19" s="10">
        <f t="shared" si="0"/>
        <v>1580</v>
      </c>
      <c r="H19">
        <f t="shared" si="1"/>
        <v>3.31</v>
      </c>
      <c r="I19" s="14">
        <f t="shared" si="2"/>
        <v>0.02</v>
      </c>
    </row>
    <row r="20" spans="1:9" x14ac:dyDescent="0.25">
      <c r="A20" t="s">
        <v>19</v>
      </c>
      <c r="B20" t="s">
        <v>38</v>
      </c>
      <c r="C20" s="10"/>
      <c r="D20" s="10"/>
      <c r="E20" s="10">
        <v>3780</v>
      </c>
      <c r="F20" s="10"/>
      <c r="G20" s="10">
        <f t="shared" si="0"/>
        <v>3780</v>
      </c>
      <c r="H20">
        <f t="shared" si="1"/>
        <v>7.91</v>
      </c>
      <c r="I20" s="14">
        <f t="shared" si="2"/>
        <v>4.9000000000000002E-2</v>
      </c>
    </row>
    <row r="21" spans="1:9" x14ac:dyDescent="0.25">
      <c r="A21" t="s">
        <v>19</v>
      </c>
      <c r="B21" t="s">
        <v>41</v>
      </c>
      <c r="C21" s="10"/>
      <c r="D21" s="10"/>
      <c r="E21" s="10"/>
      <c r="F21" s="10"/>
      <c r="G21" s="10">
        <f t="shared" si="0"/>
        <v>0</v>
      </c>
      <c r="H21">
        <f t="shared" si="1"/>
        <v>0</v>
      </c>
      <c r="I21" s="14">
        <f t="shared" si="2"/>
        <v>0</v>
      </c>
    </row>
    <row r="22" spans="1:9" x14ac:dyDescent="0.25">
      <c r="A22" t="s">
        <v>19</v>
      </c>
      <c r="B22" t="s">
        <v>22</v>
      </c>
      <c r="C22" s="10"/>
      <c r="D22" s="10"/>
      <c r="E22" s="10"/>
      <c r="F22" s="10"/>
      <c r="G22" s="10">
        <f t="shared" si="0"/>
        <v>0</v>
      </c>
      <c r="H22">
        <f t="shared" si="1"/>
        <v>0</v>
      </c>
      <c r="I22" s="14">
        <f t="shared" si="2"/>
        <v>0</v>
      </c>
    </row>
    <row r="23" spans="1:9" x14ac:dyDescent="0.25">
      <c r="A23" t="s">
        <v>19</v>
      </c>
      <c r="B23" t="s">
        <v>23</v>
      </c>
      <c r="C23" s="10"/>
      <c r="D23" s="10"/>
      <c r="E23" s="10"/>
      <c r="F23" s="10"/>
      <c r="G23" s="10">
        <f t="shared" si="0"/>
        <v>0</v>
      </c>
      <c r="H23">
        <f t="shared" si="1"/>
        <v>0</v>
      </c>
      <c r="I23" s="14">
        <f t="shared" si="2"/>
        <v>0</v>
      </c>
    </row>
    <row r="24" spans="1:9" x14ac:dyDescent="0.25">
      <c r="A24" t="s">
        <v>19</v>
      </c>
      <c r="B24" t="s">
        <v>66</v>
      </c>
      <c r="C24" s="10"/>
      <c r="D24" s="10"/>
      <c r="E24" s="10"/>
      <c r="F24" s="10"/>
      <c r="G24" s="10">
        <f t="shared" si="0"/>
        <v>0</v>
      </c>
      <c r="H24">
        <f t="shared" si="1"/>
        <v>0</v>
      </c>
      <c r="I24" s="14">
        <f t="shared" si="2"/>
        <v>0</v>
      </c>
    </row>
    <row r="25" spans="1:9" x14ac:dyDescent="0.25">
      <c r="A25" t="s">
        <v>19</v>
      </c>
      <c r="B25" t="s">
        <v>67</v>
      </c>
      <c r="C25" s="10"/>
      <c r="D25" s="10"/>
      <c r="E25" s="10"/>
      <c r="F25" s="10"/>
      <c r="G25" s="10">
        <f t="shared" si="0"/>
        <v>0</v>
      </c>
      <c r="H25">
        <f t="shared" si="1"/>
        <v>0</v>
      </c>
      <c r="I25" s="14">
        <f t="shared" si="2"/>
        <v>0</v>
      </c>
    </row>
    <row r="26" spans="1:9" x14ac:dyDescent="0.25">
      <c r="A26" t="s">
        <v>19</v>
      </c>
      <c r="B26" t="s">
        <v>35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 s="14">
        <f t="shared" si="2"/>
        <v>0</v>
      </c>
    </row>
    <row r="27" spans="1:9" x14ac:dyDescent="0.25">
      <c r="A27" t="s">
        <v>19</v>
      </c>
      <c r="B27" t="s">
        <v>64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30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33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19</v>
      </c>
      <c r="B30" t="s">
        <v>31</v>
      </c>
      <c r="C30" s="10"/>
      <c r="D30" s="10"/>
      <c r="E30" s="10"/>
      <c r="F30" s="10"/>
      <c r="G30" s="10">
        <f t="shared" si="0"/>
        <v>0</v>
      </c>
      <c r="H30">
        <f t="shared" si="1"/>
        <v>0</v>
      </c>
      <c r="I30" s="14">
        <f t="shared" si="2"/>
        <v>0</v>
      </c>
    </row>
    <row r="31" spans="1:9" x14ac:dyDescent="0.25">
      <c r="A31" t="s">
        <v>19</v>
      </c>
      <c r="B31" t="s">
        <v>28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43</v>
      </c>
      <c r="B32" t="s">
        <v>44</v>
      </c>
      <c r="C32" s="10">
        <v>25340</v>
      </c>
      <c r="D32" s="10"/>
      <c r="E32" s="10"/>
      <c r="F32" s="10"/>
      <c r="G32" s="10">
        <f t="shared" si="0"/>
        <v>25340</v>
      </c>
      <c r="H32">
        <f t="shared" si="1"/>
        <v>53.01</v>
      </c>
      <c r="I32" s="14">
        <f t="shared" si="2"/>
        <v>0.32800000000000001</v>
      </c>
    </row>
    <row r="33" spans="1:9" x14ac:dyDescent="0.25">
      <c r="A33" t="s">
        <v>43</v>
      </c>
      <c r="B33" t="s">
        <v>45</v>
      </c>
      <c r="C33" s="10"/>
      <c r="D33" s="10"/>
      <c r="E33" s="10">
        <v>5020</v>
      </c>
      <c r="F33" s="10"/>
      <c r="G33" s="10">
        <f t="shared" si="0"/>
        <v>5020</v>
      </c>
      <c r="H33">
        <f t="shared" si="1"/>
        <v>10.5</v>
      </c>
      <c r="I33" s="14">
        <f t="shared" si="2"/>
        <v>6.5000000000000002E-2</v>
      </c>
    </row>
    <row r="34" spans="1:9" x14ac:dyDescent="0.25">
      <c r="A34" t="s">
        <v>15</v>
      </c>
      <c r="B34" t="s">
        <v>18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s="3" t="s">
        <v>12</v>
      </c>
      <c r="B35" s="3"/>
      <c r="C35" s="8">
        <f t="shared" ref="C35:H35" si="3">SUM(C8:C34)</f>
        <v>54290</v>
      </c>
      <c r="D35" s="8">
        <f t="shared" si="3"/>
        <v>24</v>
      </c>
      <c r="E35" s="8">
        <f t="shared" si="3"/>
        <v>22841</v>
      </c>
      <c r="F35" s="8">
        <f t="shared" si="3"/>
        <v>0</v>
      </c>
      <c r="G35" s="8">
        <f t="shared" si="3"/>
        <v>77155</v>
      </c>
      <c r="H35" s="3">
        <f t="shared" si="3"/>
        <v>161.4</v>
      </c>
    </row>
    <row r="36" spans="1:9" x14ac:dyDescent="0.25">
      <c r="A36" s="3" t="s">
        <v>14</v>
      </c>
      <c r="B36" s="3"/>
      <c r="C36" s="13">
        <f>ROUND(C35/G35,2)</f>
        <v>0.7</v>
      </c>
      <c r="D36" s="13">
        <f>ROUND(D35/G35,2)</f>
        <v>0</v>
      </c>
      <c r="E36" s="13">
        <f>ROUND(E35/G35,2)</f>
        <v>0.3</v>
      </c>
      <c r="F36" s="13">
        <f>ROUND(F35/G35,2)</f>
        <v>0</v>
      </c>
      <c r="G36" s="3"/>
      <c r="H36" s="3"/>
    </row>
    <row r="37" spans="1:9" x14ac:dyDescent="0.25">
      <c r="A37" s="3" t="s">
        <v>47</v>
      </c>
      <c r="B37" s="3"/>
      <c r="C37" s="3"/>
      <c r="D37" s="3"/>
      <c r="E37" s="3"/>
      <c r="F37" s="3"/>
      <c r="G37" s="3"/>
      <c r="H37" s="3"/>
    </row>
    <row r="38" spans="1:9" x14ac:dyDescent="0.25">
      <c r="A38" s="3" t="s">
        <v>48</v>
      </c>
      <c r="B38" s="3"/>
      <c r="C38" s="8">
        <v>28950</v>
      </c>
      <c r="D38" s="8">
        <v>24</v>
      </c>
      <c r="E38" s="8">
        <v>17821</v>
      </c>
      <c r="F38" s="8">
        <v>0</v>
      </c>
      <c r="G38" s="8">
        <f>SUM(C38:F38)</f>
        <v>46795</v>
      </c>
      <c r="H38" s="3">
        <f>ROUND(G38/478,2)</f>
        <v>97.9</v>
      </c>
    </row>
    <row r="39" spans="1:9" x14ac:dyDescent="0.25">
      <c r="A39" s="3" t="s">
        <v>49</v>
      </c>
      <c r="B39" s="3"/>
      <c r="C39" s="8">
        <v>25340</v>
      </c>
      <c r="D39" s="8">
        <v>0</v>
      </c>
      <c r="E39" s="8">
        <v>5020</v>
      </c>
      <c r="F39" s="8">
        <v>0</v>
      </c>
      <c r="G39" s="8">
        <f>SUM(C39:F39)</f>
        <v>30360</v>
      </c>
      <c r="H39" s="3">
        <f>ROUND(G39/478,2)</f>
        <v>63.51</v>
      </c>
    </row>
    <row r="40" spans="1:9" x14ac:dyDescent="0.25">
      <c r="A40" s="3" t="s">
        <v>50</v>
      </c>
      <c r="B40" s="3"/>
      <c r="C40" s="8">
        <v>0</v>
      </c>
      <c r="D40" s="8">
        <v>0</v>
      </c>
      <c r="E40" s="8">
        <v>0</v>
      </c>
      <c r="F40" s="8">
        <v>0</v>
      </c>
      <c r="G40" s="8">
        <f>SUM(C40:F40)</f>
        <v>0</v>
      </c>
      <c r="H40" s="3">
        <f>ROUND(G40/478,2)</f>
        <v>0</v>
      </c>
    </row>
    <row r="42" spans="1:9" x14ac:dyDescent="0.25">
      <c r="A42" s="3"/>
      <c r="B42" s="3"/>
      <c r="C42" s="3" t="s">
        <v>2</v>
      </c>
      <c r="D42" s="3">
        <v>2022</v>
      </c>
      <c r="E42" s="3" t="s">
        <v>51</v>
      </c>
    </row>
    <row r="43" spans="1:9" x14ac:dyDescent="0.25">
      <c r="A43" s="3" t="s">
        <v>52</v>
      </c>
      <c r="B43" s="3"/>
      <c r="C43" s="13">
        <v>0.67159999999999997</v>
      </c>
      <c r="D43" s="13">
        <v>0.66110000000000002</v>
      </c>
      <c r="E43" s="13">
        <v>0.77659999999999996</v>
      </c>
    </row>
    <row r="44" spans="1:9" x14ac:dyDescent="0.25">
      <c r="A44" s="3" t="s">
        <v>53</v>
      </c>
      <c r="B44" s="3"/>
      <c r="C44" s="13">
        <v>0.66449999999999998</v>
      </c>
      <c r="D44" s="13">
        <v>0.65180000000000005</v>
      </c>
      <c r="E44" s="13">
        <v>0.75900000000000001</v>
      </c>
    </row>
    <row r="46" spans="1:9" x14ac:dyDescent="0.25">
      <c r="A46" s="3" t="s">
        <v>256</v>
      </c>
      <c r="B46" s="3"/>
      <c r="C46" s="3" t="s">
        <v>2</v>
      </c>
      <c r="D46" s="3" t="s">
        <v>160</v>
      </c>
      <c r="E46" s="3" t="s">
        <v>55</v>
      </c>
      <c r="F46" s="3" t="s">
        <v>254</v>
      </c>
      <c r="G46" s="3"/>
    </row>
    <row r="47" spans="1:9" x14ac:dyDescent="0.25">
      <c r="A47" s="3" t="s">
        <v>56</v>
      </c>
      <c r="B47" s="3"/>
      <c r="C47" s="3"/>
      <c r="D47" s="3">
        <v>95.64</v>
      </c>
      <c r="E47" s="3">
        <v>81.5</v>
      </c>
      <c r="F47" s="3">
        <v>50.61</v>
      </c>
      <c r="G47" s="3"/>
    </row>
    <row r="48" spans="1:9" x14ac:dyDescent="0.25">
      <c r="A48" s="3" t="s">
        <v>57</v>
      </c>
      <c r="B48" s="3"/>
      <c r="C48" s="3"/>
      <c r="D48" s="3">
        <v>29.48</v>
      </c>
      <c r="E48" s="3">
        <v>58.24</v>
      </c>
      <c r="F48" s="3">
        <v>57.37</v>
      </c>
      <c r="G48" s="3"/>
    </row>
    <row r="49" spans="1:7" x14ac:dyDescent="0.25">
      <c r="A49" s="3" t="s">
        <v>58</v>
      </c>
      <c r="B49" s="3"/>
      <c r="C49" s="3"/>
      <c r="D49" s="3">
        <v>233.3</v>
      </c>
      <c r="E49" s="3">
        <v>261.52999999999997</v>
      </c>
      <c r="F49" s="3">
        <v>249.57</v>
      </c>
      <c r="G49" s="3"/>
    </row>
    <row r="50" spans="1:7" x14ac:dyDescent="0.25">
      <c r="A50" s="3" t="s">
        <v>59</v>
      </c>
      <c r="B50" s="3"/>
      <c r="C50" s="3"/>
      <c r="D50" s="3">
        <v>111.51</v>
      </c>
      <c r="E50" s="3">
        <v>103.11</v>
      </c>
      <c r="F50" s="3">
        <v>71.400000000000006</v>
      </c>
      <c r="G5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I58"/>
  <sheetViews>
    <sheetView topLeftCell="A30" workbookViewId="0">
      <selection activeCell="G55" sqref="G55:G58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7.42578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161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4809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150</v>
      </c>
      <c r="G9" s="10">
        <f t="shared" ref="G9:G42" si="0">SUM(C9:F9)</f>
        <v>150</v>
      </c>
      <c r="H9">
        <f t="shared" ref="H9:H42" si="1">ROUND(G9/4809,2)</f>
        <v>0.03</v>
      </c>
      <c r="I9" s="14">
        <f t="shared" ref="I9:I40" si="2">ROUND(G9/$G$43,3)</f>
        <v>0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>
        <f t="shared" si="1"/>
        <v>0</v>
      </c>
      <c r="I10" s="14">
        <f t="shared" si="2"/>
        <v>0</v>
      </c>
    </row>
    <row r="11" spans="1:9" x14ac:dyDescent="0.25">
      <c r="A11" t="s">
        <v>19</v>
      </c>
      <c r="B11" t="s">
        <v>64</v>
      </c>
      <c r="C11" s="10"/>
      <c r="D11" s="10"/>
      <c r="E11" s="10">
        <v>91</v>
      </c>
      <c r="F11" s="10"/>
      <c r="G11" s="10">
        <f t="shared" si="0"/>
        <v>91</v>
      </c>
      <c r="H11">
        <f t="shared" si="1"/>
        <v>0.02</v>
      </c>
      <c r="I11" s="14">
        <f t="shared" si="2"/>
        <v>0</v>
      </c>
    </row>
    <row r="12" spans="1:9" x14ac:dyDescent="0.25">
      <c r="A12" t="s">
        <v>19</v>
      </c>
      <c r="B12" t="s">
        <v>20</v>
      </c>
      <c r="C12" s="10">
        <v>70745</v>
      </c>
      <c r="D12" s="10"/>
      <c r="E12" s="10"/>
      <c r="F12" s="10">
        <v>1465</v>
      </c>
      <c r="G12" s="10">
        <f t="shared" si="0"/>
        <v>72210</v>
      </c>
      <c r="H12">
        <f t="shared" si="1"/>
        <v>15.02</v>
      </c>
      <c r="I12" s="14">
        <f t="shared" si="2"/>
        <v>7.2999999999999995E-2</v>
      </c>
    </row>
    <row r="13" spans="1:9" x14ac:dyDescent="0.25">
      <c r="A13" t="s">
        <v>19</v>
      </c>
      <c r="B13" t="s">
        <v>21</v>
      </c>
      <c r="C13" s="10">
        <v>118800</v>
      </c>
      <c r="D13" s="10"/>
      <c r="E13" s="10"/>
      <c r="F13" s="10"/>
      <c r="G13" s="10">
        <f t="shared" si="0"/>
        <v>118800</v>
      </c>
      <c r="H13">
        <f t="shared" si="1"/>
        <v>24.7</v>
      </c>
      <c r="I13" s="14">
        <f t="shared" si="2"/>
        <v>0.12</v>
      </c>
    </row>
    <row r="14" spans="1:9" x14ac:dyDescent="0.25">
      <c r="A14" t="s">
        <v>19</v>
      </c>
      <c r="B14" t="s">
        <v>76</v>
      </c>
      <c r="C14" s="10"/>
      <c r="D14" s="10"/>
      <c r="E14" s="10">
        <v>35</v>
      </c>
      <c r="F14" s="10"/>
      <c r="G14" s="10">
        <f t="shared" si="0"/>
        <v>35</v>
      </c>
      <c r="H14">
        <f t="shared" si="1"/>
        <v>0.01</v>
      </c>
      <c r="I14" s="14">
        <f t="shared" si="2"/>
        <v>0</v>
      </c>
    </row>
    <row r="15" spans="1:9" x14ac:dyDescent="0.25">
      <c r="A15" t="s">
        <v>19</v>
      </c>
      <c r="B15" t="s">
        <v>41</v>
      </c>
      <c r="C15" s="10"/>
      <c r="D15" s="10"/>
      <c r="E15" s="10">
        <v>60</v>
      </c>
      <c r="F15" s="10"/>
      <c r="G15" s="10">
        <f t="shared" si="0"/>
        <v>60</v>
      </c>
      <c r="H15">
        <f t="shared" si="1"/>
        <v>0.01</v>
      </c>
      <c r="I15" s="14">
        <f t="shared" si="2"/>
        <v>0</v>
      </c>
    </row>
    <row r="16" spans="1:9" x14ac:dyDescent="0.25">
      <c r="A16" t="s">
        <v>19</v>
      </c>
      <c r="B16" t="s">
        <v>22</v>
      </c>
      <c r="C16" s="10"/>
      <c r="D16" s="10"/>
      <c r="E16" s="10">
        <v>1000</v>
      </c>
      <c r="F16" s="10"/>
      <c r="G16" s="10">
        <f t="shared" si="0"/>
        <v>1000</v>
      </c>
      <c r="H16">
        <f t="shared" si="1"/>
        <v>0.21</v>
      </c>
      <c r="I16" s="14">
        <f t="shared" si="2"/>
        <v>1E-3</v>
      </c>
    </row>
    <row r="17" spans="1:9" x14ac:dyDescent="0.25">
      <c r="A17" t="s">
        <v>19</v>
      </c>
      <c r="B17" t="s">
        <v>23</v>
      </c>
      <c r="C17" s="10"/>
      <c r="D17" s="10"/>
      <c r="E17" s="10">
        <v>24460</v>
      </c>
      <c r="F17" s="10"/>
      <c r="G17" s="10">
        <f t="shared" si="0"/>
        <v>24460</v>
      </c>
      <c r="H17">
        <f t="shared" si="1"/>
        <v>5.09</v>
      </c>
      <c r="I17" s="14">
        <f t="shared" si="2"/>
        <v>2.5000000000000001E-2</v>
      </c>
    </row>
    <row r="18" spans="1:9" x14ac:dyDescent="0.25">
      <c r="A18" t="s">
        <v>19</v>
      </c>
      <c r="B18" t="s">
        <v>24</v>
      </c>
      <c r="C18" s="10">
        <v>101580</v>
      </c>
      <c r="D18" s="10"/>
      <c r="E18" s="10">
        <v>8620</v>
      </c>
      <c r="F18" s="10">
        <v>11360</v>
      </c>
      <c r="G18" s="10">
        <f t="shared" si="0"/>
        <v>121560</v>
      </c>
      <c r="H18">
        <f t="shared" si="1"/>
        <v>25.28</v>
      </c>
      <c r="I18" s="14">
        <f t="shared" si="2"/>
        <v>0.123</v>
      </c>
    </row>
    <row r="19" spans="1:9" x14ac:dyDescent="0.25">
      <c r="A19" t="s">
        <v>19</v>
      </c>
      <c r="B19" t="s">
        <v>66</v>
      </c>
      <c r="C19" s="10"/>
      <c r="D19" s="10"/>
      <c r="E19" s="10">
        <v>3340</v>
      </c>
      <c r="F19" s="10"/>
      <c r="G19" s="10">
        <f t="shared" si="0"/>
        <v>3340</v>
      </c>
      <c r="H19">
        <f t="shared" si="1"/>
        <v>0.69</v>
      </c>
      <c r="I19" s="14">
        <f t="shared" si="2"/>
        <v>3.0000000000000001E-3</v>
      </c>
    </row>
    <row r="20" spans="1:9" x14ac:dyDescent="0.25">
      <c r="A20" t="s">
        <v>19</v>
      </c>
      <c r="B20" t="s">
        <v>25</v>
      </c>
      <c r="C20" s="10">
        <v>155960</v>
      </c>
      <c r="D20" s="10"/>
      <c r="E20" s="10"/>
      <c r="F20" s="10">
        <v>80</v>
      </c>
      <c r="G20" s="10">
        <f t="shared" si="0"/>
        <v>156040</v>
      </c>
      <c r="H20">
        <f t="shared" si="1"/>
        <v>32.450000000000003</v>
      </c>
      <c r="I20" s="14">
        <f t="shared" si="2"/>
        <v>0.158</v>
      </c>
    </row>
    <row r="21" spans="1:9" x14ac:dyDescent="0.25">
      <c r="A21" t="s">
        <v>19</v>
      </c>
      <c r="B21" t="s">
        <v>26</v>
      </c>
      <c r="C21" s="10"/>
      <c r="D21" s="10"/>
      <c r="E21" s="10">
        <v>347</v>
      </c>
      <c r="F21" s="10"/>
      <c r="G21" s="10">
        <f t="shared" si="0"/>
        <v>347</v>
      </c>
      <c r="H21">
        <f t="shared" si="1"/>
        <v>7.0000000000000007E-2</v>
      </c>
      <c r="I21" s="14">
        <f t="shared" si="2"/>
        <v>0</v>
      </c>
    </row>
    <row r="22" spans="1:9" x14ac:dyDescent="0.25">
      <c r="A22" t="s">
        <v>19</v>
      </c>
      <c r="B22" t="s">
        <v>27</v>
      </c>
      <c r="C22" s="10"/>
      <c r="D22" s="10"/>
      <c r="E22" s="10">
        <v>329</v>
      </c>
      <c r="F22" s="10"/>
      <c r="G22" s="10">
        <f t="shared" si="0"/>
        <v>329</v>
      </c>
      <c r="H22">
        <f t="shared" si="1"/>
        <v>7.0000000000000007E-2</v>
      </c>
      <c r="I22" s="14">
        <f t="shared" si="2"/>
        <v>0</v>
      </c>
    </row>
    <row r="23" spans="1:9" x14ac:dyDescent="0.25">
      <c r="A23" t="s">
        <v>19</v>
      </c>
      <c r="B23" t="s">
        <v>28</v>
      </c>
      <c r="C23" s="10"/>
      <c r="D23" s="10"/>
      <c r="E23" s="10">
        <v>129</v>
      </c>
      <c r="F23" s="10"/>
      <c r="G23" s="10">
        <f t="shared" si="0"/>
        <v>129</v>
      </c>
      <c r="H23">
        <f t="shared" si="1"/>
        <v>0.03</v>
      </c>
      <c r="I23" s="14">
        <f t="shared" si="2"/>
        <v>0</v>
      </c>
    </row>
    <row r="24" spans="1:9" x14ac:dyDescent="0.25">
      <c r="A24" t="s">
        <v>19</v>
      </c>
      <c r="B24" t="s">
        <v>29</v>
      </c>
      <c r="C24" s="10"/>
      <c r="D24" s="10"/>
      <c r="E24" s="10">
        <v>6150</v>
      </c>
      <c r="F24" s="10"/>
      <c r="G24" s="10">
        <f t="shared" si="0"/>
        <v>6150</v>
      </c>
      <c r="H24">
        <f t="shared" si="1"/>
        <v>1.28</v>
      </c>
      <c r="I24" s="14">
        <f t="shared" si="2"/>
        <v>6.0000000000000001E-3</v>
      </c>
    </row>
    <row r="25" spans="1:9" x14ac:dyDescent="0.25">
      <c r="A25" t="s">
        <v>19</v>
      </c>
      <c r="B25" t="s">
        <v>30</v>
      </c>
      <c r="C25" s="10"/>
      <c r="D25" s="10"/>
      <c r="E25" s="10">
        <v>560</v>
      </c>
      <c r="F25" s="10"/>
      <c r="G25" s="10">
        <f t="shared" si="0"/>
        <v>560</v>
      </c>
      <c r="H25">
        <f t="shared" si="1"/>
        <v>0.12</v>
      </c>
      <c r="I25" s="14">
        <f t="shared" si="2"/>
        <v>1E-3</v>
      </c>
    </row>
    <row r="26" spans="1:9" x14ac:dyDescent="0.25">
      <c r="A26" t="s">
        <v>19</v>
      </c>
      <c r="B26" t="s">
        <v>32</v>
      </c>
      <c r="C26" s="10"/>
      <c r="D26" s="10"/>
      <c r="E26" s="10">
        <v>540</v>
      </c>
      <c r="F26" s="10"/>
      <c r="G26" s="10">
        <f t="shared" si="0"/>
        <v>540</v>
      </c>
      <c r="H26">
        <f t="shared" si="1"/>
        <v>0.11</v>
      </c>
      <c r="I26" s="14">
        <f t="shared" si="2"/>
        <v>1E-3</v>
      </c>
    </row>
    <row r="27" spans="1:9" x14ac:dyDescent="0.25">
      <c r="A27" t="s">
        <v>19</v>
      </c>
      <c r="B27" t="s">
        <v>42</v>
      </c>
      <c r="C27" s="10"/>
      <c r="D27" s="10">
        <v>230</v>
      </c>
      <c r="E27" s="10"/>
      <c r="F27" s="10"/>
      <c r="G27" s="10">
        <f t="shared" si="0"/>
        <v>230</v>
      </c>
      <c r="H27">
        <f t="shared" si="1"/>
        <v>0.05</v>
      </c>
      <c r="I27" s="14">
        <f t="shared" si="2"/>
        <v>0</v>
      </c>
    </row>
    <row r="28" spans="1:9" x14ac:dyDescent="0.25">
      <c r="A28" t="s">
        <v>19</v>
      </c>
      <c r="B28" t="s">
        <v>34</v>
      </c>
      <c r="C28" s="10"/>
      <c r="D28" s="10"/>
      <c r="E28" s="10">
        <v>2230</v>
      </c>
      <c r="F28" s="10"/>
      <c r="G28" s="10">
        <f t="shared" si="0"/>
        <v>2230</v>
      </c>
      <c r="H28">
        <f t="shared" si="1"/>
        <v>0.46</v>
      </c>
      <c r="I28" s="14">
        <f t="shared" si="2"/>
        <v>2E-3</v>
      </c>
    </row>
    <row r="29" spans="1:9" x14ac:dyDescent="0.25">
      <c r="A29" t="s">
        <v>19</v>
      </c>
      <c r="B29" t="s">
        <v>40</v>
      </c>
      <c r="C29" s="10"/>
      <c r="D29" s="10"/>
      <c r="E29" s="10">
        <v>6523</v>
      </c>
      <c r="F29" s="10"/>
      <c r="G29" s="10">
        <f t="shared" si="0"/>
        <v>6523</v>
      </c>
      <c r="H29">
        <f t="shared" si="1"/>
        <v>1.36</v>
      </c>
      <c r="I29" s="14">
        <f t="shared" si="2"/>
        <v>7.0000000000000001E-3</v>
      </c>
    </row>
    <row r="30" spans="1:9" x14ac:dyDescent="0.25">
      <c r="A30" t="s">
        <v>19</v>
      </c>
      <c r="B30" t="s">
        <v>35</v>
      </c>
      <c r="C30" s="10"/>
      <c r="D30" s="10"/>
      <c r="E30" s="10">
        <v>2640</v>
      </c>
      <c r="F30" s="10"/>
      <c r="G30" s="10">
        <f t="shared" si="0"/>
        <v>2640</v>
      </c>
      <c r="H30">
        <f t="shared" si="1"/>
        <v>0.55000000000000004</v>
      </c>
      <c r="I30" s="14">
        <f t="shared" si="2"/>
        <v>3.0000000000000001E-3</v>
      </c>
    </row>
    <row r="31" spans="1:9" x14ac:dyDescent="0.25">
      <c r="A31" t="s">
        <v>19</v>
      </c>
      <c r="B31" t="s">
        <v>36</v>
      </c>
      <c r="C31" s="10"/>
      <c r="D31" s="10"/>
      <c r="E31" s="10">
        <v>40550</v>
      </c>
      <c r="F31" s="10">
        <v>40</v>
      </c>
      <c r="G31" s="10">
        <f t="shared" si="0"/>
        <v>40590</v>
      </c>
      <c r="H31">
        <f t="shared" si="1"/>
        <v>8.44</v>
      </c>
      <c r="I31" s="14">
        <f t="shared" si="2"/>
        <v>4.1000000000000002E-2</v>
      </c>
    </row>
    <row r="32" spans="1:9" x14ac:dyDescent="0.25">
      <c r="A32" t="s">
        <v>19</v>
      </c>
      <c r="B32" t="s">
        <v>37</v>
      </c>
      <c r="C32" s="10"/>
      <c r="D32" s="10"/>
      <c r="E32" s="10">
        <v>4485</v>
      </c>
      <c r="F32" s="10"/>
      <c r="G32" s="10">
        <f t="shared" si="0"/>
        <v>4485</v>
      </c>
      <c r="H32">
        <f t="shared" si="1"/>
        <v>0.93</v>
      </c>
      <c r="I32" s="14">
        <f t="shared" si="2"/>
        <v>5.0000000000000001E-3</v>
      </c>
    </row>
    <row r="33" spans="1:9" x14ac:dyDescent="0.25">
      <c r="A33" t="s">
        <v>19</v>
      </c>
      <c r="B33" t="s">
        <v>38</v>
      </c>
      <c r="C33" s="10"/>
      <c r="D33" s="10"/>
      <c r="E33" s="10">
        <v>10310</v>
      </c>
      <c r="F33" s="10">
        <v>40</v>
      </c>
      <c r="G33" s="10">
        <f t="shared" si="0"/>
        <v>10350</v>
      </c>
      <c r="H33">
        <f t="shared" si="1"/>
        <v>2.15</v>
      </c>
      <c r="I33" s="14">
        <f t="shared" si="2"/>
        <v>0.01</v>
      </c>
    </row>
    <row r="34" spans="1:9" x14ac:dyDescent="0.25">
      <c r="A34" t="s">
        <v>19</v>
      </c>
      <c r="B34" t="s">
        <v>39</v>
      </c>
      <c r="C34" s="10"/>
      <c r="D34" s="10"/>
      <c r="E34" s="10">
        <v>128320</v>
      </c>
      <c r="F34" s="10">
        <v>2480</v>
      </c>
      <c r="G34" s="10">
        <f t="shared" si="0"/>
        <v>130800</v>
      </c>
      <c r="H34">
        <f t="shared" si="1"/>
        <v>27.2</v>
      </c>
      <c r="I34" s="14">
        <f t="shared" si="2"/>
        <v>0.13200000000000001</v>
      </c>
    </row>
    <row r="35" spans="1:9" x14ac:dyDescent="0.25">
      <c r="A35" t="s">
        <v>19</v>
      </c>
      <c r="B35" t="s">
        <v>31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19</v>
      </c>
      <c r="B36" t="s">
        <v>67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19</v>
      </c>
      <c r="B37" t="s">
        <v>33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t="s">
        <v>19</v>
      </c>
      <c r="B38" t="s">
        <v>162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t="s">
        <v>19</v>
      </c>
      <c r="B39" t="s">
        <v>122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43</v>
      </c>
      <c r="B40" t="s">
        <v>44</v>
      </c>
      <c r="C40" s="10">
        <v>221720</v>
      </c>
      <c r="D40" s="10"/>
      <c r="E40" s="10"/>
      <c r="F40" s="10">
        <v>8130</v>
      </c>
      <c r="G40" s="10">
        <f t="shared" si="0"/>
        <v>229850</v>
      </c>
      <c r="H40">
        <f t="shared" si="1"/>
        <v>47.8</v>
      </c>
      <c r="I40" s="14">
        <f t="shared" si="2"/>
        <v>0.23300000000000001</v>
      </c>
    </row>
    <row r="41" spans="1:9" x14ac:dyDescent="0.25">
      <c r="A41" t="s">
        <v>43</v>
      </c>
      <c r="B41" t="s">
        <v>46</v>
      </c>
      <c r="C41" s="10"/>
      <c r="D41" s="10"/>
      <c r="E41" s="10"/>
      <c r="F41" s="10">
        <v>29250</v>
      </c>
      <c r="G41" s="10">
        <f t="shared" si="0"/>
        <v>29250</v>
      </c>
      <c r="H41">
        <f t="shared" si="1"/>
        <v>6.08</v>
      </c>
      <c r="I41" s="14">
        <f t="shared" ref="I41" si="3">ROUND(G41/$G$43,3)</f>
        <v>0.03</v>
      </c>
    </row>
    <row r="42" spans="1:9" x14ac:dyDescent="0.25">
      <c r="A42" t="s">
        <v>43</v>
      </c>
      <c r="B42" t="s">
        <v>45</v>
      </c>
      <c r="C42" s="10"/>
      <c r="D42" s="10"/>
      <c r="E42" s="10">
        <v>25300</v>
      </c>
      <c r="F42" s="10"/>
      <c r="G42" s="10">
        <f t="shared" si="0"/>
        <v>25300</v>
      </c>
      <c r="H42">
        <f t="shared" si="1"/>
        <v>5.26</v>
      </c>
      <c r="I42" s="14">
        <f>ROUND(G42/$G$43,3)</f>
        <v>2.5999999999999999E-2</v>
      </c>
    </row>
    <row r="43" spans="1:9" x14ac:dyDescent="0.25">
      <c r="A43" s="3" t="s">
        <v>253</v>
      </c>
      <c r="B43" s="3"/>
      <c r="C43" s="8">
        <f t="shared" ref="C43:H43" si="4">SUM(C8:C42)</f>
        <v>668805</v>
      </c>
      <c r="D43" s="8">
        <f t="shared" si="4"/>
        <v>230</v>
      </c>
      <c r="E43" s="8">
        <f t="shared" si="4"/>
        <v>266019</v>
      </c>
      <c r="F43" s="8">
        <f t="shared" si="4"/>
        <v>52995</v>
      </c>
      <c r="G43" s="8">
        <f t="shared" si="4"/>
        <v>988049</v>
      </c>
      <c r="H43" s="3">
        <f t="shared" si="4"/>
        <v>205.47</v>
      </c>
    </row>
    <row r="44" spans="1:9" x14ac:dyDescent="0.25">
      <c r="A44" s="3" t="s">
        <v>14</v>
      </c>
      <c r="B44" s="3"/>
      <c r="C44" s="13">
        <f>ROUND(C43/G43,2)</f>
        <v>0.68</v>
      </c>
      <c r="D44" s="13">
        <f>ROUND(D43/G43,2)</f>
        <v>0</v>
      </c>
      <c r="E44" s="13">
        <f>ROUND(E43/G43,2)</f>
        <v>0.27</v>
      </c>
      <c r="F44" s="13">
        <f>ROUND(F43/G43,2)</f>
        <v>0.05</v>
      </c>
      <c r="G44" s="3"/>
      <c r="H44" s="3"/>
    </row>
    <row r="45" spans="1:9" x14ac:dyDescent="0.25">
      <c r="A45" s="3" t="s">
        <v>47</v>
      </c>
      <c r="B45" s="3"/>
      <c r="C45" s="3"/>
      <c r="D45" s="3"/>
      <c r="E45" s="3"/>
      <c r="F45" s="3"/>
      <c r="G45" s="3"/>
      <c r="H45" s="3"/>
    </row>
    <row r="46" spans="1:9" x14ac:dyDescent="0.25">
      <c r="A46" s="3" t="s">
        <v>48</v>
      </c>
      <c r="B46" s="3"/>
      <c r="C46" s="8">
        <v>447085</v>
      </c>
      <c r="D46" s="8">
        <v>230</v>
      </c>
      <c r="E46" s="8">
        <v>240719</v>
      </c>
      <c r="F46" s="8">
        <v>15465</v>
      </c>
      <c r="G46" s="8">
        <f>SUM(C46:F46)</f>
        <v>703499</v>
      </c>
      <c r="H46" s="3">
        <f>ROUND(G46/4809,2)</f>
        <v>146.29</v>
      </c>
    </row>
    <row r="47" spans="1:9" x14ac:dyDescent="0.25">
      <c r="A47" s="3" t="s">
        <v>49</v>
      </c>
      <c r="B47" s="3"/>
      <c r="C47" s="8">
        <v>221720</v>
      </c>
      <c r="D47" s="8">
        <v>0</v>
      </c>
      <c r="E47" s="8">
        <v>25300</v>
      </c>
      <c r="F47" s="8">
        <v>37380</v>
      </c>
      <c r="G47" s="8">
        <f>SUM(C47:F47)</f>
        <v>284400</v>
      </c>
      <c r="H47" s="3">
        <f>ROUND(G47/4809,2)</f>
        <v>59.14</v>
      </c>
    </row>
    <row r="48" spans="1:9" x14ac:dyDescent="0.25">
      <c r="A48" s="3" t="s">
        <v>50</v>
      </c>
      <c r="B48" s="3"/>
      <c r="C48" s="8">
        <v>0</v>
      </c>
      <c r="D48" s="8">
        <v>0</v>
      </c>
      <c r="E48" s="8">
        <v>0</v>
      </c>
      <c r="F48" s="8">
        <v>150</v>
      </c>
      <c r="G48" s="8">
        <f>SUM(C48:F48)</f>
        <v>150</v>
      </c>
      <c r="H48" s="3">
        <f>ROUND(G48/4809,2)</f>
        <v>0.03</v>
      </c>
    </row>
    <row r="50" spans="1:7" x14ac:dyDescent="0.25">
      <c r="A50" s="3"/>
      <c r="B50" s="3"/>
      <c r="C50" s="3" t="s">
        <v>2</v>
      </c>
      <c r="D50" s="3">
        <v>2022</v>
      </c>
      <c r="E50" s="3" t="s">
        <v>51</v>
      </c>
    </row>
    <row r="51" spans="1:7" x14ac:dyDescent="0.25">
      <c r="A51" s="3" t="s">
        <v>52</v>
      </c>
      <c r="B51" s="3"/>
      <c r="C51" s="13">
        <v>0.76119999999999999</v>
      </c>
      <c r="D51" s="13">
        <v>0.7671</v>
      </c>
      <c r="E51" s="13">
        <v>0.77659999999999996</v>
      </c>
    </row>
    <row r="52" spans="1:7" x14ac:dyDescent="0.25">
      <c r="A52" s="3" t="s">
        <v>53</v>
      </c>
      <c r="B52" s="3"/>
      <c r="C52" s="13">
        <v>0.75160000000000005</v>
      </c>
      <c r="D52" s="13">
        <v>0.75739999999999996</v>
      </c>
      <c r="E52" s="13">
        <v>0.75900000000000001</v>
      </c>
    </row>
    <row r="54" spans="1:7" x14ac:dyDescent="0.25">
      <c r="A54" s="3" t="s">
        <v>256</v>
      </c>
      <c r="B54" s="3"/>
      <c r="C54" s="3" t="s">
        <v>2</v>
      </c>
      <c r="D54" s="3" t="s">
        <v>163</v>
      </c>
      <c r="E54" s="3" t="s">
        <v>55</v>
      </c>
      <c r="F54" s="3" t="s">
        <v>254</v>
      </c>
      <c r="G54" s="3"/>
    </row>
    <row r="55" spans="1:7" x14ac:dyDescent="0.25">
      <c r="A55" s="3" t="s">
        <v>56</v>
      </c>
      <c r="B55" s="3"/>
      <c r="C55" s="3"/>
      <c r="D55" s="3">
        <v>82.4</v>
      </c>
      <c r="E55" s="3">
        <v>81.5</v>
      </c>
      <c r="F55" s="3">
        <v>50.61</v>
      </c>
      <c r="G55" s="3"/>
    </row>
    <row r="56" spans="1:7" x14ac:dyDescent="0.25">
      <c r="A56" s="3" t="s">
        <v>57</v>
      </c>
      <c r="B56" s="3"/>
      <c r="C56" s="3"/>
      <c r="D56" s="3">
        <v>65.650000000000006</v>
      </c>
      <c r="E56" s="3">
        <v>58.24</v>
      </c>
      <c r="F56" s="3">
        <v>57.37</v>
      </c>
      <c r="G56" s="3"/>
    </row>
    <row r="57" spans="1:7" x14ac:dyDescent="0.25">
      <c r="A57" s="3" t="s">
        <v>58</v>
      </c>
      <c r="B57" s="3"/>
      <c r="C57" s="3"/>
      <c r="D57" s="3">
        <v>283.33</v>
      </c>
      <c r="E57" s="3">
        <v>261.52999999999997</v>
      </c>
      <c r="F57" s="3">
        <v>249.57</v>
      </c>
      <c r="G57" s="3"/>
    </row>
    <row r="58" spans="1:7" x14ac:dyDescent="0.25">
      <c r="A58" s="3" t="s">
        <v>59</v>
      </c>
      <c r="B58" s="3"/>
      <c r="C58" s="3"/>
      <c r="D58" s="3">
        <v>108.66</v>
      </c>
      <c r="E58" s="3">
        <v>103.11</v>
      </c>
      <c r="F58" s="3">
        <v>71.400000000000006</v>
      </c>
      <c r="G5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I58"/>
  <sheetViews>
    <sheetView topLeftCell="A36" workbookViewId="0">
      <selection activeCell="G55" sqref="G55:G58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5703125" bestFit="1" customWidth="1"/>
    <col min="4" max="4" width="23.140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164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2415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37</v>
      </c>
      <c r="G9" s="10">
        <f t="shared" ref="G9:G42" si="0">SUM(C9:F9)</f>
        <v>37</v>
      </c>
      <c r="H9">
        <f t="shared" ref="H9:H42" si="1">ROUND(G9/2415,2)</f>
        <v>0.02</v>
      </c>
      <c r="I9" s="14">
        <f t="shared" ref="I9:I40" si="2">ROUND(G9/$G$43,3)</f>
        <v>0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>
        <f t="shared" si="1"/>
        <v>0</v>
      </c>
      <c r="I10" s="14">
        <f t="shared" si="2"/>
        <v>0</v>
      </c>
    </row>
    <row r="11" spans="1:9" x14ac:dyDescent="0.25">
      <c r="A11" t="s">
        <v>15</v>
      </c>
      <c r="B11" t="s">
        <v>123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19</v>
      </c>
      <c r="B12" t="s">
        <v>64</v>
      </c>
      <c r="C12" s="10"/>
      <c r="D12" s="10"/>
      <c r="E12" s="10">
        <v>74</v>
      </c>
      <c r="F12" s="10"/>
      <c r="G12" s="10">
        <f t="shared" si="0"/>
        <v>74</v>
      </c>
      <c r="H12">
        <f t="shared" si="1"/>
        <v>0.03</v>
      </c>
      <c r="I12" s="14">
        <f t="shared" si="2"/>
        <v>0</v>
      </c>
    </row>
    <row r="13" spans="1:9" x14ac:dyDescent="0.25">
      <c r="A13" t="s">
        <v>19</v>
      </c>
      <c r="B13" t="s">
        <v>20</v>
      </c>
      <c r="C13" s="10">
        <v>32340</v>
      </c>
      <c r="D13" s="10"/>
      <c r="E13" s="10"/>
      <c r="F13" s="10"/>
      <c r="G13" s="10">
        <f t="shared" si="0"/>
        <v>32340</v>
      </c>
      <c r="H13">
        <f t="shared" si="1"/>
        <v>13.39</v>
      </c>
      <c r="I13" s="14">
        <f t="shared" si="2"/>
        <v>8.3000000000000004E-2</v>
      </c>
    </row>
    <row r="14" spans="1:9" x14ac:dyDescent="0.25">
      <c r="A14" t="s">
        <v>19</v>
      </c>
      <c r="B14" t="s">
        <v>21</v>
      </c>
      <c r="C14" s="10">
        <v>54130</v>
      </c>
      <c r="D14" s="10"/>
      <c r="E14" s="10"/>
      <c r="F14" s="10"/>
      <c r="G14" s="10">
        <f t="shared" si="0"/>
        <v>54130</v>
      </c>
      <c r="H14">
        <f t="shared" si="1"/>
        <v>22.41</v>
      </c>
      <c r="I14" s="14">
        <f t="shared" si="2"/>
        <v>0.13900000000000001</v>
      </c>
    </row>
    <row r="15" spans="1:9" x14ac:dyDescent="0.25">
      <c r="A15" t="s">
        <v>19</v>
      </c>
      <c r="B15" t="s">
        <v>76</v>
      </c>
      <c r="C15" s="10"/>
      <c r="D15" s="10"/>
      <c r="E15" s="10">
        <v>107</v>
      </c>
      <c r="F15" s="10"/>
      <c r="G15" s="10">
        <f t="shared" si="0"/>
        <v>107</v>
      </c>
      <c r="H15">
        <f t="shared" si="1"/>
        <v>0.04</v>
      </c>
      <c r="I15" s="14">
        <f t="shared" si="2"/>
        <v>0</v>
      </c>
    </row>
    <row r="16" spans="1:9" x14ac:dyDescent="0.25">
      <c r="A16" t="s">
        <v>19</v>
      </c>
      <c r="B16" t="s">
        <v>41</v>
      </c>
      <c r="C16" s="10"/>
      <c r="D16" s="10"/>
      <c r="E16" s="10">
        <v>93</v>
      </c>
      <c r="F16" s="10"/>
      <c r="G16" s="10">
        <f t="shared" si="0"/>
        <v>93</v>
      </c>
      <c r="H16">
        <f t="shared" si="1"/>
        <v>0.04</v>
      </c>
      <c r="I16" s="14">
        <f t="shared" si="2"/>
        <v>0</v>
      </c>
    </row>
    <row r="17" spans="1:9" x14ac:dyDescent="0.25">
      <c r="A17" t="s">
        <v>19</v>
      </c>
      <c r="B17" t="s">
        <v>22</v>
      </c>
      <c r="C17" s="10"/>
      <c r="D17" s="10"/>
      <c r="E17" s="10">
        <v>900</v>
      </c>
      <c r="F17" s="10"/>
      <c r="G17" s="10">
        <f t="shared" si="0"/>
        <v>900</v>
      </c>
      <c r="H17">
        <f t="shared" si="1"/>
        <v>0.37</v>
      </c>
      <c r="I17" s="14">
        <f t="shared" si="2"/>
        <v>2E-3</v>
      </c>
    </row>
    <row r="18" spans="1:9" x14ac:dyDescent="0.25">
      <c r="A18" t="s">
        <v>19</v>
      </c>
      <c r="B18" t="s">
        <v>77</v>
      </c>
      <c r="C18" s="10"/>
      <c r="D18" s="10"/>
      <c r="E18" s="10"/>
      <c r="F18" s="10">
        <v>408</v>
      </c>
      <c r="G18" s="10">
        <f t="shared" si="0"/>
        <v>408</v>
      </c>
      <c r="H18">
        <f t="shared" si="1"/>
        <v>0.17</v>
      </c>
      <c r="I18" s="14">
        <f t="shared" si="2"/>
        <v>1E-3</v>
      </c>
    </row>
    <row r="19" spans="1:9" x14ac:dyDescent="0.25">
      <c r="A19" t="s">
        <v>19</v>
      </c>
      <c r="B19" t="s">
        <v>23</v>
      </c>
      <c r="C19" s="10"/>
      <c r="D19" s="10"/>
      <c r="E19" s="10">
        <v>25740</v>
      </c>
      <c r="F19" s="10"/>
      <c r="G19" s="10">
        <f t="shared" si="0"/>
        <v>25740</v>
      </c>
      <c r="H19">
        <f t="shared" si="1"/>
        <v>10.66</v>
      </c>
      <c r="I19" s="14">
        <f t="shared" si="2"/>
        <v>6.6000000000000003E-2</v>
      </c>
    </row>
    <row r="20" spans="1:9" x14ac:dyDescent="0.25">
      <c r="A20" t="s">
        <v>19</v>
      </c>
      <c r="B20" t="s">
        <v>24</v>
      </c>
      <c r="C20" s="10">
        <v>47700</v>
      </c>
      <c r="D20" s="10"/>
      <c r="E20" s="10"/>
      <c r="F20" s="10"/>
      <c r="G20" s="10">
        <f t="shared" si="0"/>
        <v>47700</v>
      </c>
      <c r="H20">
        <f t="shared" si="1"/>
        <v>19.75</v>
      </c>
      <c r="I20" s="14">
        <f t="shared" si="2"/>
        <v>0.122</v>
      </c>
    </row>
    <row r="21" spans="1:9" x14ac:dyDescent="0.25">
      <c r="A21" t="s">
        <v>19</v>
      </c>
      <c r="B21" t="s">
        <v>66</v>
      </c>
      <c r="C21" s="10"/>
      <c r="D21" s="10"/>
      <c r="E21" s="10">
        <v>780</v>
      </c>
      <c r="F21" s="10"/>
      <c r="G21" s="10">
        <f t="shared" si="0"/>
        <v>780</v>
      </c>
      <c r="H21">
        <f t="shared" si="1"/>
        <v>0.32</v>
      </c>
      <c r="I21" s="14">
        <f t="shared" si="2"/>
        <v>2E-3</v>
      </c>
    </row>
    <row r="22" spans="1:9" x14ac:dyDescent="0.25">
      <c r="A22" t="s">
        <v>19</v>
      </c>
      <c r="B22" t="s">
        <v>25</v>
      </c>
      <c r="C22" s="10">
        <v>64010</v>
      </c>
      <c r="D22" s="10"/>
      <c r="E22" s="10"/>
      <c r="F22" s="10">
        <v>290</v>
      </c>
      <c r="G22" s="10">
        <f t="shared" si="0"/>
        <v>64300</v>
      </c>
      <c r="H22">
        <f t="shared" si="1"/>
        <v>26.63</v>
      </c>
      <c r="I22" s="14">
        <f t="shared" si="2"/>
        <v>0.16500000000000001</v>
      </c>
    </row>
    <row r="23" spans="1:9" x14ac:dyDescent="0.25">
      <c r="A23" t="s">
        <v>19</v>
      </c>
      <c r="B23" t="s">
        <v>26</v>
      </c>
      <c r="C23" s="10"/>
      <c r="D23" s="10"/>
      <c r="E23" s="10">
        <v>459</v>
      </c>
      <c r="F23" s="10"/>
      <c r="G23" s="10">
        <f t="shared" si="0"/>
        <v>459</v>
      </c>
      <c r="H23">
        <f t="shared" si="1"/>
        <v>0.19</v>
      </c>
      <c r="I23" s="14">
        <f t="shared" si="2"/>
        <v>1E-3</v>
      </c>
    </row>
    <row r="24" spans="1:9" x14ac:dyDescent="0.25">
      <c r="A24" t="s">
        <v>19</v>
      </c>
      <c r="B24" t="s">
        <v>27</v>
      </c>
      <c r="C24" s="10"/>
      <c r="D24" s="10"/>
      <c r="E24" s="10">
        <v>176</v>
      </c>
      <c r="F24" s="10"/>
      <c r="G24" s="10">
        <f t="shared" si="0"/>
        <v>176</v>
      </c>
      <c r="H24">
        <f t="shared" si="1"/>
        <v>7.0000000000000007E-2</v>
      </c>
      <c r="I24" s="14">
        <f t="shared" si="2"/>
        <v>0</v>
      </c>
    </row>
    <row r="25" spans="1:9" x14ac:dyDescent="0.25">
      <c r="A25" t="s">
        <v>19</v>
      </c>
      <c r="B25" t="s">
        <v>28</v>
      </c>
      <c r="C25" s="10"/>
      <c r="D25" s="10"/>
      <c r="E25" s="10">
        <v>136</v>
      </c>
      <c r="F25" s="10"/>
      <c r="G25" s="10">
        <f t="shared" si="0"/>
        <v>136</v>
      </c>
      <c r="H25">
        <f t="shared" si="1"/>
        <v>0.06</v>
      </c>
      <c r="I25" s="14">
        <f t="shared" si="2"/>
        <v>0</v>
      </c>
    </row>
    <row r="26" spans="1:9" x14ac:dyDescent="0.25">
      <c r="A26" t="s">
        <v>19</v>
      </c>
      <c r="B26" t="s">
        <v>29</v>
      </c>
      <c r="C26" s="10"/>
      <c r="D26" s="10"/>
      <c r="E26" s="10">
        <v>594</v>
      </c>
      <c r="F26" s="10"/>
      <c r="G26" s="10">
        <f t="shared" si="0"/>
        <v>594</v>
      </c>
      <c r="H26">
        <f t="shared" si="1"/>
        <v>0.25</v>
      </c>
      <c r="I26" s="14">
        <f t="shared" si="2"/>
        <v>2E-3</v>
      </c>
    </row>
    <row r="27" spans="1:9" x14ac:dyDescent="0.25">
      <c r="A27" t="s">
        <v>19</v>
      </c>
      <c r="B27" t="s">
        <v>30</v>
      </c>
      <c r="C27" s="10"/>
      <c r="D27" s="10"/>
      <c r="E27" s="10">
        <v>570</v>
      </c>
      <c r="F27" s="10"/>
      <c r="G27" s="10">
        <f t="shared" si="0"/>
        <v>570</v>
      </c>
      <c r="H27">
        <f t="shared" si="1"/>
        <v>0.24</v>
      </c>
      <c r="I27" s="14">
        <f t="shared" si="2"/>
        <v>1E-3</v>
      </c>
    </row>
    <row r="28" spans="1:9" x14ac:dyDescent="0.25">
      <c r="A28" t="s">
        <v>19</v>
      </c>
      <c r="B28" t="s">
        <v>31</v>
      </c>
      <c r="C28" s="10"/>
      <c r="D28" s="10"/>
      <c r="E28" s="10">
        <v>150</v>
      </c>
      <c r="F28" s="10"/>
      <c r="G28" s="10">
        <f t="shared" si="0"/>
        <v>150</v>
      </c>
      <c r="H28">
        <f t="shared" si="1"/>
        <v>0.06</v>
      </c>
      <c r="I28" s="14">
        <f t="shared" si="2"/>
        <v>0</v>
      </c>
    </row>
    <row r="29" spans="1:9" x14ac:dyDescent="0.25">
      <c r="A29" t="s">
        <v>19</v>
      </c>
      <c r="B29" t="s">
        <v>32</v>
      </c>
      <c r="C29" s="10"/>
      <c r="D29" s="10"/>
      <c r="E29" s="10">
        <v>370</v>
      </c>
      <c r="F29" s="10"/>
      <c r="G29" s="10">
        <f t="shared" si="0"/>
        <v>370</v>
      </c>
      <c r="H29">
        <f t="shared" si="1"/>
        <v>0.15</v>
      </c>
      <c r="I29" s="14">
        <f t="shared" si="2"/>
        <v>1E-3</v>
      </c>
    </row>
    <row r="30" spans="1:9" x14ac:dyDescent="0.25">
      <c r="A30" t="s">
        <v>19</v>
      </c>
      <c r="B30" t="s">
        <v>42</v>
      </c>
      <c r="C30" s="10"/>
      <c r="D30" s="10">
        <v>78</v>
      </c>
      <c r="E30" s="10"/>
      <c r="F30" s="10"/>
      <c r="G30" s="10">
        <f t="shared" si="0"/>
        <v>78</v>
      </c>
      <c r="H30">
        <f t="shared" si="1"/>
        <v>0.03</v>
      </c>
      <c r="I30" s="14">
        <f t="shared" si="2"/>
        <v>0</v>
      </c>
    </row>
    <row r="31" spans="1:9" x14ac:dyDescent="0.25">
      <c r="A31" t="s">
        <v>19</v>
      </c>
      <c r="B31" t="s">
        <v>67</v>
      </c>
      <c r="C31" s="10"/>
      <c r="D31" s="10"/>
      <c r="E31" s="10">
        <v>770</v>
      </c>
      <c r="F31" s="10"/>
      <c r="G31" s="10">
        <f t="shared" si="0"/>
        <v>770</v>
      </c>
      <c r="H31">
        <f t="shared" si="1"/>
        <v>0.32</v>
      </c>
      <c r="I31" s="14">
        <f t="shared" si="2"/>
        <v>2E-3</v>
      </c>
    </row>
    <row r="32" spans="1:9" x14ac:dyDescent="0.25">
      <c r="A32" t="s">
        <v>19</v>
      </c>
      <c r="B32" t="s">
        <v>33</v>
      </c>
      <c r="C32" s="10"/>
      <c r="D32" s="10">
        <v>140</v>
      </c>
      <c r="E32" s="10"/>
      <c r="F32" s="10"/>
      <c r="G32" s="10">
        <f t="shared" si="0"/>
        <v>140</v>
      </c>
      <c r="H32">
        <f t="shared" si="1"/>
        <v>0.06</v>
      </c>
      <c r="I32" s="14">
        <f t="shared" si="2"/>
        <v>0</v>
      </c>
    </row>
    <row r="33" spans="1:9" x14ac:dyDescent="0.25">
      <c r="A33" t="s">
        <v>19</v>
      </c>
      <c r="B33" t="s">
        <v>34</v>
      </c>
      <c r="C33" s="10"/>
      <c r="D33" s="10"/>
      <c r="E33" s="10">
        <v>372</v>
      </c>
      <c r="F33" s="10"/>
      <c r="G33" s="10">
        <f t="shared" si="0"/>
        <v>372</v>
      </c>
      <c r="H33">
        <f t="shared" si="1"/>
        <v>0.15</v>
      </c>
      <c r="I33" s="14">
        <f t="shared" si="2"/>
        <v>1E-3</v>
      </c>
    </row>
    <row r="34" spans="1:9" x14ac:dyDescent="0.25">
      <c r="A34" t="s">
        <v>19</v>
      </c>
      <c r="B34" t="s">
        <v>40</v>
      </c>
      <c r="C34" s="10"/>
      <c r="D34" s="10"/>
      <c r="E34" s="10">
        <v>3502</v>
      </c>
      <c r="F34" s="10"/>
      <c r="G34" s="10">
        <f t="shared" si="0"/>
        <v>3502</v>
      </c>
      <c r="H34">
        <f t="shared" si="1"/>
        <v>1.45</v>
      </c>
      <c r="I34" s="14">
        <f t="shared" si="2"/>
        <v>8.9999999999999993E-3</v>
      </c>
    </row>
    <row r="35" spans="1:9" x14ac:dyDescent="0.25">
      <c r="A35" t="s">
        <v>19</v>
      </c>
      <c r="B35" t="s">
        <v>35</v>
      </c>
      <c r="C35" s="10"/>
      <c r="D35" s="10"/>
      <c r="E35" s="10">
        <v>650</v>
      </c>
      <c r="F35" s="10"/>
      <c r="G35" s="10">
        <f t="shared" si="0"/>
        <v>650</v>
      </c>
      <c r="H35">
        <f t="shared" si="1"/>
        <v>0.27</v>
      </c>
      <c r="I35" s="14">
        <f t="shared" si="2"/>
        <v>2E-3</v>
      </c>
    </row>
    <row r="36" spans="1:9" x14ac:dyDescent="0.25">
      <c r="A36" t="s">
        <v>19</v>
      </c>
      <c r="B36" t="s">
        <v>36</v>
      </c>
      <c r="C36" s="10"/>
      <c r="D36" s="10"/>
      <c r="E36" s="10">
        <v>18210</v>
      </c>
      <c r="F36" s="10"/>
      <c r="G36" s="10">
        <f t="shared" si="0"/>
        <v>18210</v>
      </c>
      <c r="H36">
        <f t="shared" si="1"/>
        <v>7.54</v>
      </c>
      <c r="I36" s="14">
        <f t="shared" si="2"/>
        <v>4.7E-2</v>
      </c>
    </row>
    <row r="37" spans="1:9" x14ac:dyDescent="0.25">
      <c r="A37" t="s">
        <v>19</v>
      </c>
      <c r="B37" t="s">
        <v>37</v>
      </c>
      <c r="C37" s="10"/>
      <c r="D37" s="10"/>
      <c r="E37" s="10">
        <v>1520</v>
      </c>
      <c r="F37" s="10"/>
      <c r="G37" s="10">
        <f t="shared" si="0"/>
        <v>1520</v>
      </c>
      <c r="H37">
        <f t="shared" si="1"/>
        <v>0.63</v>
      </c>
      <c r="I37" s="14">
        <f t="shared" si="2"/>
        <v>4.0000000000000001E-3</v>
      </c>
    </row>
    <row r="38" spans="1:9" x14ac:dyDescent="0.25">
      <c r="A38" t="s">
        <v>19</v>
      </c>
      <c r="B38" t="s">
        <v>38</v>
      </c>
      <c r="C38" s="10"/>
      <c r="D38" s="10"/>
      <c r="E38" s="10">
        <v>4240</v>
      </c>
      <c r="F38" s="10"/>
      <c r="G38" s="10">
        <f t="shared" si="0"/>
        <v>4240</v>
      </c>
      <c r="H38">
        <f t="shared" si="1"/>
        <v>1.76</v>
      </c>
      <c r="I38" s="14">
        <f t="shared" si="2"/>
        <v>1.0999999999999999E-2</v>
      </c>
    </row>
    <row r="39" spans="1:9" x14ac:dyDescent="0.25">
      <c r="A39" t="s">
        <v>19</v>
      </c>
      <c r="B39" t="s">
        <v>39</v>
      </c>
      <c r="C39" s="10"/>
      <c r="D39" s="10"/>
      <c r="E39" s="10">
        <v>32500</v>
      </c>
      <c r="F39" s="10"/>
      <c r="G39" s="10">
        <f t="shared" si="0"/>
        <v>32500</v>
      </c>
      <c r="H39">
        <f t="shared" si="1"/>
        <v>13.46</v>
      </c>
      <c r="I39" s="14">
        <f t="shared" si="2"/>
        <v>8.3000000000000004E-2</v>
      </c>
    </row>
    <row r="40" spans="1:9" x14ac:dyDescent="0.25">
      <c r="A40" t="s">
        <v>43</v>
      </c>
      <c r="B40" t="s">
        <v>44</v>
      </c>
      <c r="C40" s="10">
        <v>83050</v>
      </c>
      <c r="D40" s="10"/>
      <c r="E40" s="10"/>
      <c r="F40" s="10"/>
      <c r="G40" s="10">
        <f t="shared" si="0"/>
        <v>83050</v>
      </c>
      <c r="H40">
        <f t="shared" si="1"/>
        <v>34.39</v>
      </c>
      <c r="I40" s="14">
        <f t="shared" si="2"/>
        <v>0.21299999999999999</v>
      </c>
    </row>
    <row r="41" spans="1:9" x14ac:dyDescent="0.25">
      <c r="A41" t="s">
        <v>43</v>
      </c>
      <c r="B41" t="s">
        <v>45</v>
      </c>
      <c r="C41" s="10"/>
      <c r="D41" s="10"/>
      <c r="E41" s="10">
        <v>15760</v>
      </c>
      <c r="F41" s="10"/>
      <c r="G41" s="10">
        <f t="shared" si="0"/>
        <v>15760</v>
      </c>
      <c r="H41">
        <f t="shared" si="1"/>
        <v>6.53</v>
      </c>
      <c r="I41" s="14">
        <f t="shared" ref="I41" si="3">ROUND(G41/$G$43,3)</f>
        <v>0.04</v>
      </c>
    </row>
    <row r="42" spans="1:9" x14ac:dyDescent="0.25">
      <c r="A42" t="s">
        <v>43</v>
      </c>
      <c r="B42" t="s">
        <v>46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>ROUND(G42/$G$43,3)</f>
        <v>0</v>
      </c>
    </row>
    <row r="43" spans="1:9" x14ac:dyDescent="0.25">
      <c r="A43" s="3" t="s">
        <v>253</v>
      </c>
      <c r="B43" s="3"/>
      <c r="C43" s="8">
        <f t="shared" ref="C43:H43" si="4">SUM(C8:C42)</f>
        <v>281230</v>
      </c>
      <c r="D43" s="8">
        <f t="shared" si="4"/>
        <v>218</v>
      </c>
      <c r="E43" s="8">
        <f t="shared" si="4"/>
        <v>107673</v>
      </c>
      <c r="F43" s="8">
        <f t="shared" si="4"/>
        <v>735</v>
      </c>
      <c r="G43" s="8">
        <f t="shared" si="4"/>
        <v>389856</v>
      </c>
      <c r="H43" s="3">
        <f t="shared" si="4"/>
        <v>161.43999999999997</v>
      </c>
    </row>
    <row r="44" spans="1:9" x14ac:dyDescent="0.25">
      <c r="A44" s="3" t="s">
        <v>14</v>
      </c>
      <c r="B44" s="3"/>
      <c r="C44" s="13">
        <f>ROUND(C43/G43,2)</f>
        <v>0.72</v>
      </c>
      <c r="D44" s="13">
        <f>ROUND(D43/G43,2)</f>
        <v>0</v>
      </c>
      <c r="E44" s="13">
        <f>ROUND(E43/G43,2)</f>
        <v>0.28000000000000003</v>
      </c>
      <c r="F44" s="13">
        <f>ROUND(F43/G43,2)</f>
        <v>0</v>
      </c>
      <c r="G44" s="3"/>
      <c r="H44" s="3"/>
    </row>
    <row r="45" spans="1:9" x14ac:dyDescent="0.25">
      <c r="A45" s="3" t="s">
        <v>47</v>
      </c>
      <c r="B45" s="3"/>
      <c r="C45" s="3"/>
      <c r="D45" s="3"/>
      <c r="E45" s="3"/>
      <c r="F45" s="3"/>
      <c r="G45" s="3"/>
      <c r="H45" s="3"/>
    </row>
    <row r="46" spans="1:9" x14ac:dyDescent="0.25">
      <c r="A46" s="3" t="s">
        <v>48</v>
      </c>
      <c r="B46" s="3"/>
      <c r="C46" s="8">
        <v>198180</v>
      </c>
      <c r="D46" s="8">
        <v>218</v>
      </c>
      <c r="E46" s="8">
        <v>91913</v>
      </c>
      <c r="F46" s="8">
        <v>698</v>
      </c>
      <c r="G46" s="8">
        <f>SUM(C46:F46)</f>
        <v>291009</v>
      </c>
      <c r="H46" s="3">
        <f>ROUND(G46/2415,2)</f>
        <v>120.5</v>
      </c>
    </row>
    <row r="47" spans="1:9" x14ac:dyDescent="0.25">
      <c r="A47" s="3" t="s">
        <v>49</v>
      </c>
      <c r="B47" s="3"/>
      <c r="C47" s="8">
        <v>83050</v>
      </c>
      <c r="D47" s="8">
        <v>0</v>
      </c>
      <c r="E47" s="8">
        <v>15760</v>
      </c>
      <c r="F47" s="8">
        <v>0</v>
      </c>
      <c r="G47" s="8">
        <f>SUM(C47:F47)</f>
        <v>98810</v>
      </c>
      <c r="H47" s="3">
        <f>ROUND(G47/2415,2)</f>
        <v>40.92</v>
      </c>
    </row>
    <row r="48" spans="1:9" x14ac:dyDescent="0.25">
      <c r="A48" s="3" t="s">
        <v>50</v>
      </c>
      <c r="B48" s="3"/>
      <c r="C48" s="8">
        <v>0</v>
      </c>
      <c r="D48" s="8">
        <v>0</v>
      </c>
      <c r="E48" s="8">
        <v>0</v>
      </c>
      <c r="F48" s="8">
        <v>37</v>
      </c>
      <c r="G48" s="8">
        <f>SUM(C48:F48)</f>
        <v>37</v>
      </c>
      <c r="H48" s="3">
        <f>ROUND(G48/2415,2)</f>
        <v>0.02</v>
      </c>
    </row>
    <row r="50" spans="1:7" x14ac:dyDescent="0.25">
      <c r="A50" s="3"/>
      <c r="B50" s="3"/>
      <c r="C50" s="3" t="s">
        <v>2</v>
      </c>
      <c r="D50" s="3">
        <v>2022</v>
      </c>
      <c r="E50" s="3" t="s">
        <v>51</v>
      </c>
    </row>
    <row r="51" spans="1:7" x14ac:dyDescent="0.25">
      <c r="A51" s="3" t="s">
        <v>52</v>
      </c>
      <c r="B51" s="3"/>
      <c r="C51" s="13">
        <v>0.77139999999999997</v>
      </c>
      <c r="D51" s="13">
        <v>0.78469999999999995</v>
      </c>
      <c r="E51" s="13">
        <v>0.77659999999999996</v>
      </c>
    </row>
    <row r="52" spans="1:7" x14ac:dyDescent="0.25">
      <c r="A52" s="3" t="s">
        <v>53</v>
      </c>
      <c r="B52" s="3"/>
      <c r="C52" s="13">
        <v>0.76170000000000004</v>
      </c>
      <c r="D52" s="13">
        <v>0.7742</v>
      </c>
      <c r="E52" s="13">
        <v>0.75900000000000001</v>
      </c>
    </row>
    <row r="54" spans="1:7" x14ac:dyDescent="0.25">
      <c r="A54" s="3" t="s">
        <v>256</v>
      </c>
      <c r="B54" s="3"/>
      <c r="C54" s="3" t="s">
        <v>2</v>
      </c>
      <c r="D54" s="3" t="s">
        <v>165</v>
      </c>
      <c r="E54" s="3" t="s">
        <v>55</v>
      </c>
      <c r="F54" s="3" t="s">
        <v>254</v>
      </c>
      <c r="G54" s="3"/>
    </row>
    <row r="55" spans="1:7" x14ac:dyDescent="0.25">
      <c r="A55" s="3" t="s">
        <v>56</v>
      </c>
      <c r="B55" s="3"/>
      <c r="C55" s="3"/>
      <c r="D55" s="3">
        <v>57.56</v>
      </c>
      <c r="E55" s="3">
        <v>81.5</v>
      </c>
      <c r="F55" s="3">
        <v>50.61</v>
      </c>
      <c r="G55" s="3"/>
    </row>
    <row r="56" spans="1:7" x14ac:dyDescent="0.25">
      <c r="A56" s="3" t="s">
        <v>57</v>
      </c>
      <c r="B56" s="3"/>
      <c r="C56" s="3"/>
      <c r="D56" s="3">
        <v>56.9</v>
      </c>
      <c r="E56" s="3">
        <v>58.24</v>
      </c>
      <c r="F56" s="3">
        <v>57.37</v>
      </c>
      <c r="G56" s="3"/>
    </row>
    <row r="57" spans="1:7" x14ac:dyDescent="0.25">
      <c r="A57" s="3" t="s">
        <v>58</v>
      </c>
      <c r="B57" s="3"/>
      <c r="C57" s="3"/>
      <c r="D57" s="3">
        <v>229.59</v>
      </c>
      <c r="E57" s="3">
        <v>261.52999999999997</v>
      </c>
      <c r="F57" s="3">
        <v>249.57</v>
      </c>
      <c r="G57" s="3"/>
    </row>
    <row r="58" spans="1:7" x14ac:dyDescent="0.25">
      <c r="A58" s="3" t="s">
        <v>59</v>
      </c>
      <c r="B58" s="3"/>
      <c r="C58" s="3"/>
      <c r="D58" s="3">
        <v>71.040000000000006</v>
      </c>
      <c r="E58" s="3">
        <v>103.11</v>
      </c>
      <c r="F58" s="3">
        <v>71.400000000000006</v>
      </c>
      <c r="G5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8"/>
  <sheetViews>
    <sheetView topLeftCell="A30" workbookViewId="0">
      <selection activeCell="G55" sqref="G55:G59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5.140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62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2050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13</v>
      </c>
      <c r="G9" s="10">
        <f t="shared" ref="G9:G42" si="0">SUM(C9:F9)</f>
        <v>13</v>
      </c>
      <c r="H9">
        <f t="shared" ref="H9:H42" si="1">ROUND(G9/2050,2)</f>
        <v>0.01</v>
      </c>
      <c r="I9" s="14">
        <f t="shared" ref="I9:I40" si="2">ROUND(G9/$G$43,3)</f>
        <v>0</v>
      </c>
    </row>
    <row r="10" spans="1:9" x14ac:dyDescent="0.25">
      <c r="A10" t="s">
        <v>15</v>
      </c>
      <c r="B10" t="s">
        <v>63</v>
      </c>
      <c r="C10" s="10"/>
      <c r="D10" s="10"/>
      <c r="E10" s="10"/>
      <c r="F10" s="10">
        <v>160</v>
      </c>
      <c r="G10" s="10">
        <f t="shared" si="0"/>
        <v>160</v>
      </c>
      <c r="H10">
        <f t="shared" si="1"/>
        <v>0.08</v>
      </c>
      <c r="I10" s="14">
        <f t="shared" si="2"/>
        <v>0</v>
      </c>
    </row>
    <row r="11" spans="1:9" x14ac:dyDescent="0.25">
      <c r="A11" t="s">
        <v>15</v>
      </c>
      <c r="B11" t="s">
        <v>17</v>
      </c>
      <c r="C11" s="10"/>
      <c r="D11" s="10"/>
      <c r="E11" s="10"/>
      <c r="F11" s="10">
        <v>60</v>
      </c>
      <c r="G11" s="10">
        <f t="shared" si="0"/>
        <v>60</v>
      </c>
      <c r="H11">
        <f t="shared" si="1"/>
        <v>0.03</v>
      </c>
      <c r="I11" s="14">
        <f t="shared" si="2"/>
        <v>0</v>
      </c>
    </row>
    <row r="12" spans="1:9" x14ac:dyDescent="0.25">
      <c r="A12" t="s">
        <v>15</v>
      </c>
      <c r="B12" t="s">
        <v>18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25</v>
      </c>
      <c r="F13" s="10"/>
      <c r="G13" s="10">
        <f t="shared" si="0"/>
        <v>25</v>
      </c>
      <c r="H13">
        <f t="shared" si="1"/>
        <v>0.01</v>
      </c>
      <c r="I13" s="14">
        <f t="shared" si="2"/>
        <v>0</v>
      </c>
    </row>
    <row r="14" spans="1:9" x14ac:dyDescent="0.25">
      <c r="A14" t="s">
        <v>19</v>
      </c>
      <c r="B14" t="s">
        <v>65</v>
      </c>
      <c r="C14" s="10"/>
      <c r="D14" s="10"/>
      <c r="E14" s="10">
        <v>640</v>
      </c>
      <c r="F14" s="10"/>
      <c r="G14" s="10">
        <f t="shared" si="0"/>
        <v>640</v>
      </c>
      <c r="H14">
        <f t="shared" si="1"/>
        <v>0.31</v>
      </c>
      <c r="I14" s="14">
        <f t="shared" si="2"/>
        <v>2E-3</v>
      </c>
    </row>
    <row r="15" spans="1:9" x14ac:dyDescent="0.25">
      <c r="A15" t="s">
        <v>19</v>
      </c>
      <c r="B15" t="s">
        <v>20</v>
      </c>
      <c r="C15" s="10">
        <v>26390</v>
      </c>
      <c r="D15" s="10"/>
      <c r="E15" s="10">
        <v>6660.67</v>
      </c>
      <c r="F15" s="10"/>
      <c r="G15" s="10">
        <f t="shared" si="0"/>
        <v>33050.67</v>
      </c>
      <c r="H15">
        <f t="shared" si="1"/>
        <v>16.12</v>
      </c>
      <c r="I15" s="14">
        <f t="shared" si="2"/>
        <v>8.4000000000000005E-2</v>
      </c>
    </row>
    <row r="16" spans="1:9" x14ac:dyDescent="0.25">
      <c r="A16" t="s">
        <v>19</v>
      </c>
      <c r="B16" t="s">
        <v>21</v>
      </c>
      <c r="C16" s="10">
        <v>46290</v>
      </c>
      <c r="D16" s="10"/>
      <c r="E16" s="10"/>
      <c r="F16" s="10"/>
      <c r="G16" s="10">
        <f t="shared" si="0"/>
        <v>46290</v>
      </c>
      <c r="H16">
        <f t="shared" si="1"/>
        <v>22.58</v>
      </c>
      <c r="I16" s="14">
        <f t="shared" si="2"/>
        <v>0.11700000000000001</v>
      </c>
    </row>
    <row r="17" spans="1:9" x14ac:dyDescent="0.25">
      <c r="A17" t="s">
        <v>19</v>
      </c>
      <c r="B17" t="s">
        <v>41</v>
      </c>
      <c r="C17" s="10"/>
      <c r="D17" s="10"/>
      <c r="E17" s="10">
        <v>206.66</v>
      </c>
      <c r="F17" s="10"/>
      <c r="G17" s="10">
        <f t="shared" si="0"/>
        <v>206.66</v>
      </c>
      <c r="H17">
        <f t="shared" si="1"/>
        <v>0.1</v>
      </c>
      <c r="I17" s="14">
        <f t="shared" si="2"/>
        <v>1E-3</v>
      </c>
    </row>
    <row r="18" spans="1:9" x14ac:dyDescent="0.25">
      <c r="A18" t="s">
        <v>19</v>
      </c>
      <c r="B18" t="s">
        <v>22</v>
      </c>
      <c r="C18" s="10"/>
      <c r="D18" s="10"/>
      <c r="E18" s="10">
        <v>937.5</v>
      </c>
      <c r="F18" s="10"/>
      <c r="G18" s="10">
        <f t="shared" si="0"/>
        <v>937.5</v>
      </c>
      <c r="H18">
        <f t="shared" si="1"/>
        <v>0.46</v>
      </c>
      <c r="I18" s="14">
        <f t="shared" si="2"/>
        <v>2E-3</v>
      </c>
    </row>
    <row r="19" spans="1:9" x14ac:dyDescent="0.25">
      <c r="A19" t="s">
        <v>19</v>
      </c>
      <c r="B19" t="s">
        <v>23</v>
      </c>
      <c r="C19" s="10"/>
      <c r="D19" s="10"/>
      <c r="E19" s="10">
        <v>36254.480000000003</v>
      </c>
      <c r="F19" s="10"/>
      <c r="G19" s="10">
        <f t="shared" si="0"/>
        <v>36254.480000000003</v>
      </c>
      <c r="H19">
        <f t="shared" si="1"/>
        <v>17.690000000000001</v>
      </c>
      <c r="I19" s="14">
        <f t="shared" si="2"/>
        <v>9.1999999999999998E-2</v>
      </c>
    </row>
    <row r="20" spans="1:9" x14ac:dyDescent="0.25">
      <c r="A20" t="s">
        <v>19</v>
      </c>
      <c r="B20" t="s">
        <v>24</v>
      </c>
      <c r="C20" s="10">
        <v>25820</v>
      </c>
      <c r="D20" s="10"/>
      <c r="E20" s="10">
        <v>8602.02</v>
      </c>
      <c r="F20" s="10"/>
      <c r="G20" s="10">
        <f t="shared" si="0"/>
        <v>34422.020000000004</v>
      </c>
      <c r="H20">
        <f t="shared" si="1"/>
        <v>16.79</v>
      </c>
      <c r="I20" s="14">
        <f t="shared" si="2"/>
        <v>8.6999999999999994E-2</v>
      </c>
    </row>
    <row r="21" spans="1:9" x14ac:dyDescent="0.25">
      <c r="A21" t="s">
        <v>19</v>
      </c>
      <c r="B21" t="s">
        <v>66</v>
      </c>
      <c r="C21" s="10"/>
      <c r="D21" s="10"/>
      <c r="E21" s="10">
        <v>1790</v>
      </c>
      <c r="F21" s="10"/>
      <c r="G21" s="10">
        <f t="shared" si="0"/>
        <v>1790</v>
      </c>
      <c r="H21">
        <f t="shared" si="1"/>
        <v>0.87</v>
      </c>
      <c r="I21" s="14">
        <f t="shared" si="2"/>
        <v>5.0000000000000001E-3</v>
      </c>
    </row>
    <row r="22" spans="1:9" x14ac:dyDescent="0.25">
      <c r="A22" t="s">
        <v>19</v>
      </c>
      <c r="B22" t="s">
        <v>25</v>
      </c>
      <c r="C22" s="10">
        <v>29080</v>
      </c>
      <c r="D22" s="10"/>
      <c r="E22" s="10"/>
      <c r="F22" s="10"/>
      <c r="G22" s="10">
        <f t="shared" si="0"/>
        <v>29080</v>
      </c>
      <c r="H22">
        <f t="shared" si="1"/>
        <v>14.19</v>
      </c>
      <c r="I22" s="14">
        <f t="shared" si="2"/>
        <v>7.3999999999999996E-2</v>
      </c>
    </row>
    <row r="23" spans="1:9" x14ac:dyDescent="0.25">
      <c r="A23" t="s">
        <v>19</v>
      </c>
      <c r="B23" t="s">
        <v>26</v>
      </c>
      <c r="C23" s="10"/>
      <c r="D23" s="10"/>
      <c r="E23" s="10">
        <v>410</v>
      </c>
      <c r="F23" s="10"/>
      <c r="G23" s="10">
        <f t="shared" si="0"/>
        <v>410</v>
      </c>
      <c r="H23">
        <f t="shared" si="1"/>
        <v>0.2</v>
      </c>
      <c r="I23" s="14">
        <f t="shared" si="2"/>
        <v>1E-3</v>
      </c>
    </row>
    <row r="24" spans="1:9" x14ac:dyDescent="0.25">
      <c r="A24" t="s">
        <v>19</v>
      </c>
      <c r="B24" t="s">
        <v>27</v>
      </c>
      <c r="C24" s="10"/>
      <c r="D24" s="10"/>
      <c r="E24" s="10">
        <v>180</v>
      </c>
      <c r="F24" s="10"/>
      <c r="G24" s="10">
        <f t="shared" si="0"/>
        <v>180</v>
      </c>
      <c r="H24">
        <f t="shared" si="1"/>
        <v>0.09</v>
      </c>
      <c r="I24" s="14">
        <f t="shared" si="2"/>
        <v>0</v>
      </c>
    </row>
    <row r="25" spans="1:9" x14ac:dyDescent="0.25">
      <c r="A25" t="s">
        <v>19</v>
      </c>
      <c r="B25" t="s">
        <v>28</v>
      </c>
      <c r="C25" s="10"/>
      <c r="D25" s="10"/>
      <c r="E25" s="10">
        <v>88.23</v>
      </c>
      <c r="F25" s="10"/>
      <c r="G25" s="10">
        <f t="shared" si="0"/>
        <v>88.23</v>
      </c>
      <c r="H25">
        <f t="shared" si="1"/>
        <v>0.04</v>
      </c>
      <c r="I25" s="14">
        <f t="shared" si="2"/>
        <v>0</v>
      </c>
    </row>
    <row r="26" spans="1:9" x14ac:dyDescent="0.25">
      <c r="A26" t="s">
        <v>19</v>
      </c>
      <c r="B26" t="s">
        <v>29</v>
      </c>
      <c r="C26" s="10"/>
      <c r="D26" s="10"/>
      <c r="E26" s="10">
        <v>2174.5500000000002</v>
      </c>
      <c r="F26" s="10"/>
      <c r="G26" s="10">
        <f t="shared" si="0"/>
        <v>2174.5500000000002</v>
      </c>
      <c r="H26">
        <f t="shared" si="1"/>
        <v>1.06</v>
      </c>
      <c r="I26" s="14">
        <f t="shared" si="2"/>
        <v>6.0000000000000001E-3</v>
      </c>
    </row>
    <row r="27" spans="1:9" x14ac:dyDescent="0.25">
      <c r="A27" t="s">
        <v>19</v>
      </c>
      <c r="B27" t="s">
        <v>30</v>
      </c>
      <c r="C27" s="10"/>
      <c r="D27" s="10"/>
      <c r="E27" s="10">
        <v>360.64</v>
      </c>
      <c r="F27" s="10"/>
      <c r="G27" s="10">
        <f t="shared" si="0"/>
        <v>360.64</v>
      </c>
      <c r="H27">
        <f t="shared" si="1"/>
        <v>0.18</v>
      </c>
      <c r="I27" s="14">
        <f t="shared" si="2"/>
        <v>1E-3</v>
      </c>
    </row>
    <row r="28" spans="1:9" x14ac:dyDescent="0.25">
      <c r="A28" t="s">
        <v>19</v>
      </c>
      <c r="B28" t="s">
        <v>32</v>
      </c>
      <c r="C28" s="10"/>
      <c r="D28" s="10"/>
      <c r="E28" s="10">
        <v>882.97</v>
      </c>
      <c r="F28" s="10"/>
      <c r="G28" s="10">
        <f t="shared" si="0"/>
        <v>882.97</v>
      </c>
      <c r="H28">
        <f t="shared" si="1"/>
        <v>0.43</v>
      </c>
      <c r="I28" s="14">
        <f t="shared" si="2"/>
        <v>2E-3</v>
      </c>
    </row>
    <row r="29" spans="1:9" x14ac:dyDescent="0.25">
      <c r="A29" t="s">
        <v>19</v>
      </c>
      <c r="B29" t="s">
        <v>42</v>
      </c>
      <c r="C29" s="10"/>
      <c r="D29" s="10">
        <v>200</v>
      </c>
      <c r="E29" s="10">
        <v>195</v>
      </c>
      <c r="F29" s="10"/>
      <c r="G29" s="10">
        <f t="shared" si="0"/>
        <v>395</v>
      </c>
      <c r="H29">
        <f t="shared" si="1"/>
        <v>0.19</v>
      </c>
      <c r="I29" s="14">
        <f t="shared" si="2"/>
        <v>1E-3</v>
      </c>
    </row>
    <row r="30" spans="1:9" x14ac:dyDescent="0.25">
      <c r="A30" t="s">
        <v>19</v>
      </c>
      <c r="B30" t="s">
        <v>33</v>
      </c>
      <c r="C30" s="10"/>
      <c r="D30" s="10"/>
      <c r="E30" s="10">
        <v>725.25</v>
      </c>
      <c r="F30" s="10"/>
      <c r="G30" s="10">
        <f t="shared" si="0"/>
        <v>725.25</v>
      </c>
      <c r="H30">
        <f t="shared" si="1"/>
        <v>0.35</v>
      </c>
      <c r="I30" s="14">
        <f t="shared" si="2"/>
        <v>2E-3</v>
      </c>
    </row>
    <row r="31" spans="1:9" x14ac:dyDescent="0.25">
      <c r="A31" t="s">
        <v>19</v>
      </c>
      <c r="B31" t="s">
        <v>67</v>
      </c>
      <c r="C31" s="10"/>
      <c r="D31" s="10"/>
      <c r="E31" s="10">
        <v>610</v>
      </c>
      <c r="F31" s="10"/>
      <c r="G31" s="10">
        <f t="shared" si="0"/>
        <v>610</v>
      </c>
      <c r="H31">
        <f t="shared" si="1"/>
        <v>0.3</v>
      </c>
      <c r="I31" s="14">
        <f t="shared" si="2"/>
        <v>2E-3</v>
      </c>
    </row>
    <row r="32" spans="1:9" x14ac:dyDescent="0.25">
      <c r="A32" t="s">
        <v>19</v>
      </c>
      <c r="B32" t="s">
        <v>34</v>
      </c>
      <c r="C32" s="10"/>
      <c r="D32" s="10"/>
      <c r="E32" s="10">
        <v>1003.2</v>
      </c>
      <c r="F32" s="10"/>
      <c r="G32" s="10">
        <f t="shared" si="0"/>
        <v>1003.2</v>
      </c>
      <c r="H32">
        <f t="shared" si="1"/>
        <v>0.49</v>
      </c>
      <c r="I32" s="14">
        <f t="shared" si="2"/>
        <v>3.0000000000000001E-3</v>
      </c>
    </row>
    <row r="33" spans="1:9" x14ac:dyDescent="0.25">
      <c r="A33" t="s">
        <v>19</v>
      </c>
      <c r="B33" t="s">
        <v>40</v>
      </c>
      <c r="C33" s="10"/>
      <c r="D33" s="10"/>
      <c r="E33" s="10">
        <v>4190</v>
      </c>
      <c r="F33" s="10"/>
      <c r="G33" s="10">
        <f t="shared" si="0"/>
        <v>4190</v>
      </c>
      <c r="H33">
        <f t="shared" si="1"/>
        <v>2.04</v>
      </c>
      <c r="I33" s="14">
        <f t="shared" si="2"/>
        <v>1.0999999999999999E-2</v>
      </c>
    </row>
    <row r="34" spans="1:9" x14ac:dyDescent="0.25">
      <c r="A34" t="s">
        <v>19</v>
      </c>
      <c r="B34" t="s">
        <v>35</v>
      </c>
      <c r="C34" s="10"/>
      <c r="D34" s="10"/>
      <c r="E34" s="10">
        <v>1169.69</v>
      </c>
      <c r="F34" s="10"/>
      <c r="G34" s="10">
        <f t="shared" si="0"/>
        <v>1169.69</v>
      </c>
      <c r="H34">
        <f t="shared" si="1"/>
        <v>0.56999999999999995</v>
      </c>
      <c r="I34" s="14">
        <f t="shared" si="2"/>
        <v>3.0000000000000001E-3</v>
      </c>
    </row>
    <row r="35" spans="1:9" x14ac:dyDescent="0.25">
      <c r="A35" t="s">
        <v>19</v>
      </c>
      <c r="B35" t="s">
        <v>36</v>
      </c>
      <c r="C35" s="10"/>
      <c r="D35" s="10"/>
      <c r="E35" s="10">
        <v>26441.34</v>
      </c>
      <c r="F35" s="10"/>
      <c r="G35" s="10">
        <f t="shared" si="0"/>
        <v>26441.34</v>
      </c>
      <c r="H35">
        <f t="shared" si="1"/>
        <v>12.9</v>
      </c>
      <c r="I35" s="14">
        <f t="shared" si="2"/>
        <v>6.7000000000000004E-2</v>
      </c>
    </row>
    <row r="36" spans="1:9" x14ac:dyDescent="0.25">
      <c r="A36" t="s">
        <v>19</v>
      </c>
      <c r="B36" t="s">
        <v>38</v>
      </c>
      <c r="C36" s="10"/>
      <c r="D36" s="10"/>
      <c r="E36" s="10">
        <v>9150.7900000000009</v>
      </c>
      <c r="F36" s="10"/>
      <c r="G36" s="10">
        <f t="shared" si="0"/>
        <v>9150.7900000000009</v>
      </c>
      <c r="H36">
        <f t="shared" si="1"/>
        <v>4.46</v>
      </c>
      <c r="I36" s="14">
        <f t="shared" si="2"/>
        <v>2.3E-2</v>
      </c>
    </row>
    <row r="37" spans="1:9" x14ac:dyDescent="0.25">
      <c r="A37" t="s">
        <v>19</v>
      </c>
      <c r="B37" t="s">
        <v>39</v>
      </c>
      <c r="C37" s="10"/>
      <c r="D37" s="10"/>
      <c r="E37" s="10">
        <v>15042.95</v>
      </c>
      <c r="F37" s="10"/>
      <c r="G37" s="10">
        <f t="shared" si="0"/>
        <v>15042.95</v>
      </c>
      <c r="H37">
        <f t="shared" si="1"/>
        <v>7.34</v>
      </c>
      <c r="I37" s="14">
        <f t="shared" si="2"/>
        <v>3.7999999999999999E-2</v>
      </c>
    </row>
    <row r="38" spans="1:9" x14ac:dyDescent="0.25">
      <c r="A38" t="s">
        <v>19</v>
      </c>
      <c r="B38" t="s">
        <v>31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t="s">
        <v>19</v>
      </c>
      <c r="B39" t="s">
        <v>37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43</v>
      </c>
      <c r="B40" t="s">
        <v>44</v>
      </c>
      <c r="C40" s="10">
        <v>129090</v>
      </c>
      <c r="D40" s="10"/>
      <c r="E40" s="10"/>
      <c r="F40" s="10">
        <v>200</v>
      </c>
      <c r="G40" s="10">
        <f t="shared" si="0"/>
        <v>129290</v>
      </c>
      <c r="H40">
        <f t="shared" si="1"/>
        <v>63.07</v>
      </c>
      <c r="I40" s="14">
        <f t="shared" si="2"/>
        <v>0.32700000000000001</v>
      </c>
    </row>
    <row r="41" spans="1:9" x14ac:dyDescent="0.25">
      <c r="A41" t="s">
        <v>43</v>
      </c>
      <c r="B41" t="s">
        <v>45</v>
      </c>
      <c r="C41" s="10"/>
      <c r="D41" s="10"/>
      <c r="E41" s="10">
        <v>19973.689999999999</v>
      </c>
      <c r="F41" s="10"/>
      <c r="G41" s="10">
        <f t="shared" si="0"/>
        <v>19973.689999999999</v>
      </c>
      <c r="H41">
        <f t="shared" si="1"/>
        <v>9.74</v>
      </c>
      <c r="I41" s="14">
        <f t="shared" ref="I41" si="3">ROUND(G41/$G$43,3)</f>
        <v>5.0999999999999997E-2</v>
      </c>
    </row>
    <row r="42" spans="1:9" x14ac:dyDescent="0.25">
      <c r="A42" t="s">
        <v>43</v>
      </c>
      <c r="B42" t="s">
        <v>46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>ROUND(G42/$G$43,3)</f>
        <v>0</v>
      </c>
    </row>
    <row r="43" spans="1:9" x14ac:dyDescent="0.25">
      <c r="A43" s="3" t="s">
        <v>253</v>
      </c>
      <c r="B43" s="3"/>
      <c r="C43" s="8">
        <f t="shared" ref="C43:H43" si="4">SUM(C8:C42)</f>
        <v>256670</v>
      </c>
      <c r="D43" s="8">
        <f t="shared" si="4"/>
        <v>200</v>
      </c>
      <c r="E43" s="8">
        <f t="shared" si="4"/>
        <v>137714.63</v>
      </c>
      <c r="F43" s="8">
        <f t="shared" si="4"/>
        <v>433</v>
      </c>
      <c r="G43" s="8">
        <f t="shared" si="4"/>
        <v>395017.63000000006</v>
      </c>
      <c r="H43" s="3">
        <f t="shared" si="4"/>
        <v>192.69000000000003</v>
      </c>
    </row>
    <row r="44" spans="1:9" x14ac:dyDescent="0.25">
      <c r="A44" s="3" t="s">
        <v>14</v>
      </c>
      <c r="B44" s="3"/>
      <c r="C44" s="13">
        <f>ROUND(C43/G43,2)</f>
        <v>0.65</v>
      </c>
      <c r="D44" s="13">
        <f>ROUND(D43/G43,2)</f>
        <v>0</v>
      </c>
      <c r="E44" s="13">
        <f>ROUND(E43/G43,2)</f>
        <v>0.35</v>
      </c>
      <c r="F44" s="13">
        <f>ROUND(F43/G43,2)</f>
        <v>0</v>
      </c>
      <c r="G44" s="3"/>
      <c r="H44" s="3"/>
    </row>
    <row r="45" spans="1:9" x14ac:dyDescent="0.25">
      <c r="A45" s="3" t="s">
        <v>47</v>
      </c>
      <c r="B45" s="3"/>
      <c r="C45" s="3"/>
      <c r="D45" s="3"/>
      <c r="E45" s="3"/>
      <c r="F45" s="3"/>
      <c r="G45" s="3"/>
      <c r="H45" s="3"/>
    </row>
    <row r="46" spans="1:9" x14ac:dyDescent="0.25">
      <c r="A46" s="3" t="s">
        <v>48</v>
      </c>
      <c r="B46" s="3"/>
      <c r="C46" s="8">
        <v>127580</v>
      </c>
      <c r="D46" s="8">
        <v>200</v>
      </c>
      <c r="E46" s="8">
        <v>117740.94</v>
      </c>
      <c r="F46" s="8">
        <v>0</v>
      </c>
      <c r="G46" s="8">
        <f>SUM(C46:F46)</f>
        <v>245520.94</v>
      </c>
      <c r="H46" s="8">
        <f>ROUND(G46/2050,2)</f>
        <v>119.77</v>
      </c>
    </row>
    <row r="47" spans="1:9" x14ac:dyDescent="0.25">
      <c r="A47" s="3" t="s">
        <v>49</v>
      </c>
      <c r="B47" s="3"/>
      <c r="C47" s="8">
        <v>129090</v>
      </c>
      <c r="D47" s="8">
        <v>0</v>
      </c>
      <c r="E47" s="8">
        <v>19973.689999999999</v>
      </c>
      <c r="F47" s="8">
        <v>200</v>
      </c>
      <c r="G47" s="8">
        <f>SUM(C47:F47)</f>
        <v>149263.69</v>
      </c>
      <c r="H47" s="8">
        <f>ROUND(G47/2050,2)</f>
        <v>72.81</v>
      </c>
    </row>
    <row r="48" spans="1:9" x14ac:dyDescent="0.25">
      <c r="A48" s="3" t="s">
        <v>50</v>
      </c>
      <c r="B48" s="3"/>
      <c r="C48" s="8">
        <v>0</v>
      </c>
      <c r="D48" s="8">
        <v>0</v>
      </c>
      <c r="E48" s="8">
        <v>0</v>
      </c>
      <c r="F48" s="8">
        <v>233</v>
      </c>
      <c r="G48" s="8">
        <f>SUM(C48:F48)</f>
        <v>233</v>
      </c>
      <c r="H48" s="8">
        <f>ROUND(G48/2050,2)</f>
        <v>0.11</v>
      </c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 t="s">
        <v>2</v>
      </c>
      <c r="D50" s="3">
        <v>2022</v>
      </c>
      <c r="E50" s="3" t="s">
        <v>51</v>
      </c>
      <c r="F50" s="3"/>
      <c r="G50" s="3"/>
      <c r="H50" s="3"/>
    </row>
    <row r="51" spans="1:8" x14ac:dyDescent="0.25">
      <c r="A51" s="3" t="s">
        <v>52</v>
      </c>
      <c r="B51" s="3"/>
      <c r="C51" s="13">
        <v>0.63859999999999995</v>
      </c>
      <c r="D51" s="13">
        <v>0.73509999999999998</v>
      </c>
      <c r="E51" s="13">
        <v>0.77659999999999996</v>
      </c>
      <c r="F51" s="3"/>
      <c r="G51" s="3"/>
      <c r="H51" s="3"/>
    </row>
    <row r="52" spans="1:8" x14ac:dyDescent="0.25">
      <c r="A52" s="3" t="s">
        <v>53</v>
      </c>
      <c r="B52" s="3"/>
      <c r="C52" s="13">
        <v>0.63859999999999995</v>
      </c>
      <c r="D52" s="13">
        <v>0.69410000000000005</v>
      </c>
      <c r="E52" s="13">
        <v>0.75900000000000001</v>
      </c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 t="s">
        <v>256</v>
      </c>
      <c r="B54" s="3"/>
      <c r="C54" s="3" t="s">
        <v>2</v>
      </c>
      <c r="D54" s="3" t="s">
        <v>68</v>
      </c>
      <c r="E54" s="3" t="s">
        <v>55</v>
      </c>
      <c r="F54" s="3" t="s">
        <v>254</v>
      </c>
      <c r="G54" s="3"/>
      <c r="H54" s="3"/>
    </row>
    <row r="55" spans="1:8" x14ac:dyDescent="0.25">
      <c r="A55" s="3" t="s">
        <v>56</v>
      </c>
      <c r="B55" s="3"/>
      <c r="C55" s="3"/>
      <c r="D55" s="3">
        <v>76.959999999999994</v>
      </c>
      <c r="E55" s="3">
        <v>81.5</v>
      </c>
      <c r="F55" s="3">
        <v>50.61</v>
      </c>
      <c r="G55" s="3"/>
      <c r="H55" s="3"/>
    </row>
    <row r="56" spans="1:8" x14ac:dyDescent="0.25">
      <c r="A56" s="3" t="s">
        <v>57</v>
      </c>
      <c r="B56" s="3"/>
      <c r="C56" s="3"/>
      <c r="D56" s="3">
        <v>41.86</v>
      </c>
      <c r="E56" s="3">
        <v>58.24</v>
      </c>
      <c r="F56" s="3">
        <v>57.37</v>
      </c>
      <c r="G56" s="3"/>
      <c r="H56" s="3"/>
    </row>
    <row r="57" spans="1:8" x14ac:dyDescent="0.25">
      <c r="A57" s="3" t="s">
        <v>58</v>
      </c>
      <c r="B57" s="3"/>
      <c r="C57" s="3"/>
      <c r="D57" s="3">
        <v>234.7</v>
      </c>
      <c r="E57" s="3">
        <v>261.52999999999997</v>
      </c>
      <c r="F57" s="3">
        <v>249.57</v>
      </c>
      <c r="G57" s="3"/>
      <c r="H57" s="3"/>
    </row>
    <row r="58" spans="1:8" x14ac:dyDescent="0.25">
      <c r="A58" s="3" t="s">
        <v>59</v>
      </c>
      <c r="B58" s="3"/>
      <c r="C58" s="3"/>
      <c r="D58" s="3">
        <v>98.02</v>
      </c>
      <c r="E58" s="3">
        <v>103.11</v>
      </c>
      <c r="F58" s="3">
        <v>71.400000000000006</v>
      </c>
      <c r="G58" s="3"/>
      <c r="H5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I57"/>
  <sheetViews>
    <sheetView topLeftCell="A27" workbookViewId="0">
      <selection activeCell="G54" sqref="G54:G57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19.28515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166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2587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38100</v>
      </c>
      <c r="D9" s="10"/>
      <c r="E9" s="10"/>
      <c r="F9" s="10"/>
      <c r="G9" s="10">
        <f t="shared" ref="G9:G41" si="0">SUM(C9:F9)</f>
        <v>38100</v>
      </c>
      <c r="H9">
        <f t="shared" ref="H9:H41" si="1">ROUND(G9/2587,2)</f>
        <v>14.73</v>
      </c>
      <c r="I9" s="14">
        <f t="shared" ref="I9:I40" si="2">ROUND(G9/$G$42,3)</f>
        <v>7.6999999999999999E-2</v>
      </c>
    </row>
    <row r="10" spans="1:9" x14ac:dyDescent="0.25">
      <c r="A10" t="s">
        <v>19</v>
      </c>
      <c r="B10" t="s">
        <v>21</v>
      </c>
      <c r="C10" s="10">
        <v>58810</v>
      </c>
      <c r="D10" s="10"/>
      <c r="E10" s="10"/>
      <c r="F10" s="10"/>
      <c r="G10" s="10">
        <f t="shared" si="0"/>
        <v>58810</v>
      </c>
      <c r="H10">
        <f t="shared" si="1"/>
        <v>22.73</v>
      </c>
      <c r="I10" s="14">
        <f t="shared" si="2"/>
        <v>0.11899999999999999</v>
      </c>
    </row>
    <row r="11" spans="1:9" x14ac:dyDescent="0.25">
      <c r="A11" t="s">
        <v>19</v>
      </c>
      <c r="B11" t="s">
        <v>76</v>
      </c>
      <c r="C11" s="10"/>
      <c r="D11" s="10"/>
      <c r="E11" s="10">
        <v>37</v>
      </c>
      <c r="F11" s="10"/>
      <c r="G11" s="10">
        <f t="shared" si="0"/>
        <v>37</v>
      </c>
      <c r="H11">
        <f t="shared" si="1"/>
        <v>0.01</v>
      </c>
      <c r="I11" s="14">
        <f t="shared" si="2"/>
        <v>0</v>
      </c>
    </row>
    <row r="12" spans="1:9" x14ac:dyDescent="0.25">
      <c r="A12" t="s">
        <v>19</v>
      </c>
      <c r="B12" t="s">
        <v>41</v>
      </c>
      <c r="C12" s="10"/>
      <c r="D12" s="10"/>
      <c r="E12" s="10">
        <v>88</v>
      </c>
      <c r="F12" s="10"/>
      <c r="G12" s="10">
        <f t="shared" si="0"/>
        <v>88</v>
      </c>
      <c r="H12">
        <f t="shared" si="1"/>
        <v>0.03</v>
      </c>
      <c r="I12" s="14">
        <f t="shared" si="2"/>
        <v>0</v>
      </c>
    </row>
    <row r="13" spans="1:9" x14ac:dyDescent="0.25">
      <c r="A13" t="s">
        <v>19</v>
      </c>
      <c r="B13" t="s">
        <v>22</v>
      </c>
      <c r="C13" s="10"/>
      <c r="D13" s="10"/>
      <c r="E13" s="10">
        <v>800</v>
      </c>
      <c r="F13" s="10"/>
      <c r="G13" s="10">
        <f t="shared" si="0"/>
        <v>800</v>
      </c>
      <c r="H13">
        <f t="shared" si="1"/>
        <v>0.31</v>
      </c>
      <c r="I13" s="14">
        <f t="shared" si="2"/>
        <v>2E-3</v>
      </c>
    </row>
    <row r="14" spans="1:9" x14ac:dyDescent="0.25">
      <c r="A14" t="s">
        <v>19</v>
      </c>
      <c r="B14" t="s">
        <v>23</v>
      </c>
      <c r="C14" s="10"/>
      <c r="D14" s="10"/>
      <c r="E14" s="10">
        <v>15220</v>
      </c>
      <c r="F14" s="10"/>
      <c r="G14" s="10">
        <f t="shared" si="0"/>
        <v>15220</v>
      </c>
      <c r="H14">
        <f t="shared" si="1"/>
        <v>5.88</v>
      </c>
      <c r="I14" s="14">
        <f t="shared" si="2"/>
        <v>3.1E-2</v>
      </c>
    </row>
    <row r="15" spans="1:9" x14ac:dyDescent="0.25">
      <c r="A15" t="s">
        <v>19</v>
      </c>
      <c r="B15" t="s">
        <v>24</v>
      </c>
      <c r="C15" s="10">
        <v>62340</v>
      </c>
      <c r="D15" s="10"/>
      <c r="E15" s="10"/>
      <c r="F15" s="10"/>
      <c r="G15" s="10">
        <f t="shared" si="0"/>
        <v>62340</v>
      </c>
      <c r="H15">
        <f t="shared" si="1"/>
        <v>24.1</v>
      </c>
      <c r="I15" s="14">
        <f t="shared" si="2"/>
        <v>0.126</v>
      </c>
    </row>
    <row r="16" spans="1:9" x14ac:dyDescent="0.25">
      <c r="A16" t="s">
        <v>19</v>
      </c>
      <c r="B16" t="s">
        <v>66</v>
      </c>
      <c r="C16" s="10"/>
      <c r="D16" s="10"/>
      <c r="E16" s="10">
        <v>1660</v>
      </c>
      <c r="F16" s="10"/>
      <c r="G16" s="10">
        <f t="shared" si="0"/>
        <v>1660</v>
      </c>
      <c r="H16">
        <f t="shared" si="1"/>
        <v>0.64</v>
      </c>
      <c r="I16" s="14">
        <f t="shared" si="2"/>
        <v>3.0000000000000001E-3</v>
      </c>
    </row>
    <row r="17" spans="1:9" x14ac:dyDescent="0.25">
      <c r="A17" t="s">
        <v>19</v>
      </c>
      <c r="B17" t="s">
        <v>25</v>
      </c>
      <c r="C17" s="10">
        <v>85150</v>
      </c>
      <c r="D17" s="10"/>
      <c r="E17" s="10"/>
      <c r="F17" s="10">
        <v>1120</v>
      </c>
      <c r="G17" s="10">
        <f t="shared" si="0"/>
        <v>86270</v>
      </c>
      <c r="H17">
        <f t="shared" si="1"/>
        <v>33.35</v>
      </c>
      <c r="I17" s="14">
        <f t="shared" si="2"/>
        <v>0.17399999999999999</v>
      </c>
    </row>
    <row r="18" spans="1:9" x14ac:dyDescent="0.25">
      <c r="A18" t="s">
        <v>19</v>
      </c>
      <c r="B18" t="s">
        <v>26</v>
      </c>
      <c r="C18" s="10"/>
      <c r="D18" s="10"/>
      <c r="E18" s="10">
        <v>155</v>
      </c>
      <c r="F18" s="10"/>
      <c r="G18" s="10">
        <f t="shared" si="0"/>
        <v>155</v>
      </c>
      <c r="H18">
        <f t="shared" si="1"/>
        <v>0.06</v>
      </c>
      <c r="I18" s="14">
        <f t="shared" si="2"/>
        <v>0</v>
      </c>
    </row>
    <row r="19" spans="1:9" x14ac:dyDescent="0.25">
      <c r="A19" t="s">
        <v>19</v>
      </c>
      <c r="B19" t="s">
        <v>27</v>
      </c>
      <c r="C19" s="10"/>
      <c r="D19" s="10"/>
      <c r="E19" s="10">
        <v>377</v>
      </c>
      <c r="F19" s="10"/>
      <c r="G19" s="10">
        <f t="shared" si="0"/>
        <v>377</v>
      </c>
      <c r="H19">
        <f t="shared" si="1"/>
        <v>0.15</v>
      </c>
      <c r="I19" s="14">
        <f t="shared" si="2"/>
        <v>1E-3</v>
      </c>
    </row>
    <row r="20" spans="1:9" x14ac:dyDescent="0.25">
      <c r="A20" t="s">
        <v>19</v>
      </c>
      <c r="B20" t="s">
        <v>28</v>
      </c>
      <c r="C20" s="10"/>
      <c r="D20" s="10"/>
      <c r="E20" s="10">
        <v>87</v>
      </c>
      <c r="F20" s="10"/>
      <c r="G20" s="10">
        <f t="shared" si="0"/>
        <v>87</v>
      </c>
      <c r="H20">
        <f t="shared" si="1"/>
        <v>0.03</v>
      </c>
      <c r="I20" s="14">
        <f t="shared" si="2"/>
        <v>0</v>
      </c>
    </row>
    <row r="21" spans="1:9" x14ac:dyDescent="0.25">
      <c r="A21" t="s">
        <v>19</v>
      </c>
      <c r="B21" t="s">
        <v>29</v>
      </c>
      <c r="C21" s="10"/>
      <c r="D21" s="10"/>
      <c r="E21" s="10">
        <v>2450</v>
      </c>
      <c r="F21" s="10"/>
      <c r="G21" s="10">
        <f t="shared" si="0"/>
        <v>2450</v>
      </c>
      <c r="H21">
        <f t="shared" si="1"/>
        <v>0.95</v>
      </c>
      <c r="I21" s="14">
        <f t="shared" si="2"/>
        <v>5.0000000000000001E-3</v>
      </c>
    </row>
    <row r="22" spans="1:9" x14ac:dyDescent="0.25">
      <c r="A22" t="s">
        <v>19</v>
      </c>
      <c r="B22" t="s">
        <v>30</v>
      </c>
      <c r="C22" s="10"/>
      <c r="D22" s="10"/>
      <c r="E22" s="10">
        <v>320</v>
      </c>
      <c r="F22" s="10"/>
      <c r="G22" s="10">
        <f t="shared" si="0"/>
        <v>320</v>
      </c>
      <c r="H22">
        <f t="shared" si="1"/>
        <v>0.12</v>
      </c>
      <c r="I22" s="14">
        <f t="shared" si="2"/>
        <v>1E-3</v>
      </c>
    </row>
    <row r="23" spans="1:9" x14ac:dyDescent="0.25">
      <c r="A23" t="s">
        <v>19</v>
      </c>
      <c r="B23" t="s">
        <v>31</v>
      </c>
      <c r="C23" s="10"/>
      <c r="D23" s="10"/>
      <c r="E23" s="10">
        <v>170</v>
      </c>
      <c r="F23" s="10"/>
      <c r="G23" s="10">
        <f t="shared" si="0"/>
        <v>170</v>
      </c>
      <c r="H23">
        <f t="shared" si="1"/>
        <v>7.0000000000000007E-2</v>
      </c>
      <c r="I23" s="14">
        <f t="shared" si="2"/>
        <v>0</v>
      </c>
    </row>
    <row r="24" spans="1:9" x14ac:dyDescent="0.25">
      <c r="A24" t="s">
        <v>19</v>
      </c>
      <c r="B24" t="s">
        <v>32</v>
      </c>
      <c r="C24" s="10"/>
      <c r="D24" s="10"/>
      <c r="E24" s="10">
        <v>840</v>
      </c>
      <c r="F24" s="10"/>
      <c r="G24" s="10">
        <f t="shared" si="0"/>
        <v>840</v>
      </c>
      <c r="H24">
        <f t="shared" si="1"/>
        <v>0.32</v>
      </c>
      <c r="I24" s="14">
        <f t="shared" si="2"/>
        <v>2E-3</v>
      </c>
    </row>
    <row r="25" spans="1:9" x14ac:dyDescent="0.25">
      <c r="A25" t="s">
        <v>19</v>
      </c>
      <c r="B25" t="s">
        <v>42</v>
      </c>
      <c r="C25" s="10"/>
      <c r="D25" s="10">
        <v>225</v>
      </c>
      <c r="E25" s="10"/>
      <c r="F25" s="10"/>
      <c r="G25" s="10">
        <f t="shared" si="0"/>
        <v>225</v>
      </c>
      <c r="H25">
        <f t="shared" si="1"/>
        <v>0.09</v>
      </c>
      <c r="I25" s="14">
        <f t="shared" si="2"/>
        <v>0</v>
      </c>
    </row>
    <row r="26" spans="1:9" x14ac:dyDescent="0.25">
      <c r="A26" t="s">
        <v>19</v>
      </c>
      <c r="B26" t="s">
        <v>67</v>
      </c>
      <c r="C26" s="10"/>
      <c r="D26" s="10"/>
      <c r="E26" s="10">
        <v>1650</v>
      </c>
      <c r="F26" s="10"/>
      <c r="G26" s="10">
        <f t="shared" si="0"/>
        <v>1650</v>
      </c>
      <c r="H26">
        <f t="shared" si="1"/>
        <v>0.64</v>
      </c>
      <c r="I26" s="14">
        <f t="shared" si="2"/>
        <v>3.0000000000000001E-3</v>
      </c>
    </row>
    <row r="27" spans="1:9" x14ac:dyDescent="0.25">
      <c r="A27" t="s">
        <v>19</v>
      </c>
      <c r="B27" t="s">
        <v>34</v>
      </c>
      <c r="C27" s="10"/>
      <c r="D27" s="10"/>
      <c r="E27" s="10">
        <v>2270</v>
      </c>
      <c r="F27" s="10"/>
      <c r="G27" s="10">
        <f t="shared" si="0"/>
        <v>2270</v>
      </c>
      <c r="H27">
        <f t="shared" si="1"/>
        <v>0.88</v>
      </c>
      <c r="I27" s="14">
        <f t="shared" si="2"/>
        <v>5.0000000000000001E-3</v>
      </c>
    </row>
    <row r="28" spans="1:9" x14ac:dyDescent="0.25">
      <c r="A28" t="s">
        <v>19</v>
      </c>
      <c r="B28" t="s">
        <v>35</v>
      </c>
      <c r="C28" s="10"/>
      <c r="D28" s="10"/>
      <c r="E28" s="10">
        <v>1980</v>
      </c>
      <c r="F28" s="10"/>
      <c r="G28" s="10">
        <f t="shared" si="0"/>
        <v>1980</v>
      </c>
      <c r="H28">
        <f t="shared" si="1"/>
        <v>0.77</v>
      </c>
      <c r="I28" s="14">
        <f t="shared" si="2"/>
        <v>4.0000000000000001E-3</v>
      </c>
    </row>
    <row r="29" spans="1:9" x14ac:dyDescent="0.25">
      <c r="A29" t="s">
        <v>19</v>
      </c>
      <c r="B29" t="s">
        <v>40</v>
      </c>
      <c r="C29" s="10"/>
      <c r="D29" s="10"/>
      <c r="E29" s="10">
        <v>6720</v>
      </c>
      <c r="F29" s="10"/>
      <c r="G29" s="10">
        <f t="shared" si="0"/>
        <v>6720</v>
      </c>
      <c r="H29">
        <f t="shared" si="1"/>
        <v>2.6</v>
      </c>
      <c r="I29" s="14">
        <f t="shared" si="2"/>
        <v>1.4E-2</v>
      </c>
    </row>
    <row r="30" spans="1:9" x14ac:dyDescent="0.25">
      <c r="A30" t="s">
        <v>19</v>
      </c>
      <c r="B30" t="s">
        <v>36</v>
      </c>
      <c r="C30" s="10"/>
      <c r="D30" s="10"/>
      <c r="E30" s="10">
        <v>40100</v>
      </c>
      <c r="F30" s="10"/>
      <c r="G30" s="10">
        <f t="shared" si="0"/>
        <v>40100</v>
      </c>
      <c r="H30">
        <f t="shared" si="1"/>
        <v>15.5</v>
      </c>
      <c r="I30" s="14">
        <f t="shared" si="2"/>
        <v>8.1000000000000003E-2</v>
      </c>
    </row>
    <row r="31" spans="1:9" x14ac:dyDescent="0.25">
      <c r="A31" t="s">
        <v>19</v>
      </c>
      <c r="B31" t="s">
        <v>37</v>
      </c>
      <c r="C31" s="10"/>
      <c r="D31" s="10"/>
      <c r="E31" s="10">
        <v>2320</v>
      </c>
      <c r="F31" s="10"/>
      <c r="G31" s="10">
        <f t="shared" si="0"/>
        <v>2320</v>
      </c>
      <c r="H31">
        <f t="shared" si="1"/>
        <v>0.9</v>
      </c>
      <c r="I31" s="14">
        <f t="shared" si="2"/>
        <v>5.0000000000000001E-3</v>
      </c>
    </row>
    <row r="32" spans="1:9" x14ac:dyDescent="0.25">
      <c r="A32" t="s">
        <v>19</v>
      </c>
      <c r="B32" t="s">
        <v>38</v>
      </c>
      <c r="C32" s="10"/>
      <c r="D32" s="10"/>
      <c r="E32" s="10">
        <v>8400</v>
      </c>
      <c r="F32" s="10"/>
      <c r="G32" s="10">
        <f t="shared" si="0"/>
        <v>8400</v>
      </c>
      <c r="H32">
        <f t="shared" si="1"/>
        <v>3.25</v>
      </c>
      <c r="I32" s="14">
        <f t="shared" si="2"/>
        <v>1.7000000000000001E-2</v>
      </c>
    </row>
    <row r="33" spans="1:9" x14ac:dyDescent="0.25">
      <c r="A33" t="s">
        <v>19</v>
      </c>
      <c r="B33" t="s">
        <v>39</v>
      </c>
      <c r="C33" s="10"/>
      <c r="D33" s="10"/>
      <c r="E33" s="10"/>
      <c r="F33" s="10">
        <v>7580</v>
      </c>
      <c r="G33" s="10">
        <f t="shared" si="0"/>
        <v>7580</v>
      </c>
      <c r="H33">
        <f t="shared" si="1"/>
        <v>2.93</v>
      </c>
      <c r="I33" s="14">
        <f t="shared" si="2"/>
        <v>1.4999999999999999E-2</v>
      </c>
    </row>
    <row r="34" spans="1:9" x14ac:dyDescent="0.25">
      <c r="A34" t="s">
        <v>19</v>
      </c>
      <c r="B34" t="s">
        <v>79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33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19</v>
      </c>
      <c r="B36" t="s">
        <v>64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43</v>
      </c>
      <c r="B37" t="s">
        <v>44</v>
      </c>
      <c r="C37" s="10">
        <v>136390</v>
      </c>
      <c r="D37" s="10"/>
      <c r="E37" s="10"/>
      <c r="F37" s="10"/>
      <c r="G37" s="10">
        <f t="shared" si="0"/>
        <v>136390</v>
      </c>
      <c r="H37">
        <f t="shared" si="1"/>
        <v>52.72</v>
      </c>
      <c r="I37" s="14">
        <f t="shared" si="2"/>
        <v>0.27500000000000002</v>
      </c>
    </row>
    <row r="38" spans="1:9" x14ac:dyDescent="0.25">
      <c r="A38" t="s">
        <v>43</v>
      </c>
      <c r="B38" t="s">
        <v>45</v>
      </c>
      <c r="C38" s="10"/>
      <c r="D38" s="10"/>
      <c r="E38" s="10">
        <v>19920</v>
      </c>
      <c r="F38" s="10"/>
      <c r="G38" s="10">
        <f t="shared" si="0"/>
        <v>19920</v>
      </c>
      <c r="H38">
        <f t="shared" si="1"/>
        <v>7.7</v>
      </c>
      <c r="I38" s="14">
        <f t="shared" si="2"/>
        <v>0.04</v>
      </c>
    </row>
    <row r="39" spans="1:9" x14ac:dyDescent="0.25">
      <c r="A39" t="s">
        <v>43</v>
      </c>
      <c r="B39" t="s">
        <v>46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15</v>
      </c>
      <c r="B40" t="s">
        <v>18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t="s">
        <v>15</v>
      </c>
      <c r="B41" t="s">
        <v>63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ROUND(G41/$G$42,3)</f>
        <v>0</v>
      </c>
    </row>
    <row r="42" spans="1:9" x14ac:dyDescent="0.25">
      <c r="A42" s="3" t="s">
        <v>253</v>
      </c>
      <c r="B42" s="3"/>
      <c r="C42" s="8">
        <f t="shared" ref="C42:H42" si="4">SUM(C8:C41)</f>
        <v>380790</v>
      </c>
      <c r="D42" s="8">
        <f t="shared" si="4"/>
        <v>225</v>
      </c>
      <c r="E42" s="8">
        <f t="shared" si="4"/>
        <v>105564</v>
      </c>
      <c r="F42" s="8">
        <f t="shared" si="4"/>
        <v>8700</v>
      </c>
      <c r="G42" s="8">
        <f t="shared" si="4"/>
        <v>495279</v>
      </c>
      <c r="H42" s="3">
        <f t="shared" si="4"/>
        <v>191.46</v>
      </c>
    </row>
    <row r="43" spans="1:9" x14ac:dyDescent="0.25">
      <c r="A43" s="3" t="s">
        <v>14</v>
      </c>
      <c r="B43" s="3"/>
      <c r="C43" s="13">
        <f>ROUND(C42/G42,2)</f>
        <v>0.77</v>
      </c>
      <c r="D43" s="13">
        <f>ROUND(D42/G42,2)</f>
        <v>0</v>
      </c>
      <c r="E43" s="13">
        <f>ROUND(E42/G42,2)</f>
        <v>0.21</v>
      </c>
      <c r="F43" s="13">
        <f>ROUND(F42/G42,2)</f>
        <v>0.02</v>
      </c>
      <c r="G43" s="3"/>
      <c r="H43" s="3"/>
    </row>
    <row r="44" spans="1:9" x14ac:dyDescent="0.25">
      <c r="A44" s="3" t="s">
        <v>47</v>
      </c>
      <c r="B44" s="3"/>
      <c r="C44" s="3"/>
      <c r="D44" s="3"/>
      <c r="E44" s="3"/>
      <c r="F44" s="3"/>
      <c r="G44" s="3"/>
      <c r="H44" s="3"/>
    </row>
    <row r="45" spans="1:9" x14ac:dyDescent="0.25">
      <c r="A45" s="3" t="s">
        <v>48</v>
      </c>
      <c r="B45" s="3"/>
      <c r="C45" s="8">
        <v>244400</v>
      </c>
      <c r="D45" s="8">
        <v>225</v>
      </c>
      <c r="E45" s="8">
        <v>85644</v>
      </c>
      <c r="F45" s="8">
        <v>8700</v>
      </c>
      <c r="G45" s="8">
        <f>SUM(C45:F45)</f>
        <v>338969</v>
      </c>
      <c r="H45" s="3">
        <f>ROUND(G45/2587,2)</f>
        <v>131.03</v>
      </c>
    </row>
    <row r="46" spans="1:9" x14ac:dyDescent="0.25">
      <c r="A46" s="3" t="s">
        <v>49</v>
      </c>
      <c r="B46" s="3"/>
      <c r="C46" s="8">
        <v>136390</v>
      </c>
      <c r="D46" s="8">
        <v>0</v>
      </c>
      <c r="E46" s="8">
        <v>19920</v>
      </c>
      <c r="F46" s="8">
        <v>0</v>
      </c>
      <c r="G46" s="8">
        <f>SUM(C46:F46)</f>
        <v>156310</v>
      </c>
      <c r="H46" s="3">
        <f>ROUND(G46/2587,2)</f>
        <v>60.42</v>
      </c>
    </row>
    <row r="47" spans="1:9" x14ac:dyDescent="0.25">
      <c r="A47" s="3" t="s">
        <v>50</v>
      </c>
      <c r="B47" s="3"/>
      <c r="C47" s="8">
        <v>0</v>
      </c>
      <c r="D47" s="8">
        <v>0</v>
      </c>
      <c r="E47" s="8">
        <v>0</v>
      </c>
      <c r="F47" s="8">
        <v>0</v>
      </c>
      <c r="G47" s="8">
        <f>SUM(C47:F47)</f>
        <v>0</v>
      </c>
      <c r="H47" s="3">
        <f>ROUND(G47/2587,2)</f>
        <v>0</v>
      </c>
    </row>
    <row r="49" spans="1:7" x14ac:dyDescent="0.25">
      <c r="A49" s="3"/>
      <c r="B49" s="3"/>
      <c r="C49" s="3" t="s">
        <v>2</v>
      </c>
      <c r="D49" s="3">
        <v>2022</v>
      </c>
      <c r="E49" s="3" t="s">
        <v>51</v>
      </c>
    </row>
    <row r="50" spans="1:7" x14ac:dyDescent="0.25">
      <c r="A50" s="3" t="s">
        <v>52</v>
      </c>
      <c r="B50" s="3"/>
      <c r="C50" s="13">
        <v>0.71540000000000004</v>
      </c>
      <c r="D50" s="13">
        <v>0.72540000000000004</v>
      </c>
      <c r="E50" s="13">
        <v>0.77659999999999996</v>
      </c>
    </row>
    <row r="51" spans="1:7" x14ac:dyDescent="0.25">
      <c r="A51" s="3" t="s">
        <v>53</v>
      </c>
      <c r="B51" s="3"/>
      <c r="C51" s="13">
        <v>0.70699999999999996</v>
      </c>
      <c r="D51" s="13">
        <v>0.71460000000000001</v>
      </c>
      <c r="E51" s="13">
        <v>0.75900000000000001</v>
      </c>
    </row>
    <row r="53" spans="1:7" x14ac:dyDescent="0.25">
      <c r="A53" s="3" t="s">
        <v>256</v>
      </c>
      <c r="B53" s="3"/>
      <c r="C53" s="3" t="s">
        <v>2</v>
      </c>
      <c r="D53" s="3" t="s">
        <v>167</v>
      </c>
      <c r="E53" s="3" t="s">
        <v>55</v>
      </c>
      <c r="F53" s="3" t="s">
        <v>254</v>
      </c>
      <c r="G53" s="3"/>
    </row>
    <row r="54" spans="1:7" x14ac:dyDescent="0.25">
      <c r="A54" s="3" t="s">
        <v>56</v>
      </c>
      <c r="B54" s="3"/>
      <c r="C54" s="3"/>
      <c r="D54" s="3">
        <v>98.15</v>
      </c>
      <c r="E54" s="3">
        <v>81.5</v>
      </c>
      <c r="F54" s="3">
        <v>50.61</v>
      </c>
      <c r="G54" s="3"/>
    </row>
    <row r="55" spans="1:7" x14ac:dyDescent="0.25">
      <c r="A55" s="3" t="s">
        <v>57</v>
      </c>
      <c r="B55" s="3"/>
      <c r="C55" s="3"/>
      <c r="D55" s="3">
        <v>67.290000000000006</v>
      </c>
      <c r="E55" s="3">
        <v>58.24</v>
      </c>
      <c r="F55" s="3">
        <v>57.37</v>
      </c>
      <c r="G55" s="3"/>
    </row>
    <row r="56" spans="1:7" x14ac:dyDescent="0.25">
      <c r="A56" s="3" t="s">
        <v>58</v>
      </c>
      <c r="B56" s="3"/>
      <c r="C56" s="3"/>
      <c r="D56" s="3">
        <v>250.46</v>
      </c>
      <c r="E56" s="3">
        <v>261.52999999999997</v>
      </c>
      <c r="F56" s="3">
        <v>249.57</v>
      </c>
      <c r="G56" s="3"/>
    </row>
    <row r="57" spans="1:7" x14ac:dyDescent="0.25">
      <c r="A57" s="3" t="s">
        <v>59</v>
      </c>
      <c r="B57" s="3"/>
      <c r="C57" s="3"/>
      <c r="D57" s="3">
        <v>114.18</v>
      </c>
      <c r="E57" s="3">
        <v>103.11</v>
      </c>
      <c r="F57" s="3">
        <v>71.400000000000006</v>
      </c>
      <c r="G5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I54"/>
  <sheetViews>
    <sheetView topLeftCell="A27" workbookViewId="0">
      <selection activeCell="G51" sqref="G51:G54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1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168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2782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41920</v>
      </c>
      <c r="D9" s="10"/>
      <c r="E9" s="10"/>
      <c r="F9" s="10"/>
      <c r="G9" s="10">
        <f t="shared" ref="G9:G38" si="0">SUM(C9:F9)</f>
        <v>41920</v>
      </c>
      <c r="H9">
        <f t="shared" ref="H9:H38" si="1">ROUND(G9/2782,2)</f>
        <v>15.07</v>
      </c>
      <c r="I9" s="14">
        <f t="shared" ref="I9:I38" si="2">ROUND(G9/$G$39,3)</f>
        <v>8.1000000000000003E-2</v>
      </c>
    </row>
    <row r="10" spans="1:9" x14ac:dyDescent="0.25">
      <c r="A10" t="s">
        <v>19</v>
      </c>
      <c r="B10" t="s">
        <v>21</v>
      </c>
      <c r="C10" s="10">
        <v>56430</v>
      </c>
      <c r="D10" s="10"/>
      <c r="E10" s="10"/>
      <c r="F10" s="10"/>
      <c r="G10" s="10">
        <f t="shared" si="0"/>
        <v>56430</v>
      </c>
      <c r="H10">
        <f t="shared" si="1"/>
        <v>20.28</v>
      </c>
      <c r="I10" s="14">
        <f t="shared" si="2"/>
        <v>0.109</v>
      </c>
    </row>
    <row r="11" spans="1:9" x14ac:dyDescent="0.25">
      <c r="A11" t="s">
        <v>19</v>
      </c>
      <c r="B11" t="s">
        <v>41</v>
      </c>
      <c r="C11" s="10"/>
      <c r="D11" s="10"/>
      <c r="E11" s="10">
        <v>54</v>
      </c>
      <c r="F11" s="10"/>
      <c r="G11" s="10">
        <f t="shared" si="0"/>
        <v>54</v>
      </c>
      <c r="H11">
        <f t="shared" si="1"/>
        <v>0.02</v>
      </c>
      <c r="I11" s="14">
        <f t="shared" si="2"/>
        <v>0</v>
      </c>
    </row>
    <row r="12" spans="1:9" x14ac:dyDescent="0.25">
      <c r="A12" t="s">
        <v>19</v>
      </c>
      <c r="B12" t="s">
        <v>23</v>
      </c>
      <c r="C12" s="10"/>
      <c r="D12" s="10"/>
      <c r="E12" s="10">
        <v>14320</v>
      </c>
      <c r="F12" s="10"/>
      <c r="G12" s="10">
        <f t="shared" si="0"/>
        <v>14320</v>
      </c>
      <c r="H12">
        <f t="shared" si="1"/>
        <v>5.15</v>
      </c>
      <c r="I12" s="14">
        <f t="shared" si="2"/>
        <v>2.8000000000000001E-2</v>
      </c>
    </row>
    <row r="13" spans="1:9" x14ac:dyDescent="0.25">
      <c r="A13" t="s">
        <v>19</v>
      </c>
      <c r="B13" t="s">
        <v>24</v>
      </c>
      <c r="C13" s="10">
        <v>58440</v>
      </c>
      <c r="D13" s="10"/>
      <c r="E13" s="10"/>
      <c r="F13" s="10"/>
      <c r="G13" s="10">
        <f t="shared" si="0"/>
        <v>58440</v>
      </c>
      <c r="H13">
        <f t="shared" si="1"/>
        <v>21.01</v>
      </c>
      <c r="I13" s="14">
        <f t="shared" si="2"/>
        <v>0.113</v>
      </c>
    </row>
    <row r="14" spans="1:9" x14ac:dyDescent="0.25">
      <c r="A14" t="s">
        <v>19</v>
      </c>
      <c r="B14" t="s">
        <v>66</v>
      </c>
      <c r="C14" s="10"/>
      <c r="D14" s="10"/>
      <c r="E14" s="10">
        <v>2880</v>
      </c>
      <c r="F14" s="10"/>
      <c r="G14" s="10">
        <f t="shared" si="0"/>
        <v>2880</v>
      </c>
      <c r="H14">
        <f t="shared" si="1"/>
        <v>1.04</v>
      </c>
      <c r="I14" s="14">
        <f t="shared" si="2"/>
        <v>6.0000000000000001E-3</v>
      </c>
    </row>
    <row r="15" spans="1:9" x14ac:dyDescent="0.25">
      <c r="A15" t="s">
        <v>19</v>
      </c>
      <c r="B15" t="s">
        <v>25</v>
      </c>
      <c r="C15" s="10">
        <v>93920</v>
      </c>
      <c r="D15" s="10"/>
      <c r="E15" s="10"/>
      <c r="F15" s="10">
        <v>140</v>
      </c>
      <c r="G15" s="10">
        <f t="shared" si="0"/>
        <v>94060</v>
      </c>
      <c r="H15">
        <f t="shared" si="1"/>
        <v>33.81</v>
      </c>
      <c r="I15" s="14">
        <f t="shared" si="2"/>
        <v>0.182</v>
      </c>
    </row>
    <row r="16" spans="1:9" x14ac:dyDescent="0.25">
      <c r="A16" t="s">
        <v>19</v>
      </c>
      <c r="B16" t="s">
        <v>28</v>
      </c>
      <c r="C16" s="10"/>
      <c r="D16" s="10"/>
      <c r="E16" s="10">
        <v>39</v>
      </c>
      <c r="F16" s="10"/>
      <c r="G16" s="10">
        <f t="shared" si="0"/>
        <v>39</v>
      </c>
      <c r="H16">
        <f t="shared" si="1"/>
        <v>0.01</v>
      </c>
      <c r="I16" s="14">
        <f t="shared" si="2"/>
        <v>0</v>
      </c>
    </row>
    <row r="17" spans="1:9" x14ac:dyDescent="0.25">
      <c r="A17" t="s">
        <v>19</v>
      </c>
      <c r="B17" t="s">
        <v>29</v>
      </c>
      <c r="C17" s="10"/>
      <c r="D17" s="10"/>
      <c r="E17" s="10">
        <v>1470</v>
      </c>
      <c r="F17" s="10"/>
      <c r="G17" s="10">
        <f t="shared" si="0"/>
        <v>1470</v>
      </c>
      <c r="H17">
        <f t="shared" si="1"/>
        <v>0.53</v>
      </c>
      <c r="I17" s="14">
        <f t="shared" si="2"/>
        <v>3.0000000000000001E-3</v>
      </c>
    </row>
    <row r="18" spans="1:9" x14ac:dyDescent="0.25">
      <c r="A18" t="s">
        <v>19</v>
      </c>
      <c r="B18" t="s">
        <v>30</v>
      </c>
      <c r="C18" s="10"/>
      <c r="D18" s="10"/>
      <c r="E18" s="10">
        <v>370</v>
      </c>
      <c r="F18" s="10"/>
      <c r="G18" s="10">
        <f t="shared" si="0"/>
        <v>370</v>
      </c>
      <c r="H18">
        <f t="shared" si="1"/>
        <v>0.13</v>
      </c>
      <c r="I18" s="14">
        <f t="shared" si="2"/>
        <v>1E-3</v>
      </c>
    </row>
    <row r="19" spans="1:9" x14ac:dyDescent="0.25">
      <c r="A19" t="s">
        <v>19</v>
      </c>
      <c r="B19" t="s">
        <v>31</v>
      </c>
      <c r="C19" s="10"/>
      <c r="D19" s="10"/>
      <c r="E19" s="10">
        <v>450</v>
      </c>
      <c r="F19" s="10"/>
      <c r="G19" s="10">
        <f t="shared" si="0"/>
        <v>450</v>
      </c>
      <c r="H19">
        <f t="shared" si="1"/>
        <v>0.16</v>
      </c>
      <c r="I19" s="14">
        <f t="shared" si="2"/>
        <v>1E-3</v>
      </c>
    </row>
    <row r="20" spans="1:9" x14ac:dyDescent="0.25">
      <c r="A20" t="s">
        <v>19</v>
      </c>
      <c r="B20" t="s">
        <v>32</v>
      </c>
      <c r="C20" s="10"/>
      <c r="D20" s="10"/>
      <c r="E20" s="10">
        <v>960</v>
      </c>
      <c r="F20" s="10"/>
      <c r="G20" s="10">
        <f t="shared" si="0"/>
        <v>960</v>
      </c>
      <c r="H20">
        <f t="shared" si="1"/>
        <v>0.35</v>
      </c>
      <c r="I20" s="14">
        <f t="shared" si="2"/>
        <v>2E-3</v>
      </c>
    </row>
    <row r="21" spans="1:9" x14ac:dyDescent="0.25">
      <c r="A21" t="s">
        <v>19</v>
      </c>
      <c r="B21" t="s">
        <v>42</v>
      </c>
      <c r="C21" s="10"/>
      <c r="D21" s="10">
        <v>113</v>
      </c>
      <c r="E21" s="10"/>
      <c r="F21" s="10"/>
      <c r="G21" s="10">
        <f t="shared" si="0"/>
        <v>113</v>
      </c>
      <c r="H21">
        <f t="shared" si="1"/>
        <v>0.04</v>
      </c>
      <c r="I21" s="14">
        <f t="shared" si="2"/>
        <v>0</v>
      </c>
    </row>
    <row r="22" spans="1:9" x14ac:dyDescent="0.25">
      <c r="A22" t="s">
        <v>19</v>
      </c>
      <c r="B22" t="s">
        <v>33</v>
      </c>
      <c r="C22" s="10"/>
      <c r="D22" s="10">
        <v>170</v>
      </c>
      <c r="E22" s="10"/>
      <c r="F22" s="10"/>
      <c r="G22" s="10">
        <f t="shared" si="0"/>
        <v>170</v>
      </c>
      <c r="H22">
        <f t="shared" si="1"/>
        <v>0.06</v>
      </c>
      <c r="I22" s="14">
        <f t="shared" si="2"/>
        <v>0</v>
      </c>
    </row>
    <row r="23" spans="1:9" x14ac:dyDescent="0.25">
      <c r="A23" t="s">
        <v>19</v>
      </c>
      <c r="B23" t="s">
        <v>34</v>
      </c>
      <c r="C23" s="10"/>
      <c r="D23" s="10"/>
      <c r="E23" s="10">
        <v>1330</v>
      </c>
      <c r="F23" s="10"/>
      <c r="G23" s="10">
        <f t="shared" si="0"/>
        <v>1330</v>
      </c>
      <c r="H23">
        <f t="shared" si="1"/>
        <v>0.48</v>
      </c>
      <c r="I23" s="14">
        <f t="shared" si="2"/>
        <v>3.0000000000000001E-3</v>
      </c>
    </row>
    <row r="24" spans="1:9" x14ac:dyDescent="0.25">
      <c r="A24" t="s">
        <v>19</v>
      </c>
      <c r="B24" t="s">
        <v>35</v>
      </c>
      <c r="C24" s="10"/>
      <c r="D24" s="10"/>
      <c r="E24" s="10">
        <v>540</v>
      </c>
      <c r="F24" s="10"/>
      <c r="G24" s="10">
        <f t="shared" si="0"/>
        <v>540</v>
      </c>
      <c r="H24">
        <f t="shared" si="1"/>
        <v>0.19</v>
      </c>
      <c r="I24" s="14">
        <f t="shared" si="2"/>
        <v>1E-3</v>
      </c>
    </row>
    <row r="25" spans="1:9" x14ac:dyDescent="0.25">
      <c r="A25" t="s">
        <v>19</v>
      </c>
      <c r="B25" t="s">
        <v>40</v>
      </c>
      <c r="C25" s="10"/>
      <c r="D25" s="10"/>
      <c r="E25" s="10">
        <v>3550</v>
      </c>
      <c r="F25" s="10"/>
      <c r="G25" s="10">
        <f t="shared" si="0"/>
        <v>3550</v>
      </c>
      <c r="H25">
        <f t="shared" si="1"/>
        <v>1.28</v>
      </c>
      <c r="I25" s="14">
        <f t="shared" si="2"/>
        <v>7.0000000000000001E-3</v>
      </c>
    </row>
    <row r="26" spans="1:9" x14ac:dyDescent="0.25">
      <c r="A26" t="s">
        <v>19</v>
      </c>
      <c r="B26" t="s">
        <v>36</v>
      </c>
      <c r="C26" s="10"/>
      <c r="D26" s="10"/>
      <c r="E26" s="10">
        <v>24410</v>
      </c>
      <c r="F26" s="10"/>
      <c r="G26" s="10">
        <f t="shared" si="0"/>
        <v>24410</v>
      </c>
      <c r="H26">
        <f t="shared" si="1"/>
        <v>8.77</v>
      </c>
      <c r="I26" s="14">
        <f t="shared" si="2"/>
        <v>4.7E-2</v>
      </c>
    </row>
    <row r="27" spans="1:9" x14ac:dyDescent="0.25">
      <c r="A27" t="s">
        <v>19</v>
      </c>
      <c r="B27" t="s">
        <v>38</v>
      </c>
      <c r="C27" s="10"/>
      <c r="D27" s="10"/>
      <c r="E27" s="10">
        <v>9660</v>
      </c>
      <c r="F27" s="10"/>
      <c r="G27" s="10">
        <f t="shared" si="0"/>
        <v>9660</v>
      </c>
      <c r="H27">
        <f t="shared" si="1"/>
        <v>3.47</v>
      </c>
      <c r="I27" s="14">
        <f t="shared" si="2"/>
        <v>1.9E-2</v>
      </c>
    </row>
    <row r="28" spans="1:9" x14ac:dyDescent="0.25">
      <c r="A28" t="s">
        <v>19</v>
      </c>
      <c r="B28" t="s">
        <v>39</v>
      </c>
      <c r="C28" s="10"/>
      <c r="D28" s="10"/>
      <c r="E28" s="10">
        <v>41680</v>
      </c>
      <c r="F28" s="10"/>
      <c r="G28" s="10">
        <f t="shared" si="0"/>
        <v>41680</v>
      </c>
      <c r="H28">
        <f t="shared" si="1"/>
        <v>14.98</v>
      </c>
      <c r="I28" s="14">
        <f t="shared" si="2"/>
        <v>8.1000000000000003E-2</v>
      </c>
    </row>
    <row r="29" spans="1:9" x14ac:dyDescent="0.25">
      <c r="A29" t="s">
        <v>19</v>
      </c>
      <c r="B29" t="s">
        <v>37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19</v>
      </c>
      <c r="B30" t="s">
        <v>67</v>
      </c>
      <c r="C30" s="10"/>
      <c r="D30" s="10"/>
      <c r="E30" s="10"/>
      <c r="F30" s="10"/>
      <c r="G30" s="10">
        <f t="shared" si="0"/>
        <v>0</v>
      </c>
      <c r="H30">
        <f t="shared" si="1"/>
        <v>0</v>
      </c>
      <c r="I30" s="14">
        <f t="shared" si="2"/>
        <v>0</v>
      </c>
    </row>
    <row r="31" spans="1:9" x14ac:dyDescent="0.25">
      <c r="A31" t="s">
        <v>19</v>
      </c>
      <c r="B31" t="s">
        <v>64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22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43</v>
      </c>
      <c r="B33" t="s">
        <v>44</v>
      </c>
      <c r="C33" s="10">
        <v>134560</v>
      </c>
      <c r="D33" s="10"/>
      <c r="E33" s="10"/>
      <c r="F33" s="10"/>
      <c r="G33" s="10">
        <f t="shared" si="0"/>
        <v>134560</v>
      </c>
      <c r="H33">
        <f t="shared" si="1"/>
        <v>48.37</v>
      </c>
      <c r="I33" s="14">
        <f t="shared" si="2"/>
        <v>0.26100000000000001</v>
      </c>
    </row>
    <row r="34" spans="1:9" x14ac:dyDescent="0.25">
      <c r="A34" t="s">
        <v>43</v>
      </c>
      <c r="B34" t="s">
        <v>46</v>
      </c>
      <c r="C34" s="10"/>
      <c r="D34" s="10"/>
      <c r="E34" s="10"/>
      <c r="F34" s="10">
        <v>11100</v>
      </c>
      <c r="G34" s="10">
        <f t="shared" si="0"/>
        <v>11100</v>
      </c>
      <c r="H34">
        <f t="shared" si="1"/>
        <v>3.99</v>
      </c>
      <c r="I34" s="14">
        <f t="shared" si="2"/>
        <v>2.1999999999999999E-2</v>
      </c>
    </row>
    <row r="35" spans="1:9" x14ac:dyDescent="0.25">
      <c r="A35" t="s">
        <v>43</v>
      </c>
      <c r="B35" t="s">
        <v>45</v>
      </c>
      <c r="C35" s="10"/>
      <c r="D35" s="10"/>
      <c r="E35" s="10">
        <v>17740</v>
      </c>
      <c r="F35" s="10"/>
      <c r="G35" s="10">
        <f t="shared" si="0"/>
        <v>17740</v>
      </c>
      <c r="H35">
        <f t="shared" si="1"/>
        <v>6.38</v>
      </c>
      <c r="I35" s="14">
        <f t="shared" si="2"/>
        <v>3.4000000000000002E-2</v>
      </c>
    </row>
    <row r="36" spans="1:9" x14ac:dyDescent="0.25">
      <c r="A36" t="s">
        <v>15</v>
      </c>
      <c r="B36" t="s">
        <v>18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15</v>
      </c>
      <c r="B37" t="s">
        <v>75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t="s">
        <v>15</v>
      </c>
      <c r="B38" t="s">
        <v>17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s="3" t="s">
        <v>253</v>
      </c>
      <c r="B39" s="3"/>
      <c r="C39" s="8">
        <f t="shared" ref="C39:H39" si="3">SUM(C8:C38)</f>
        <v>385270</v>
      </c>
      <c r="D39" s="8">
        <f t="shared" si="3"/>
        <v>283</v>
      </c>
      <c r="E39" s="8">
        <f t="shared" si="3"/>
        <v>119453</v>
      </c>
      <c r="F39" s="8">
        <f t="shared" si="3"/>
        <v>11240</v>
      </c>
      <c r="G39" s="8">
        <f t="shared" si="3"/>
        <v>516246</v>
      </c>
      <c r="H39" s="3">
        <f t="shared" si="3"/>
        <v>185.57</v>
      </c>
    </row>
    <row r="40" spans="1:9" x14ac:dyDescent="0.25">
      <c r="A40" s="3" t="s">
        <v>14</v>
      </c>
      <c r="B40" s="3"/>
      <c r="C40" s="13">
        <f>ROUND(C39/G39,2)</f>
        <v>0.75</v>
      </c>
      <c r="D40" s="13">
        <f>ROUND(D39/G39,2)</f>
        <v>0</v>
      </c>
      <c r="E40" s="13">
        <f>ROUND(E39/G39,2)</f>
        <v>0.23</v>
      </c>
      <c r="F40" s="13">
        <f>ROUND(F39/G39,2)</f>
        <v>0.02</v>
      </c>
      <c r="G40" s="3"/>
      <c r="H40" s="3"/>
    </row>
    <row r="41" spans="1:9" x14ac:dyDescent="0.25">
      <c r="A41" s="3" t="s">
        <v>47</v>
      </c>
      <c r="B41" s="3"/>
      <c r="C41" s="3"/>
      <c r="D41" s="3"/>
      <c r="E41" s="3"/>
      <c r="F41" s="3"/>
      <c r="G41" s="3"/>
      <c r="H41" s="3"/>
    </row>
    <row r="42" spans="1:9" x14ac:dyDescent="0.25">
      <c r="A42" s="3" t="s">
        <v>48</v>
      </c>
      <c r="B42" s="3"/>
      <c r="C42" s="8">
        <v>250710</v>
      </c>
      <c r="D42" s="8">
        <v>283</v>
      </c>
      <c r="E42" s="8">
        <v>101713</v>
      </c>
      <c r="F42" s="8">
        <v>140</v>
      </c>
      <c r="G42" s="8">
        <f>SUM(C42:F42)</f>
        <v>352846</v>
      </c>
      <c r="H42" s="3">
        <f>ROUND(G42/2782,2)</f>
        <v>126.83</v>
      </c>
    </row>
    <row r="43" spans="1:9" x14ac:dyDescent="0.25">
      <c r="A43" s="3" t="s">
        <v>49</v>
      </c>
      <c r="B43" s="3"/>
      <c r="C43" s="8">
        <v>134560</v>
      </c>
      <c r="D43" s="8">
        <v>0</v>
      </c>
      <c r="E43" s="8">
        <v>17740</v>
      </c>
      <c r="F43" s="8">
        <v>11100</v>
      </c>
      <c r="G43" s="8">
        <f>SUM(C43:F43)</f>
        <v>163400</v>
      </c>
      <c r="H43" s="3">
        <f>ROUND(G43/2782,2)</f>
        <v>58.73</v>
      </c>
    </row>
    <row r="44" spans="1:9" x14ac:dyDescent="0.25">
      <c r="A44" s="3" t="s">
        <v>50</v>
      </c>
      <c r="B44" s="3"/>
      <c r="C44" s="8">
        <v>0</v>
      </c>
      <c r="D44" s="8">
        <v>0</v>
      </c>
      <c r="E44" s="8">
        <v>0</v>
      </c>
      <c r="F44" s="8">
        <v>0</v>
      </c>
      <c r="G44" s="8">
        <f>SUM(C44:F44)</f>
        <v>0</v>
      </c>
      <c r="H44" s="3">
        <f>ROUND(G44/2782,2)</f>
        <v>0</v>
      </c>
    </row>
    <row r="46" spans="1:9" x14ac:dyDescent="0.25">
      <c r="A46" s="3"/>
      <c r="B46" s="3"/>
      <c r="C46" s="3" t="s">
        <v>2</v>
      </c>
      <c r="D46" s="3">
        <v>2022</v>
      </c>
      <c r="E46" s="3" t="s">
        <v>51</v>
      </c>
    </row>
    <row r="47" spans="1:9" x14ac:dyDescent="0.25">
      <c r="A47" s="3" t="s">
        <v>52</v>
      </c>
      <c r="B47" s="3"/>
      <c r="C47" s="13">
        <v>0.7319</v>
      </c>
      <c r="D47" s="13">
        <v>0.73370000000000002</v>
      </c>
      <c r="E47" s="13">
        <v>0.77659999999999996</v>
      </c>
    </row>
    <row r="48" spans="1:9" x14ac:dyDescent="0.25">
      <c r="A48" s="3" t="s">
        <v>53</v>
      </c>
      <c r="B48" s="3"/>
      <c r="C48" s="13">
        <v>0.72389999999999999</v>
      </c>
      <c r="D48" s="13">
        <v>0.72289999999999999</v>
      </c>
      <c r="E48" s="13">
        <v>0.75900000000000001</v>
      </c>
    </row>
    <row r="50" spans="1:7" x14ac:dyDescent="0.25">
      <c r="A50" s="3" t="s">
        <v>256</v>
      </c>
      <c r="B50" s="3"/>
      <c r="C50" s="3" t="s">
        <v>2</v>
      </c>
      <c r="D50" s="3" t="s">
        <v>169</v>
      </c>
      <c r="E50" s="3" t="s">
        <v>55</v>
      </c>
      <c r="F50" s="3" t="s">
        <v>257</v>
      </c>
      <c r="G50" s="3"/>
    </row>
    <row r="51" spans="1:7" x14ac:dyDescent="0.25">
      <c r="A51" s="3" t="s">
        <v>56</v>
      </c>
      <c r="B51" s="3"/>
      <c r="C51" s="3"/>
      <c r="D51" s="3">
        <v>84.68</v>
      </c>
      <c r="E51" s="3">
        <v>81.5</v>
      </c>
      <c r="F51" s="3">
        <v>50.61</v>
      </c>
      <c r="G51" s="3"/>
    </row>
    <row r="52" spans="1:7" x14ac:dyDescent="0.25">
      <c r="A52" s="3" t="s">
        <v>57</v>
      </c>
      <c r="B52" s="3"/>
      <c r="C52" s="3"/>
      <c r="D52" s="3">
        <v>64.78</v>
      </c>
      <c r="E52" s="3">
        <v>58.24</v>
      </c>
      <c r="F52" s="3">
        <v>57.37</v>
      </c>
      <c r="G52" s="3"/>
    </row>
    <row r="53" spans="1:7" x14ac:dyDescent="0.25">
      <c r="A53" s="3" t="s">
        <v>58</v>
      </c>
      <c r="B53" s="3"/>
      <c r="C53" s="3"/>
      <c r="D53" s="3">
        <v>261.06</v>
      </c>
      <c r="E53" s="3">
        <v>261.52999999999997</v>
      </c>
      <c r="F53" s="3">
        <v>249.57</v>
      </c>
      <c r="G53" s="3"/>
    </row>
    <row r="54" spans="1:7" x14ac:dyDescent="0.25">
      <c r="A54" s="3" t="s">
        <v>59</v>
      </c>
      <c r="B54" s="3"/>
      <c r="C54" s="3"/>
      <c r="D54" s="3">
        <v>104.3</v>
      </c>
      <c r="E54" s="3">
        <v>103.11</v>
      </c>
      <c r="F54" s="3">
        <v>71.400000000000006</v>
      </c>
      <c r="G54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I58"/>
  <sheetViews>
    <sheetView topLeftCell="A27" workbookViewId="0">
      <selection activeCell="G55" sqref="G55:G58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5703125" bestFit="1" customWidth="1"/>
    <col min="4" max="4" width="20.5703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170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1731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5</v>
      </c>
      <c r="G9" s="10">
        <f t="shared" ref="G9:G42" si="0">SUM(C9:F9)</f>
        <v>5</v>
      </c>
      <c r="H9">
        <f t="shared" ref="H9:H42" si="1">ROUND(G9/1731,2)</f>
        <v>0</v>
      </c>
      <c r="I9" s="14">
        <f t="shared" ref="I9:I40" si="2">ROUND(G9/$G$43,3)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260</v>
      </c>
      <c r="G10" s="10">
        <f t="shared" si="0"/>
        <v>260</v>
      </c>
      <c r="H10">
        <f t="shared" si="1"/>
        <v>0.15</v>
      </c>
      <c r="I10" s="14">
        <f t="shared" si="2"/>
        <v>1E-3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19</v>
      </c>
      <c r="B12" t="s">
        <v>64</v>
      </c>
      <c r="C12" s="10"/>
      <c r="D12" s="10"/>
      <c r="E12" s="10">
        <v>45</v>
      </c>
      <c r="F12" s="10"/>
      <c r="G12" s="10">
        <f t="shared" si="0"/>
        <v>45</v>
      </c>
      <c r="H12">
        <f t="shared" si="1"/>
        <v>0.03</v>
      </c>
      <c r="I12" s="14">
        <f t="shared" si="2"/>
        <v>0</v>
      </c>
    </row>
    <row r="13" spans="1:9" x14ac:dyDescent="0.25">
      <c r="A13" t="s">
        <v>19</v>
      </c>
      <c r="B13" t="s">
        <v>20</v>
      </c>
      <c r="C13" s="10">
        <v>18680</v>
      </c>
      <c r="D13" s="10"/>
      <c r="E13" s="10">
        <v>7772.8</v>
      </c>
      <c r="F13" s="10">
        <v>40</v>
      </c>
      <c r="G13" s="10">
        <f t="shared" si="0"/>
        <v>26492.799999999999</v>
      </c>
      <c r="H13">
        <f t="shared" si="1"/>
        <v>15.3</v>
      </c>
      <c r="I13" s="14">
        <f t="shared" si="2"/>
        <v>8.8999999999999996E-2</v>
      </c>
    </row>
    <row r="14" spans="1:9" x14ac:dyDescent="0.25">
      <c r="A14" t="s">
        <v>19</v>
      </c>
      <c r="B14" t="s">
        <v>21</v>
      </c>
      <c r="C14" s="10">
        <v>36120</v>
      </c>
      <c r="D14" s="10"/>
      <c r="E14" s="10"/>
      <c r="F14" s="10"/>
      <c r="G14" s="10">
        <f t="shared" si="0"/>
        <v>36120</v>
      </c>
      <c r="H14">
        <f t="shared" si="1"/>
        <v>20.87</v>
      </c>
      <c r="I14" s="14">
        <f t="shared" si="2"/>
        <v>0.122</v>
      </c>
    </row>
    <row r="15" spans="1:9" x14ac:dyDescent="0.25">
      <c r="A15" t="s">
        <v>19</v>
      </c>
      <c r="B15" t="s">
        <v>41</v>
      </c>
      <c r="C15" s="10"/>
      <c r="D15" s="10"/>
      <c r="E15" s="10">
        <v>201.96</v>
      </c>
      <c r="F15" s="10"/>
      <c r="G15" s="10">
        <f t="shared" si="0"/>
        <v>201.96</v>
      </c>
      <c r="H15">
        <f t="shared" si="1"/>
        <v>0.12</v>
      </c>
      <c r="I15" s="14">
        <f t="shared" si="2"/>
        <v>1E-3</v>
      </c>
    </row>
    <row r="16" spans="1:9" x14ac:dyDescent="0.25">
      <c r="A16" t="s">
        <v>19</v>
      </c>
      <c r="B16" t="s">
        <v>77</v>
      </c>
      <c r="C16" s="10"/>
      <c r="D16" s="10"/>
      <c r="E16" s="10"/>
      <c r="F16" s="10">
        <v>48</v>
      </c>
      <c r="G16" s="10">
        <f t="shared" si="0"/>
        <v>48</v>
      </c>
      <c r="H16">
        <f t="shared" si="1"/>
        <v>0.03</v>
      </c>
      <c r="I16" s="14">
        <f t="shared" si="2"/>
        <v>0</v>
      </c>
    </row>
    <row r="17" spans="1:9" x14ac:dyDescent="0.25">
      <c r="A17" t="s">
        <v>19</v>
      </c>
      <c r="B17" t="s">
        <v>23</v>
      </c>
      <c r="C17" s="10"/>
      <c r="D17" s="10"/>
      <c r="E17" s="10">
        <v>26547.99</v>
      </c>
      <c r="F17" s="10"/>
      <c r="G17" s="10">
        <f t="shared" si="0"/>
        <v>26547.99</v>
      </c>
      <c r="H17">
        <f t="shared" si="1"/>
        <v>15.34</v>
      </c>
      <c r="I17" s="14">
        <f t="shared" si="2"/>
        <v>8.8999999999999996E-2</v>
      </c>
    </row>
    <row r="18" spans="1:9" x14ac:dyDescent="0.25">
      <c r="A18" t="s">
        <v>19</v>
      </c>
      <c r="B18" t="s">
        <v>24</v>
      </c>
      <c r="C18" s="10">
        <v>25790</v>
      </c>
      <c r="D18" s="10"/>
      <c r="E18" s="10">
        <v>7577.18</v>
      </c>
      <c r="F18" s="10"/>
      <c r="G18" s="10">
        <f t="shared" si="0"/>
        <v>33367.18</v>
      </c>
      <c r="H18">
        <f t="shared" si="1"/>
        <v>19.28</v>
      </c>
      <c r="I18" s="14">
        <f t="shared" si="2"/>
        <v>0.112</v>
      </c>
    </row>
    <row r="19" spans="1:9" x14ac:dyDescent="0.25">
      <c r="A19" t="s">
        <v>19</v>
      </c>
      <c r="B19" t="s">
        <v>66</v>
      </c>
      <c r="C19" s="10"/>
      <c r="D19" s="10"/>
      <c r="E19" s="10">
        <v>2915</v>
      </c>
      <c r="F19" s="10"/>
      <c r="G19" s="10">
        <f t="shared" si="0"/>
        <v>2915</v>
      </c>
      <c r="H19">
        <f t="shared" si="1"/>
        <v>1.68</v>
      </c>
      <c r="I19" s="14">
        <f t="shared" si="2"/>
        <v>0.01</v>
      </c>
    </row>
    <row r="20" spans="1:9" x14ac:dyDescent="0.25">
      <c r="A20" t="s">
        <v>19</v>
      </c>
      <c r="B20" t="s">
        <v>25</v>
      </c>
      <c r="C20" s="10">
        <v>23220</v>
      </c>
      <c r="D20" s="10"/>
      <c r="E20" s="10"/>
      <c r="F20" s="10">
        <v>60</v>
      </c>
      <c r="G20" s="10">
        <f t="shared" si="0"/>
        <v>23280</v>
      </c>
      <c r="H20">
        <f t="shared" si="1"/>
        <v>13.45</v>
      </c>
      <c r="I20" s="14">
        <f t="shared" si="2"/>
        <v>7.8E-2</v>
      </c>
    </row>
    <row r="21" spans="1:9" x14ac:dyDescent="0.25">
      <c r="A21" t="s">
        <v>19</v>
      </c>
      <c r="B21" t="s">
        <v>26</v>
      </c>
      <c r="C21" s="10"/>
      <c r="D21" s="10"/>
      <c r="E21" s="10">
        <v>413</v>
      </c>
      <c r="F21" s="10"/>
      <c r="G21" s="10">
        <f t="shared" si="0"/>
        <v>413</v>
      </c>
      <c r="H21">
        <f t="shared" si="1"/>
        <v>0.24</v>
      </c>
      <c r="I21" s="14">
        <f t="shared" si="2"/>
        <v>1E-3</v>
      </c>
    </row>
    <row r="22" spans="1:9" x14ac:dyDescent="0.25">
      <c r="A22" t="s">
        <v>19</v>
      </c>
      <c r="B22" t="s">
        <v>27</v>
      </c>
      <c r="C22" s="10"/>
      <c r="D22" s="10"/>
      <c r="E22" s="10">
        <v>394</v>
      </c>
      <c r="F22" s="10"/>
      <c r="G22" s="10">
        <f t="shared" si="0"/>
        <v>394</v>
      </c>
      <c r="H22">
        <f t="shared" si="1"/>
        <v>0.23</v>
      </c>
      <c r="I22" s="14">
        <f t="shared" si="2"/>
        <v>1E-3</v>
      </c>
    </row>
    <row r="23" spans="1:9" x14ac:dyDescent="0.25">
      <c r="A23" t="s">
        <v>19</v>
      </c>
      <c r="B23" t="s">
        <v>29</v>
      </c>
      <c r="C23" s="10"/>
      <c r="D23" s="10"/>
      <c r="E23" s="10">
        <v>1572.78</v>
      </c>
      <c r="F23" s="10"/>
      <c r="G23" s="10">
        <f t="shared" si="0"/>
        <v>1572.78</v>
      </c>
      <c r="H23">
        <f t="shared" si="1"/>
        <v>0.91</v>
      </c>
      <c r="I23" s="14">
        <f t="shared" si="2"/>
        <v>5.0000000000000001E-3</v>
      </c>
    </row>
    <row r="24" spans="1:9" x14ac:dyDescent="0.25">
      <c r="A24" t="s">
        <v>19</v>
      </c>
      <c r="B24" t="s">
        <v>30</v>
      </c>
      <c r="C24" s="10"/>
      <c r="D24" s="10"/>
      <c r="E24" s="10">
        <v>225.3</v>
      </c>
      <c r="F24" s="10"/>
      <c r="G24" s="10">
        <f t="shared" si="0"/>
        <v>225.3</v>
      </c>
      <c r="H24">
        <f t="shared" si="1"/>
        <v>0.13</v>
      </c>
      <c r="I24" s="14">
        <f t="shared" si="2"/>
        <v>1E-3</v>
      </c>
    </row>
    <row r="25" spans="1:9" x14ac:dyDescent="0.25">
      <c r="A25" t="s">
        <v>19</v>
      </c>
      <c r="B25" t="s">
        <v>32</v>
      </c>
      <c r="C25" s="10"/>
      <c r="D25" s="10"/>
      <c r="E25" s="10">
        <v>290</v>
      </c>
      <c r="F25" s="10"/>
      <c r="G25" s="10">
        <f t="shared" si="0"/>
        <v>290</v>
      </c>
      <c r="H25">
        <f t="shared" si="1"/>
        <v>0.17</v>
      </c>
      <c r="I25" s="14">
        <f t="shared" si="2"/>
        <v>1E-3</v>
      </c>
    </row>
    <row r="26" spans="1:9" x14ac:dyDescent="0.25">
      <c r="A26" t="s">
        <v>19</v>
      </c>
      <c r="B26" t="s">
        <v>42</v>
      </c>
      <c r="C26" s="10"/>
      <c r="D26" s="10">
        <v>326</v>
      </c>
      <c r="E26" s="10"/>
      <c r="F26" s="10"/>
      <c r="G26" s="10">
        <f t="shared" si="0"/>
        <v>326</v>
      </c>
      <c r="H26">
        <f t="shared" si="1"/>
        <v>0.19</v>
      </c>
      <c r="I26" s="14">
        <f t="shared" si="2"/>
        <v>1E-3</v>
      </c>
    </row>
    <row r="27" spans="1:9" x14ac:dyDescent="0.25">
      <c r="A27" t="s">
        <v>19</v>
      </c>
      <c r="B27" t="s">
        <v>33</v>
      </c>
      <c r="C27" s="10"/>
      <c r="D27" s="10"/>
      <c r="E27" s="10">
        <v>301.33</v>
      </c>
      <c r="F27" s="10"/>
      <c r="G27" s="10">
        <f t="shared" si="0"/>
        <v>301.33</v>
      </c>
      <c r="H27">
        <f t="shared" si="1"/>
        <v>0.17</v>
      </c>
      <c r="I27" s="14">
        <f t="shared" si="2"/>
        <v>1E-3</v>
      </c>
    </row>
    <row r="28" spans="1:9" x14ac:dyDescent="0.25">
      <c r="A28" t="s">
        <v>19</v>
      </c>
      <c r="B28" t="s">
        <v>34</v>
      </c>
      <c r="C28" s="10"/>
      <c r="D28" s="10"/>
      <c r="E28" s="10">
        <v>1669.22</v>
      </c>
      <c r="F28" s="10"/>
      <c r="G28" s="10">
        <f t="shared" si="0"/>
        <v>1669.22</v>
      </c>
      <c r="H28">
        <f t="shared" si="1"/>
        <v>0.96</v>
      </c>
      <c r="I28" s="14">
        <f t="shared" si="2"/>
        <v>6.0000000000000001E-3</v>
      </c>
    </row>
    <row r="29" spans="1:9" x14ac:dyDescent="0.25">
      <c r="A29" t="s">
        <v>19</v>
      </c>
      <c r="B29" t="s">
        <v>35</v>
      </c>
      <c r="C29" s="10"/>
      <c r="D29" s="10"/>
      <c r="E29" s="10">
        <v>851.68</v>
      </c>
      <c r="F29" s="10"/>
      <c r="G29" s="10">
        <f t="shared" si="0"/>
        <v>851.68</v>
      </c>
      <c r="H29">
        <f t="shared" si="1"/>
        <v>0.49</v>
      </c>
      <c r="I29" s="14">
        <f t="shared" si="2"/>
        <v>3.0000000000000001E-3</v>
      </c>
    </row>
    <row r="30" spans="1:9" x14ac:dyDescent="0.25">
      <c r="A30" t="s">
        <v>19</v>
      </c>
      <c r="B30" t="s">
        <v>40</v>
      </c>
      <c r="C30" s="10"/>
      <c r="D30" s="10"/>
      <c r="E30" s="10">
        <v>11480</v>
      </c>
      <c r="F30" s="10"/>
      <c r="G30" s="10">
        <f t="shared" si="0"/>
        <v>11480</v>
      </c>
      <c r="H30">
        <f t="shared" si="1"/>
        <v>6.63</v>
      </c>
      <c r="I30" s="14">
        <f t="shared" si="2"/>
        <v>3.9E-2</v>
      </c>
    </row>
    <row r="31" spans="1:9" x14ac:dyDescent="0.25">
      <c r="A31" t="s">
        <v>19</v>
      </c>
      <c r="B31" t="s">
        <v>36</v>
      </c>
      <c r="C31" s="10"/>
      <c r="D31" s="10"/>
      <c r="E31" s="10">
        <v>24191.24</v>
      </c>
      <c r="F31" s="10"/>
      <c r="G31" s="10">
        <f t="shared" si="0"/>
        <v>24191.24</v>
      </c>
      <c r="H31">
        <f t="shared" si="1"/>
        <v>13.98</v>
      </c>
      <c r="I31" s="14">
        <f t="shared" si="2"/>
        <v>8.2000000000000003E-2</v>
      </c>
    </row>
    <row r="32" spans="1:9" x14ac:dyDescent="0.25">
      <c r="A32" t="s">
        <v>19</v>
      </c>
      <c r="B32" t="s">
        <v>38</v>
      </c>
      <c r="C32" s="10"/>
      <c r="D32" s="10"/>
      <c r="E32" s="10">
        <v>10139.74</v>
      </c>
      <c r="F32" s="10"/>
      <c r="G32" s="10">
        <f t="shared" si="0"/>
        <v>10139.74</v>
      </c>
      <c r="H32">
        <f t="shared" si="1"/>
        <v>5.86</v>
      </c>
      <c r="I32" s="14">
        <f t="shared" si="2"/>
        <v>3.4000000000000002E-2</v>
      </c>
    </row>
    <row r="33" spans="1:9" x14ac:dyDescent="0.25">
      <c r="A33" t="s">
        <v>19</v>
      </c>
      <c r="B33" t="s">
        <v>39</v>
      </c>
      <c r="C33" s="10"/>
      <c r="D33" s="10"/>
      <c r="E33" s="10">
        <v>3107.12</v>
      </c>
      <c r="F33" s="10"/>
      <c r="G33" s="10">
        <f t="shared" si="0"/>
        <v>3107.12</v>
      </c>
      <c r="H33">
        <f t="shared" si="1"/>
        <v>1.79</v>
      </c>
      <c r="I33" s="14">
        <f t="shared" si="2"/>
        <v>0.01</v>
      </c>
    </row>
    <row r="34" spans="1:9" x14ac:dyDescent="0.25">
      <c r="A34" t="s">
        <v>19</v>
      </c>
      <c r="B34" t="s">
        <v>28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71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19</v>
      </c>
      <c r="B36" t="s">
        <v>22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19</v>
      </c>
      <c r="B37" t="s">
        <v>67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t="s">
        <v>19</v>
      </c>
      <c r="B38" t="s">
        <v>31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t="s">
        <v>19</v>
      </c>
      <c r="B39" t="s">
        <v>37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43</v>
      </c>
      <c r="B40" t="s">
        <v>44</v>
      </c>
      <c r="C40" s="10">
        <v>69950</v>
      </c>
      <c r="D40" s="10"/>
      <c r="E40" s="10"/>
      <c r="F40" s="10">
        <v>40</v>
      </c>
      <c r="G40" s="10">
        <f t="shared" si="0"/>
        <v>69990</v>
      </c>
      <c r="H40">
        <f t="shared" si="1"/>
        <v>40.43</v>
      </c>
      <c r="I40" s="14">
        <f t="shared" si="2"/>
        <v>0.23599999999999999</v>
      </c>
    </row>
    <row r="41" spans="1:9" x14ac:dyDescent="0.25">
      <c r="A41" t="s">
        <v>43</v>
      </c>
      <c r="B41" t="s">
        <v>46</v>
      </c>
      <c r="C41" s="10"/>
      <c r="D41" s="10"/>
      <c r="E41" s="10"/>
      <c r="F41" s="10">
        <v>5320</v>
      </c>
      <c r="G41" s="10">
        <f t="shared" si="0"/>
        <v>5320</v>
      </c>
      <c r="H41">
        <f t="shared" si="1"/>
        <v>3.07</v>
      </c>
      <c r="I41" s="14">
        <f t="shared" ref="I41" si="3">ROUND(G41/$G$43,3)</f>
        <v>1.7999999999999999E-2</v>
      </c>
    </row>
    <row r="42" spans="1:9" x14ac:dyDescent="0.25">
      <c r="A42" t="s">
        <v>43</v>
      </c>
      <c r="B42" t="s">
        <v>45</v>
      </c>
      <c r="C42" s="10"/>
      <c r="D42" s="10"/>
      <c r="E42" s="10">
        <v>17211.66</v>
      </c>
      <c r="F42" s="10"/>
      <c r="G42" s="10">
        <f t="shared" si="0"/>
        <v>17211.66</v>
      </c>
      <c r="H42">
        <f t="shared" si="1"/>
        <v>9.94</v>
      </c>
      <c r="I42" s="14">
        <f>ROUND(G42/$G$43,3)</f>
        <v>5.8000000000000003E-2</v>
      </c>
    </row>
    <row r="43" spans="1:9" x14ac:dyDescent="0.25">
      <c r="A43" s="3" t="s">
        <v>253</v>
      </c>
      <c r="B43" s="3"/>
      <c r="C43" s="8">
        <f t="shared" ref="C43:H43" si="4">SUM(C8:C42)</f>
        <v>173760</v>
      </c>
      <c r="D43" s="8">
        <f t="shared" si="4"/>
        <v>326</v>
      </c>
      <c r="E43" s="8">
        <f t="shared" si="4"/>
        <v>116907.00000000001</v>
      </c>
      <c r="F43" s="8">
        <f t="shared" si="4"/>
        <v>5773</v>
      </c>
      <c r="G43" s="8">
        <f t="shared" si="4"/>
        <v>296765.99999999994</v>
      </c>
      <c r="H43" s="3">
        <f t="shared" si="4"/>
        <v>171.44</v>
      </c>
    </row>
    <row r="44" spans="1:9" x14ac:dyDescent="0.25">
      <c r="A44" s="3" t="s">
        <v>14</v>
      </c>
      <c r="B44" s="3"/>
      <c r="C44" s="13">
        <f>ROUND(C43/G43,2)</f>
        <v>0.59</v>
      </c>
      <c r="D44" s="13">
        <f>ROUND(D43/G43,2)</f>
        <v>0</v>
      </c>
      <c r="E44" s="13">
        <f>ROUND(E43/G43,2)</f>
        <v>0.39</v>
      </c>
      <c r="F44" s="13">
        <f>ROUND(F43/G43,2)</f>
        <v>0.02</v>
      </c>
      <c r="G44" s="3"/>
      <c r="H44" s="3"/>
    </row>
    <row r="45" spans="1:9" x14ac:dyDescent="0.25">
      <c r="A45" s="3" t="s">
        <v>47</v>
      </c>
      <c r="B45" s="3"/>
      <c r="C45" s="3"/>
      <c r="D45" s="3"/>
      <c r="E45" s="3"/>
      <c r="F45" s="3"/>
      <c r="G45" s="3"/>
      <c r="H45" s="3"/>
    </row>
    <row r="46" spans="1:9" x14ac:dyDescent="0.25">
      <c r="A46" s="3" t="s">
        <v>48</v>
      </c>
      <c r="B46" s="3"/>
      <c r="C46" s="8">
        <v>103810</v>
      </c>
      <c r="D46" s="8">
        <v>326</v>
      </c>
      <c r="E46" s="8">
        <v>99695.34</v>
      </c>
      <c r="F46" s="8">
        <v>148</v>
      </c>
      <c r="G46" s="8">
        <f>SUM(C46:F46)</f>
        <v>203979.34</v>
      </c>
      <c r="H46" s="3">
        <f>ROUND(G46/1731,2)</f>
        <v>117.84</v>
      </c>
    </row>
    <row r="47" spans="1:9" x14ac:dyDescent="0.25">
      <c r="A47" s="3" t="s">
        <v>49</v>
      </c>
      <c r="B47" s="3"/>
      <c r="C47" s="8">
        <v>69950</v>
      </c>
      <c r="D47" s="8">
        <v>0</v>
      </c>
      <c r="E47" s="8">
        <v>17211.66</v>
      </c>
      <c r="F47" s="8">
        <v>5360</v>
      </c>
      <c r="G47" s="8">
        <f>SUM(C47:F47)</f>
        <v>92521.66</v>
      </c>
      <c r="H47" s="3">
        <f>ROUND(G47/1731,2)</f>
        <v>53.45</v>
      </c>
    </row>
    <row r="48" spans="1:9" x14ac:dyDescent="0.25">
      <c r="A48" s="3" t="s">
        <v>50</v>
      </c>
      <c r="B48" s="3"/>
      <c r="C48" s="8">
        <v>0</v>
      </c>
      <c r="D48" s="8">
        <v>0</v>
      </c>
      <c r="E48" s="8">
        <v>0</v>
      </c>
      <c r="F48" s="8">
        <v>265</v>
      </c>
      <c r="G48" s="8">
        <f>SUM(C48:F48)</f>
        <v>265</v>
      </c>
      <c r="H48" s="3">
        <f>ROUND(G48/1731,2)</f>
        <v>0.15</v>
      </c>
    </row>
    <row r="50" spans="1:7" x14ac:dyDescent="0.25">
      <c r="A50" s="3"/>
      <c r="B50" s="3"/>
      <c r="C50" s="3" t="s">
        <v>2</v>
      </c>
      <c r="D50" s="3">
        <v>2022</v>
      </c>
      <c r="E50" s="3" t="s">
        <v>51</v>
      </c>
    </row>
    <row r="51" spans="1:7" x14ac:dyDescent="0.25">
      <c r="A51" s="3" t="s">
        <v>52</v>
      </c>
      <c r="B51" s="3"/>
      <c r="C51" s="13">
        <v>0.74080000000000001</v>
      </c>
      <c r="D51" s="13">
        <v>0.77210000000000001</v>
      </c>
      <c r="E51" s="13">
        <v>0.77659999999999996</v>
      </c>
    </row>
    <row r="52" spans="1:7" x14ac:dyDescent="0.25">
      <c r="A52" s="3" t="s">
        <v>53</v>
      </c>
      <c r="B52" s="3"/>
      <c r="C52" s="13">
        <v>0.74080000000000001</v>
      </c>
      <c r="D52" s="13">
        <v>0.73860000000000003</v>
      </c>
      <c r="E52" s="13">
        <v>0.75900000000000001</v>
      </c>
    </row>
    <row r="54" spans="1:7" x14ac:dyDescent="0.25">
      <c r="A54" s="3" t="s">
        <v>256</v>
      </c>
      <c r="B54" s="3"/>
      <c r="C54" s="3" t="s">
        <v>2</v>
      </c>
      <c r="D54" s="3" t="s">
        <v>171</v>
      </c>
      <c r="E54" s="3" t="s">
        <v>55</v>
      </c>
      <c r="F54" s="3" t="s">
        <v>254</v>
      </c>
      <c r="G54" s="3"/>
    </row>
    <row r="55" spans="1:7" x14ac:dyDescent="0.25">
      <c r="A55" s="3" t="s">
        <v>56</v>
      </c>
      <c r="B55" s="3"/>
      <c r="C55" s="3"/>
      <c r="D55" s="3">
        <v>69.47</v>
      </c>
      <c r="E55" s="3">
        <v>81.5</v>
      </c>
      <c r="F55" s="3">
        <v>50.61</v>
      </c>
      <c r="G55" s="3"/>
    </row>
    <row r="56" spans="1:7" x14ac:dyDescent="0.25">
      <c r="A56" s="3" t="s">
        <v>57</v>
      </c>
      <c r="B56" s="3"/>
      <c r="C56" s="3"/>
      <c r="D56" s="3">
        <v>53.17</v>
      </c>
      <c r="E56" s="3">
        <v>58.24</v>
      </c>
      <c r="F56" s="3">
        <v>57.37</v>
      </c>
      <c r="G56" s="3"/>
    </row>
    <row r="57" spans="1:7" x14ac:dyDescent="0.25">
      <c r="A57" s="3" t="s">
        <v>58</v>
      </c>
      <c r="B57" s="3"/>
      <c r="C57" s="3"/>
      <c r="D57" s="3">
        <v>274.08</v>
      </c>
      <c r="E57" s="3">
        <v>261.52999999999997</v>
      </c>
      <c r="F57" s="3">
        <v>249.57</v>
      </c>
      <c r="G57" s="3"/>
    </row>
    <row r="58" spans="1:7" x14ac:dyDescent="0.25">
      <c r="A58" s="3" t="s">
        <v>59</v>
      </c>
      <c r="B58" s="3"/>
      <c r="C58" s="3"/>
      <c r="D58" s="3">
        <v>91.13</v>
      </c>
      <c r="E58" s="3">
        <v>103.11</v>
      </c>
      <c r="F58" s="3">
        <v>71.400000000000006</v>
      </c>
      <c r="G5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I59"/>
  <sheetViews>
    <sheetView topLeftCell="A33" workbookViewId="0">
      <selection activeCell="A41" sqref="A41:XFD41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5703125" bestFit="1" customWidth="1"/>
    <col min="4" max="4" width="24.28515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172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5090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35</v>
      </c>
      <c r="G9" s="10">
        <f t="shared" ref="G9:G43" si="0">SUM(C9:F9)</f>
        <v>35</v>
      </c>
      <c r="H9">
        <f t="shared" ref="H9:H43" si="1">ROUND(G9/5090,2)</f>
        <v>0.01</v>
      </c>
      <c r="I9" s="14">
        <f t="shared" ref="I9:I40" si="2">ROUND(G9/$G$44,3)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329</v>
      </c>
      <c r="G10" s="10">
        <f t="shared" si="0"/>
        <v>329</v>
      </c>
      <c r="H10">
        <f t="shared" si="1"/>
        <v>0.06</v>
      </c>
      <c r="I10" s="14">
        <f t="shared" si="2"/>
        <v>0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63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65</v>
      </c>
      <c r="F13" s="10"/>
      <c r="G13" s="10">
        <f t="shared" si="0"/>
        <v>65</v>
      </c>
      <c r="H13">
        <f t="shared" si="1"/>
        <v>0.01</v>
      </c>
      <c r="I13" s="14">
        <f t="shared" si="2"/>
        <v>0</v>
      </c>
    </row>
    <row r="14" spans="1:9" x14ac:dyDescent="0.25">
      <c r="A14" t="s">
        <v>19</v>
      </c>
      <c r="B14" t="s">
        <v>70</v>
      </c>
      <c r="C14" s="10"/>
      <c r="D14" s="10">
        <v>108420</v>
      </c>
      <c r="E14" s="10"/>
      <c r="F14" s="10"/>
      <c r="G14" s="10">
        <f t="shared" si="0"/>
        <v>108420</v>
      </c>
      <c r="H14">
        <f t="shared" si="1"/>
        <v>21.3</v>
      </c>
      <c r="I14" s="14">
        <f t="shared" si="2"/>
        <v>9.2999999999999999E-2</v>
      </c>
    </row>
    <row r="15" spans="1:9" x14ac:dyDescent="0.25">
      <c r="A15" t="s">
        <v>19</v>
      </c>
      <c r="B15" t="s">
        <v>103</v>
      </c>
      <c r="C15" s="10"/>
      <c r="D15" s="10">
        <v>9320</v>
      </c>
      <c r="E15" s="10"/>
      <c r="F15" s="10"/>
      <c r="G15" s="10">
        <f t="shared" si="0"/>
        <v>9320</v>
      </c>
      <c r="H15">
        <f t="shared" si="1"/>
        <v>1.83</v>
      </c>
      <c r="I15" s="14">
        <f t="shared" si="2"/>
        <v>8.0000000000000002E-3</v>
      </c>
    </row>
    <row r="16" spans="1:9" x14ac:dyDescent="0.25">
      <c r="A16" t="s">
        <v>19</v>
      </c>
      <c r="B16" t="s">
        <v>21</v>
      </c>
      <c r="C16" s="10"/>
      <c r="D16" s="10">
        <v>107450</v>
      </c>
      <c r="E16" s="10"/>
      <c r="F16" s="10"/>
      <c r="G16" s="10">
        <f t="shared" si="0"/>
        <v>107450</v>
      </c>
      <c r="H16">
        <f t="shared" si="1"/>
        <v>21.11</v>
      </c>
      <c r="I16" s="14">
        <f t="shared" si="2"/>
        <v>9.1999999999999998E-2</v>
      </c>
    </row>
    <row r="17" spans="1:9" x14ac:dyDescent="0.25">
      <c r="A17" t="s">
        <v>19</v>
      </c>
      <c r="B17" t="s">
        <v>76</v>
      </c>
      <c r="C17" s="10"/>
      <c r="D17" s="10"/>
      <c r="E17" s="10">
        <v>90</v>
      </c>
      <c r="F17" s="10"/>
      <c r="G17" s="10">
        <f t="shared" si="0"/>
        <v>90</v>
      </c>
      <c r="H17">
        <f t="shared" si="1"/>
        <v>0.02</v>
      </c>
      <c r="I17" s="14">
        <f t="shared" si="2"/>
        <v>0</v>
      </c>
    </row>
    <row r="18" spans="1:9" x14ac:dyDescent="0.25">
      <c r="A18" t="s">
        <v>19</v>
      </c>
      <c r="B18" t="s">
        <v>41</v>
      </c>
      <c r="C18" s="10"/>
      <c r="D18" s="10"/>
      <c r="E18" s="10">
        <v>77</v>
      </c>
      <c r="F18" s="10"/>
      <c r="G18" s="10">
        <f t="shared" si="0"/>
        <v>77</v>
      </c>
      <c r="H18">
        <f t="shared" si="1"/>
        <v>0.02</v>
      </c>
      <c r="I18" s="14">
        <f t="shared" si="2"/>
        <v>0</v>
      </c>
    </row>
    <row r="19" spans="1:9" x14ac:dyDescent="0.25">
      <c r="A19" t="s">
        <v>19</v>
      </c>
      <c r="B19" t="s">
        <v>77</v>
      </c>
      <c r="C19" s="10"/>
      <c r="D19" s="10"/>
      <c r="E19" s="10"/>
      <c r="F19" s="10">
        <v>221</v>
      </c>
      <c r="G19" s="10">
        <f t="shared" si="0"/>
        <v>221</v>
      </c>
      <c r="H19">
        <f t="shared" si="1"/>
        <v>0.04</v>
      </c>
      <c r="I19" s="14">
        <f t="shared" si="2"/>
        <v>0</v>
      </c>
    </row>
    <row r="20" spans="1:9" x14ac:dyDescent="0.25">
      <c r="A20" t="s">
        <v>19</v>
      </c>
      <c r="B20" t="s">
        <v>23</v>
      </c>
      <c r="C20" s="10"/>
      <c r="D20" s="10"/>
      <c r="E20" s="10">
        <v>58900</v>
      </c>
      <c r="F20" s="10"/>
      <c r="G20" s="10">
        <f t="shared" si="0"/>
        <v>58900</v>
      </c>
      <c r="H20">
        <f t="shared" si="1"/>
        <v>11.57</v>
      </c>
      <c r="I20" s="14">
        <f t="shared" si="2"/>
        <v>0.05</v>
      </c>
    </row>
    <row r="21" spans="1:9" x14ac:dyDescent="0.25">
      <c r="A21" t="s">
        <v>19</v>
      </c>
      <c r="B21" t="s">
        <v>24</v>
      </c>
      <c r="C21" s="10"/>
      <c r="D21" s="10">
        <v>135050</v>
      </c>
      <c r="E21" s="10">
        <v>2360</v>
      </c>
      <c r="F21" s="10"/>
      <c r="G21" s="10">
        <f t="shared" si="0"/>
        <v>137410</v>
      </c>
      <c r="H21">
        <f t="shared" si="1"/>
        <v>27</v>
      </c>
      <c r="I21" s="14">
        <f t="shared" si="2"/>
        <v>0.11700000000000001</v>
      </c>
    </row>
    <row r="22" spans="1:9" x14ac:dyDescent="0.25">
      <c r="A22" t="s">
        <v>19</v>
      </c>
      <c r="B22" t="s">
        <v>66</v>
      </c>
      <c r="C22" s="10"/>
      <c r="D22" s="10"/>
      <c r="E22" s="10">
        <v>3355</v>
      </c>
      <c r="F22" s="10"/>
      <c r="G22" s="10">
        <f t="shared" si="0"/>
        <v>3355</v>
      </c>
      <c r="H22">
        <f t="shared" si="1"/>
        <v>0.66</v>
      </c>
      <c r="I22" s="14">
        <f t="shared" si="2"/>
        <v>3.0000000000000001E-3</v>
      </c>
    </row>
    <row r="23" spans="1:9" x14ac:dyDescent="0.25">
      <c r="A23" t="s">
        <v>19</v>
      </c>
      <c r="B23" t="s">
        <v>25</v>
      </c>
      <c r="C23" s="10"/>
      <c r="D23" s="10">
        <v>199960</v>
      </c>
      <c r="E23" s="10"/>
      <c r="F23" s="10"/>
      <c r="G23" s="10">
        <f t="shared" si="0"/>
        <v>199960</v>
      </c>
      <c r="H23">
        <f t="shared" si="1"/>
        <v>39.28</v>
      </c>
      <c r="I23" s="14">
        <f t="shared" si="2"/>
        <v>0.17100000000000001</v>
      </c>
    </row>
    <row r="24" spans="1:9" x14ac:dyDescent="0.25">
      <c r="A24" t="s">
        <v>19</v>
      </c>
      <c r="B24" t="s">
        <v>26</v>
      </c>
      <c r="C24" s="10"/>
      <c r="D24" s="10"/>
      <c r="E24" s="10">
        <v>620</v>
      </c>
      <c r="F24" s="10"/>
      <c r="G24" s="10">
        <f t="shared" si="0"/>
        <v>620</v>
      </c>
      <c r="H24">
        <f t="shared" si="1"/>
        <v>0.12</v>
      </c>
      <c r="I24" s="14">
        <f t="shared" si="2"/>
        <v>1E-3</v>
      </c>
    </row>
    <row r="25" spans="1:9" x14ac:dyDescent="0.25">
      <c r="A25" t="s">
        <v>19</v>
      </c>
      <c r="B25" t="s">
        <v>27</v>
      </c>
      <c r="C25" s="10"/>
      <c r="D25" s="10"/>
      <c r="E25" s="10">
        <v>432</v>
      </c>
      <c r="F25" s="10"/>
      <c r="G25" s="10">
        <f t="shared" si="0"/>
        <v>432</v>
      </c>
      <c r="H25">
        <f t="shared" si="1"/>
        <v>0.08</v>
      </c>
      <c r="I25" s="14">
        <f t="shared" si="2"/>
        <v>0</v>
      </c>
    </row>
    <row r="26" spans="1:9" x14ac:dyDescent="0.25">
      <c r="A26" t="s">
        <v>19</v>
      </c>
      <c r="B26" t="s">
        <v>28</v>
      </c>
      <c r="C26" s="10"/>
      <c r="D26" s="10"/>
      <c r="E26" s="10">
        <v>253</v>
      </c>
      <c r="F26" s="10"/>
      <c r="G26" s="10">
        <f t="shared" si="0"/>
        <v>253</v>
      </c>
      <c r="H26">
        <f t="shared" si="1"/>
        <v>0.05</v>
      </c>
      <c r="I26" s="14">
        <f t="shared" si="2"/>
        <v>0</v>
      </c>
    </row>
    <row r="27" spans="1:9" x14ac:dyDescent="0.25">
      <c r="A27" t="s">
        <v>19</v>
      </c>
      <c r="B27" t="s">
        <v>29</v>
      </c>
      <c r="C27" s="10"/>
      <c r="D27" s="10"/>
      <c r="E27" s="10">
        <v>1760</v>
      </c>
      <c r="F27" s="10"/>
      <c r="G27" s="10">
        <f t="shared" si="0"/>
        <v>1760</v>
      </c>
      <c r="H27">
        <f t="shared" si="1"/>
        <v>0.35</v>
      </c>
      <c r="I27" s="14">
        <f t="shared" si="2"/>
        <v>2E-3</v>
      </c>
    </row>
    <row r="28" spans="1:9" x14ac:dyDescent="0.25">
      <c r="A28" t="s">
        <v>19</v>
      </c>
      <c r="B28" t="s">
        <v>30</v>
      </c>
      <c r="C28" s="10"/>
      <c r="D28" s="10"/>
      <c r="E28" s="10">
        <v>490</v>
      </c>
      <c r="F28" s="10"/>
      <c r="G28" s="10">
        <f t="shared" si="0"/>
        <v>490</v>
      </c>
      <c r="H28">
        <f t="shared" si="1"/>
        <v>0.1</v>
      </c>
      <c r="I28" s="14">
        <f t="shared" si="2"/>
        <v>0</v>
      </c>
    </row>
    <row r="29" spans="1:9" x14ac:dyDescent="0.25">
      <c r="A29" t="s">
        <v>19</v>
      </c>
      <c r="B29" t="s">
        <v>31</v>
      </c>
      <c r="C29" s="10"/>
      <c r="D29" s="10"/>
      <c r="E29" s="10">
        <v>300</v>
      </c>
      <c r="F29" s="10"/>
      <c r="G29" s="10">
        <f t="shared" si="0"/>
        <v>300</v>
      </c>
      <c r="H29">
        <f t="shared" si="1"/>
        <v>0.06</v>
      </c>
      <c r="I29" s="14">
        <f t="shared" si="2"/>
        <v>0</v>
      </c>
    </row>
    <row r="30" spans="1:9" x14ac:dyDescent="0.25">
      <c r="A30" t="s">
        <v>19</v>
      </c>
      <c r="B30" t="s">
        <v>32</v>
      </c>
      <c r="C30" s="10"/>
      <c r="D30" s="10"/>
      <c r="E30" s="10">
        <v>1820</v>
      </c>
      <c r="F30" s="10"/>
      <c r="G30" s="10">
        <f t="shared" si="0"/>
        <v>1820</v>
      </c>
      <c r="H30">
        <f t="shared" si="1"/>
        <v>0.36</v>
      </c>
      <c r="I30" s="14">
        <f t="shared" si="2"/>
        <v>2E-3</v>
      </c>
    </row>
    <row r="31" spans="1:9" x14ac:dyDescent="0.25">
      <c r="A31" t="s">
        <v>19</v>
      </c>
      <c r="B31" t="s">
        <v>42</v>
      </c>
      <c r="C31" s="10"/>
      <c r="D31" s="10">
        <v>450</v>
      </c>
      <c r="E31" s="10"/>
      <c r="F31" s="10"/>
      <c r="G31" s="10">
        <f t="shared" si="0"/>
        <v>450</v>
      </c>
      <c r="H31">
        <f t="shared" si="1"/>
        <v>0.09</v>
      </c>
      <c r="I31" s="14">
        <f t="shared" si="2"/>
        <v>0</v>
      </c>
    </row>
    <row r="32" spans="1:9" x14ac:dyDescent="0.25">
      <c r="A32" t="s">
        <v>19</v>
      </c>
      <c r="B32" t="s">
        <v>67</v>
      </c>
      <c r="C32" s="10"/>
      <c r="D32" s="10"/>
      <c r="E32" s="10">
        <v>270</v>
      </c>
      <c r="F32" s="10"/>
      <c r="G32" s="10">
        <f t="shared" si="0"/>
        <v>270</v>
      </c>
      <c r="H32">
        <f t="shared" si="1"/>
        <v>0.05</v>
      </c>
      <c r="I32" s="14">
        <f t="shared" si="2"/>
        <v>0</v>
      </c>
    </row>
    <row r="33" spans="1:9" x14ac:dyDescent="0.25">
      <c r="A33" t="s">
        <v>19</v>
      </c>
      <c r="B33" t="s">
        <v>33</v>
      </c>
      <c r="C33" s="10"/>
      <c r="D33" s="10">
        <v>500</v>
      </c>
      <c r="E33" s="10"/>
      <c r="F33" s="10"/>
      <c r="G33" s="10">
        <f t="shared" si="0"/>
        <v>500</v>
      </c>
      <c r="H33">
        <f t="shared" si="1"/>
        <v>0.1</v>
      </c>
      <c r="I33" s="14">
        <f t="shared" si="2"/>
        <v>0</v>
      </c>
    </row>
    <row r="34" spans="1:9" x14ac:dyDescent="0.25">
      <c r="A34" t="s">
        <v>19</v>
      </c>
      <c r="B34" t="s">
        <v>34</v>
      </c>
      <c r="C34" s="10"/>
      <c r="D34" s="10"/>
      <c r="E34" s="10">
        <v>2376</v>
      </c>
      <c r="F34" s="10"/>
      <c r="G34" s="10">
        <f t="shared" si="0"/>
        <v>2376</v>
      </c>
      <c r="H34">
        <f t="shared" si="1"/>
        <v>0.47</v>
      </c>
      <c r="I34" s="14">
        <f t="shared" si="2"/>
        <v>2E-3</v>
      </c>
    </row>
    <row r="35" spans="1:9" x14ac:dyDescent="0.25">
      <c r="A35" t="s">
        <v>19</v>
      </c>
      <c r="B35" t="s">
        <v>40</v>
      </c>
      <c r="C35" s="10"/>
      <c r="D35" s="10"/>
      <c r="E35" s="10">
        <v>5540</v>
      </c>
      <c r="F35" s="10"/>
      <c r="G35" s="10">
        <f t="shared" si="0"/>
        <v>5540</v>
      </c>
      <c r="H35">
        <f t="shared" si="1"/>
        <v>1.0900000000000001</v>
      </c>
      <c r="I35" s="14">
        <f t="shared" si="2"/>
        <v>5.0000000000000001E-3</v>
      </c>
    </row>
    <row r="36" spans="1:9" x14ac:dyDescent="0.25">
      <c r="A36" t="s">
        <v>19</v>
      </c>
      <c r="B36" t="s">
        <v>35</v>
      </c>
      <c r="C36" s="10"/>
      <c r="D36" s="10"/>
      <c r="E36" s="10">
        <v>1776</v>
      </c>
      <c r="F36" s="10"/>
      <c r="G36" s="10">
        <f t="shared" si="0"/>
        <v>1776</v>
      </c>
      <c r="H36">
        <f t="shared" si="1"/>
        <v>0.35</v>
      </c>
      <c r="I36" s="14">
        <f t="shared" si="2"/>
        <v>2E-3</v>
      </c>
    </row>
    <row r="37" spans="1:9" x14ac:dyDescent="0.25">
      <c r="A37" t="s">
        <v>19</v>
      </c>
      <c r="B37" t="s">
        <v>36</v>
      </c>
      <c r="C37" s="10"/>
      <c r="D37" s="10"/>
      <c r="E37" s="10">
        <v>45950</v>
      </c>
      <c r="F37" s="10"/>
      <c r="G37" s="10">
        <f t="shared" si="0"/>
        <v>45950</v>
      </c>
      <c r="H37">
        <f t="shared" si="1"/>
        <v>9.0299999999999994</v>
      </c>
      <c r="I37" s="14">
        <f t="shared" si="2"/>
        <v>3.9E-2</v>
      </c>
    </row>
    <row r="38" spans="1:9" x14ac:dyDescent="0.25">
      <c r="A38" t="s">
        <v>19</v>
      </c>
      <c r="B38" t="s">
        <v>38</v>
      </c>
      <c r="C38" s="10"/>
      <c r="D38" s="10"/>
      <c r="E38" s="10">
        <v>15640</v>
      </c>
      <c r="F38" s="10"/>
      <c r="G38" s="10">
        <f t="shared" si="0"/>
        <v>15640</v>
      </c>
      <c r="H38">
        <f t="shared" si="1"/>
        <v>3.07</v>
      </c>
      <c r="I38" s="14">
        <f t="shared" si="2"/>
        <v>1.2999999999999999E-2</v>
      </c>
    </row>
    <row r="39" spans="1:9" x14ac:dyDescent="0.25">
      <c r="A39" t="s">
        <v>19</v>
      </c>
      <c r="B39" t="s">
        <v>39</v>
      </c>
      <c r="C39" s="10">
        <v>115040</v>
      </c>
      <c r="D39" s="10"/>
      <c r="E39" s="10">
        <v>136140</v>
      </c>
      <c r="F39" s="10"/>
      <c r="G39" s="10">
        <f t="shared" si="0"/>
        <v>251180</v>
      </c>
      <c r="H39">
        <f t="shared" si="1"/>
        <v>49.35</v>
      </c>
      <c r="I39" s="14">
        <f t="shared" si="2"/>
        <v>0.214</v>
      </c>
    </row>
    <row r="40" spans="1:9" x14ac:dyDescent="0.25">
      <c r="A40" t="s">
        <v>19</v>
      </c>
      <c r="B40" t="s">
        <v>22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t="s">
        <v>43</v>
      </c>
      <c r="B41" t="s">
        <v>44</v>
      </c>
      <c r="C41" s="10">
        <v>161670</v>
      </c>
      <c r="D41" s="10"/>
      <c r="E41" s="10"/>
      <c r="F41" s="10"/>
      <c r="G41" s="10">
        <f t="shared" si="0"/>
        <v>161670</v>
      </c>
      <c r="H41">
        <f t="shared" si="1"/>
        <v>31.76</v>
      </c>
      <c r="I41" s="14">
        <f t="shared" ref="I41" si="3">ROUND(G41/$G$44,3)</f>
        <v>0.13800000000000001</v>
      </c>
    </row>
    <row r="42" spans="1:9" x14ac:dyDescent="0.25">
      <c r="A42" t="s">
        <v>43</v>
      </c>
      <c r="B42" t="s">
        <v>46</v>
      </c>
      <c r="C42" s="10"/>
      <c r="D42" s="10"/>
      <c r="E42" s="10"/>
      <c r="F42" s="10">
        <v>22820</v>
      </c>
      <c r="G42" s="10">
        <f t="shared" si="0"/>
        <v>22820</v>
      </c>
      <c r="H42">
        <f t="shared" si="1"/>
        <v>4.4800000000000004</v>
      </c>
      <c r="I42" s="14">
        <f>ROUND(G42/$G$44,3)</f>
        <v>1.9E-2</v>
      </c>
    </row>
    <row r="43" spans="1:9" x14ac:dyDescent="0.25">
      <c r="A43" t="s">
        <v>43</v>
      </c>
      <c r="B43" t="s">
        <v>45</v>
      </c>
      <c r="C43" s="10"/>
      <c r="D43" s="10"/>
      <c r="E43" s="10">
        <v>31740</v>
      </c>
      <c r="F43" s="10"/>
      <c r="G43" s="10">
        <f t="shared" si="0"/>
        <v>31740</v>
      </c>
      <c r="H43">
        <f t="shared" si="1"/>
        <v>6.24</v>
      </c>
      <c r="I43" s="14">
        <f>ROUND(G43/$G$44,3)</f>
        <v>2.7E-2</v>
      </c>
    </row>
    <row r="44" spans="1:9" x14ac:dyDescent="0.25">
      <c r="A44" s="3" t="s">
        <v>253</v>
      </c>
      <c r="B44" s="3"/>
      <c r="C44" s="8">
        <f t="shared" ref="C44:H44" si="4">SUM(C8:C43)</f>
        <v>276710</v>
      </c>
      <c r="D44" s="8">
        <f t="shared" si="4"/>
        <v>561150</v>
      </c>
      <c r="E44" s="8">
        <f t="shared" si="4"/>
        <v>309954</v>
      </c>
      <c r="F44" s="8">
        <f t="shared" si="4"/>
        <v>23405</v>
      </c>
      <c r="G44" s="8">
        <f t="shared" si="4"/>
        <v>1171219</v>
      </c>
      <c r="H44" s="3">
        <f t="shared" si="4"/>
        <v>230.10999999999996</v>
      </c>
    </row>
    <row r="45" spans="1:9" x14ac:dyDescent="0.25">
      <c r="A45" s="3" t="s">
        <v>14</v>
      </c>
      <c r="B45" s="3"/>
      <c r="C45" s="13">
        <f>ROUND(C44/G44,2)</f>
        <v>0.24</v>
      </c>
      <c r="D45" s="13">
        <f>ROUND(D44/G44,2)</f>
        <v>0.48</v>
      </c>
      <c r="E45" s="13">
        <f>ROUND(E44/G44,2)</f>
        <v>0.26</v>
      </c>
      <c r="F45" s="13">
        <f>ROUND(F44/G44,2)</f>
        <v>0.02</v>
      </c>
      <c r="G45" s="3"/>
      <c r="H45" s="3"/>
    </row>
    <row r="46" spans="1:9" x14ac:dyDescent="0.25">
      <c r="A46" s="3" t="s">
        <v>47</v>
      </c>
      <c r="B46" s="3"/>
      <c r="C46" s="3"/>
      <c r="D46" s="3"/>
      <c r="E46" s="3"/>
      <c r="F46" s="3"/>
      <c r="G46" s="3"/>
      <c r="H46" s="3"/>
    </row>
    <row r="47" spans="1:9" x14ac:dyDescent="0.25">
      <c r="A47" s="3" t="s">
        <v>48</v>
      </c>
      <c r="B47" s="3"/>
      <c r="C47" s="8">
        <v>115040</v>
      </c>
      <c r="D47" s="8">
        <v>561150</v>
      </c>
      <c r="E47" s="8">
        <v>278214</v>
      </c>
      <c r="F47" s="8">
        <v>221</v>
      </c>
      <c r="G47" s="8">
        <f>SUM(C47:F47)</f>
        <v>954625</v>
      </c>
      <c r="H47" s="3">
        <f>ROUND(G47/5090,2)</f>
        <v>187.55</v>
      </c>
    </row>
    <row r="48" spans="1:9" x14ac:dyDescent="0.25">
      <c r="A48" s="3" t="s">
        <v>49</v>
      </c>
      <c r="B48" s="3"/>
      <c r="C48" s="8">
        <v>161670</v>
      </c>
      <c r="D48" s="8">
        <v>0</v>
      </c>
      <c r="E48" s="8">
        <v>31740</v>
      </c>
      <c r="F48" s="8">
        <v>22820</v>
      </c>
      <c r="G48" s="8">
        <f>SUM(C48:F48)</f>
        <v>216230</v>
      </c>
      <c r="H48" s="3">
        <f>ROUND(G48/5090,2)</f>
        <v>42.48</v>
      </c>
    </row>
    <row r="49" spans="1:8" x14ac:dyDescent="0.25">
      <c r="A49" s="3" t="s">
        <v>50</v>
      </c>
      <c r="B49" s="3"/>
      <c r="C49" s="8">
        <v>0</v>
      </c>
      <c r="D49" s="8">
        <v>0</v>
      </c>
      <c r="E49" s="8">
        <v>0</v>
      </c>
      <c r="F49" s="8">
        <v>364</v>
      </c>
      <c r="G49" s="8">
        <f>SUM(C49:F49)</f>
        <v>364</v>
      </c>
      <c r="H49" s="3">
        <f>ROUND(G49/5090,2)</f>
        <v>7.0000000000000007E-2</v>
      </c>
    </row>
    <row r="51" spans="1:8" x14ac:dyDescent="0.25">
      <c r="A51" s="3"/>
      <c r="B51" s="3"/>
      <c r="C51" s="3" t="s">
        <v>2</v>
      </c>
      <c r="D51" s="3">
        <v>2022</v>
      </c>
      <c r="E51" s="3" t="s">
        <v>51</v>
      </c>
    </row>
    <row r="52" spans="1:8" x14ac:dyDescent="0.25">
      <c r="A52" s="3" t="s">
        <v>52</v>
      </c>
      <c r="B52" s="3"/>
      <c r="C52" s="13">
        <v>0.85460000000000003</v>
      </c>
      <c r="D52" s="13">
        <v>0.85550000000000004</v>
      </c>
      <c r="E52" s="13">
        <v>0.77659999999999996</v>
      </c>
    </row>
    <row r="53" spans="1:8" x14ac:dyDescent="0.25">
      <c r="A53" s="3" t="s">
        <v>53</v>
      </c>
      <c r="B53" s="3"/>
      <c r="C53" s="13">
        <v>0.85460000000000003</v>
      </c>
      <c r="D53" s="13">
        <v>0.80469999999999997</v>
      </c>
      <c r="E53" s="13">
        <v>0.75900000000000001</v>
      </c>
    </row>
    <row r="55" spans="1:8" x14ac:dyDescent="0.25">
      <c r="A55" s="3" t="s">
        <v>256</v>
      </c>
      <c r="B55" s="3"/>
      <c r="C55" s="3" t="s">
        <v>2</v>
      </c>
      <c r="D55" s="3" t="s">
        <v>173</v>
      </c>
      <c r="E55" s="3" t="s">
        <v>55</v>
      </c>
      <c r="F55" s="3" t="s">
        <v>254</v>
      </c>
      <c r="G55" s="3"/>
    </row>
    <row r="56" spans="1:8" x14ac:dyDescent="0.25">
      <c r="A56" s="3" t="s">
        <v>56</v>
      </c>
      <c r="B56" s="3"/>
      <c r="C56" s="3"/>
      <c r="D56" s="3">
        <v>52.67</v>
      </c>
      <c r="E56" s="3">
        <v>81.5</v>
      </c>
      <c r="F56" s="3">
        <v>50.61</v>
      </c>
      <c r="G56" s="3"/>
    </row>
    <row r="57" spans="1:8" x14ac:dyDescent="0.25">
      <c r="A57" s="3" t="s">
        <v>57</v>
      </c>
      <c r="B57" s="3"/>
      <c r="C57" s="3"/>
      <c r="D57" s="3">
        <v>73.09</v>
      </c>
      <c r="E57" s="3">
        <v>58.24</v>
      </c>
      <c r="F57" s="3">
        <v>57.37</v>
      </c>
      <c r="G57" s="3"/>
    </row>
    <row r="58" spans="1:8" x14ac:dyDescent="0.25">
      <c r="A58" s="3" t="s">
        <v>58</v>
      </c>
      <c r="B58" s="3"/>
      <c r="C58" s="3"/>
      <c r="D58" s="3">
        <v>333.7</v>
      </c>
      <c r="E58" s="3">
        <v>261.52999999999997</v>
      </c>
      <c r="F58" s="3">
        <v>249.57</v>
      </c>
      <c r="G58" s="3"/>
    </row>
    <row r="59" spans="1:8" x14ac:dyDescent="0.25">
      <c r="A59" s="3" t="s">
        <v>59</v>
      </c>
      <c r="B59" s="3"/>
      <c r="C59" s="3"/>
      <c r="D59" s="3">
        <v>68.760000000000005</v>
      </c>
      <c r="E59" s="3">
        <v>103.11</v>
      </c>
      <c r="F59" s="3">
        <v>71.400000000000006</v>
      </c>
      <c r="G5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I48"/>
  <sheetViews>
    <sheetView topLeftCell="A21" workbookViewId="0">
      <selection activeCell="G45" sqref="G45:G48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2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174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1973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25660</v>
      </c>
      <c r="D9" s="10"/>
      <c r="E9" s="10">
        <v>3271.14</v>
      </c>
      <c r="F9" s="10"/>
      <c r="G9" s="10">
        <f t="shared" ref="G9:G32" si="0">SUM(C9:F9)</f>
        <v>28931.14</v>
      </c>
      <c r="H9">
        <f t="shared" ref="H9:H32" si="1">ROUND(G9/1973,2)</f>
        <v>14.66</v>
      </c>
      <c r="I9" s="14">
        <f t="shared" ref="I9:I32" si="2">ROUND(G9/$G$33,3)</f>
        <v>7.6999999999999999E-2</v>
      </c>
    </row>
    <row r="10" spans="1:9" x14ac:dyDescent="0.25">
      <c r="A10" t="s">
        <v>19</v>
      </c>
      <c r="B10" t="s">
        <v>21</v>
      </c>
      <c r="C10" s="10">
        <v>40680</v>
      </c>
      <c r="D10" s="10"/>
      <c r="E10" s="10"/>
      <c r="F10" s="10"/>
      <c r="G10" s="10">
        <f t="shared" si="0"/>
        <v>40680</v>
      </c>
      <c r="H10">
        <f t="shared" si="1"/>
        <v>20.62</v>
      </c>
      <c r="I10" s="14">
        <f t="shared" si="2"/>
        <v>0.108</v>
      </c>
    </row>
    <row r="11" spans="1:9" x14ac:dyDescent="0.25">
      <c r="A11" t="s">
        <v>19</v>
      </c>
      <c r="B11" t="s">
        <v>41</v>
      </c>
      <c r="C11" s="10"/>
      <c r="D11" s="10"/>
      <c r="E11" s="10">
        <v>88.98</v>
      </c>
      <c r="F11" s="10"/>
      <c r="G11" s="10">
        <f t="shared" si="0"/>
        <v>88.98</v>
      </c>
      <c r="H11">
        <f t="shared" si="1"/>
        <v>0.05</v>
      </c>
      <c r="I11" s="14">
        <f t="shared" si="2"/>
        <v>0</v>
      </c>
    </row>
    <row r="12" spans="1:9" x14ac:dyDescent="0.25">
      <c r="A12" t="s">
        <v>19</v>
      </c>
      <c r="B12" t="s">
        <v>22</v>
      </c>
      <c r="C12" s="10"/>
      <c r="D12" s="10"/>
      <c r="E12" s="10">
        <v>428.57</v>
      </c>
      <c r="F12" s="10"/>
      <c r="G12" s="10">
        <f t="shared" si="0"/>
        <v>428.57</v>
      </c>
      <c r="H12">
        <f t="shared" si="1"/>
        <v>0.22</v>
      </c>
      <c r="I12" s="14">
        <f t="shared" si="2"/>
        <v>1E-3</v>
      </c>
    </row>
    <row r="13" spans="1:9" x14ac:dyDescent="0.25">
      <c r="A13" t="s">
        <v>19</v>
      </c>
      <c r="B13" t="s">
        <v>23</v>
      </c>
      <c r="C13" s="10"/>
      <c r="D13" s="10"/>
      <c r="E13" s="10">
        <v>31938.21</v>
      </c>
      <c r="F13" s="10"/>
      <c r="G13" s="10">
        <f t="shared" si="0"/>
        <v>31938.21</v>
      </c>
      <c r="H13">
        <f t="shared" si="1"/>
        <v>16.190000000000001</v>
      </c>
      <c r="I13" s="14">
        <f t="shared" si="2"/>
        <v>8.5000000000000006E-2</v>
      </c>
    </row>
    <row r="14" spans="1:9" x14ac:dyDescent="0.25">
      <c r="A14" t="s">
        <v>19</v>
      </c>
      <c r="B14" t="s">
        <v>24</v>
      </c>
      <c r="C14" s="10">
        <v>30510</v>
      </c>
      <c r="D14" s="10"/>
      <c r="E14" s="10">
        <v>11582.13</v>
      </c>
      <c r="F14" s="10"/>
      <c r="G14" s="10">
        <f t="shared" si="0"/>
        <v>42092.13</v>
      </c>
      <c r="H14">
        <f t="shared" si="1"/>
        <v>21.33</v>
      </c>
      <c r="I14" s="14">
        <f t="shared" si="2"/>
        <v>0.112</v>
      </c>
    </row>
    <row r="15" spans="1:9" x14ac:dyDescent="0.25">
      <c r="A15" t="s">
        <v>19</v>
      </c>
      <c r="B15" t="s">
        <v>25</v>
      </c>
      <c r="C15" s="10">
        <v>32070</v>
      </c>
      <c r="D15" s="10"/>
      <c r="E15" s="10"/>
      <c r="F15" s="10">
        <v>40</v>
      </c>
      <c r="G15" s="10">
        <f t="shared" si="0"/>
        <v>32110</v>
      </c>
      <c r="H15">
        <f t="shared" si="1"/>
        <v>16.27</v>
      </c>
      <c r="I15" s="14">
        <f t="shared" si="2"/>
        <v>8.5999999999999993E-2</v>
      </c>
    </row>
    <row r="16" spans="1:9" x14ac:dyDescent="0.25">
      <c r="A16" t="s">
        <v>19</v>
      </c>
      <c r="B16" t="s">
        <v>28</v>
      </c>
      <c r="C16" s="10"/>
      <c r="D16" s="10"/>
      <c r="E16" s="10">
        <v>56.37</v>
      </c>
      <c r="F16" s="10"/>
      <c r="G16" s="10">
        <f t="shared" si="0"/>
        <v>56.37</v>
      </c>
      <c r="H16">
        <f t="shared" si="1"/>
        <v>0.03</v>
      </c>
      <c r="I16" s="14">
        <f t="shared" si="2"/>
        <v>0</v>
      </c>
    </row>
    <row r="17" spans="1:9" x14ac:dyDescent="0.25">
      <c r="A17" t="s">
        <v>19</v>
      </c>
      <c r="B17" t="s">
        <v>29</v>
      </c>
      <c r="C17" s="10"/>
      <c r="D17" s="10"/>
      <c r="E17" s="10">
        <v>1710.66</v>
      </c>
      <c r="F17" s="10"/>
      <c r="G17" s="10">
        <f t="shared" si="0"/>
        <v>1710.66</v>
      </c>
      <c r="H17">
        <f t="shared" si="1"/>
        <v>0.87</v>
      </c>
      <c r="I17" s="14">
        <f t="shared" si="2"/>
        <v>5.0000000000000001E-3</v>
      </c>
    </row>
    <row r="18" spans="1:9" x14ac:dyDescent="0.25">
      <c r="A18" t="s">
        <v>19</v>
      </c>
      <c r="B18" t="s">
        <v>30</v>
      </c>
      <c r="C18" s="10"/>
      <c r="D18" s="10"/>
      <c r="E18" s="10">
        <v>191.14</v>
      </c>
      <c r="F18" s="10"/>
      <c r="G18" s="10">
        <f t="shared" si="0"/>
        <v>191.14</v>
      </c>
      <c r="H18">
        <f t="shared" si="1"/>
        <v>0.1</v>
      </c>
      <c r="I18" s="14">
        <f t="shared" si="2"/>
        <v>1E-3</v>
      </c>
    </row>
    <row r="19" spans="1:9" x14ac:dyDescent="0.25">
      <c r="A19" t="s">
        <v>19</v>
      </c>
      <c r="B19" t="s">
        <v>32</v>
      </c>
      <c r="C19" s="10"/>
      <c r="D19" s="10"/>
      <c r="E19" s="10">
        <v>650.75</v>
      </c>
      <c r="F19" s="10"/>
      <c r="G19" s="10">
        <f t="shared" si="0"/>
        <v>650.75</v>
      </c>
      <c r="H19">
        <f t="shared" si="1"/>
        <v>0.33</v>
      </c>
      <c r="I19" s="14">
        <f t="shared" si="2"/>
        <v>2E-3</v>
      </c>
    </row>
    <row r="20" spans="1:9" x14ac:dyDescent="0.25">
      <c r="A20" t="s">
        <v>19</v>
      </c>
      <c r="B20" t="s">
        <v>42</v>
      </c>
      <c r="C20" s="10"/>
      <c r="D20" s="10"/>
      <c r="E20" s="10">
        <v>60</v>
      </c>
      <c r="F20" s="10"/>
      <c r="G20" s="10">
        <f t="shared" si="0"/>
        <v>60</v>
      </c>
      <c r="H20">
        <f t="shared" si="1"/>
        <v>0.03</v>
      </c>
      <c r="I20" s="14">
        <f t="shared" si="2"/>
        <v>0</v>
      </c>
    </row>
    <row r="21" spans="1:9" x14ac:dyDescent="0.25">
      <c r="A21" t="s">
        <v>19</v>
      </c>
      <c r="B21" t="s">
        <v>34</v>
      </c>
      <c r="C21" s="10"/>
      <c r="D21" s="10"/>
      <c r="E21" s="10">
        <v>1155.1500000000001</v>
      </c>
      <c r="F21" s="10"/>
      <c r="G21" s="10">
        <f t="shared" si="0"/>
        <v>1155.1500000000001</v>
      </c>
      <c r="H21">
        <f t="shared" si="1"/>
        <v>0.59</v>
      </c>
      <c r="I21" s="14">
        <f t="shared" si="2"/>
        <v>3.0000000000000001E-3</v>
      </c>
    </row>
    <row r="22" spans="1:9" x14ac:dyDescent="0.25">
      <c r="A22" t="s">
        <v>19</v>
      </c>
      <c r="B22" t="s">
        <v>35</v>
      </c>
      <c r="C22" s="10"/>
      <c r="D22" s="10"/>
      <c r="E22" s="10">
        <v>2076.33</v>
      </c>
      <c r="F22" s="10"/>
      <c r="G22" s="10">
        <f t="shared" si="0"/>
        <v>2076.33</v>
      </c>
      <c r="H22">
        <f t="shared" si="1"/>
        <v>1.05</v>
      </c>
      <c r="I22" s="14">
        <f t="shared" si="2"/>
        <v>6.0000000000000001E-3</v>
      </c>
    </row>
    <row r="23" spans="1:9" x14ac:dyDescent="0.25">
      <c r="A23" t="s">
        <v>19</v>
      </c>
      <c r="B23" t="s">
        <v>36</v>
      </c>
      <c r="C23" s="10"/>
      <c r="D23" s="10"/>
      <c r="E23" s="10">
        <v>34948.57</v>
      </c>
      <c r="F23" s="10"/>
      <c r="G23" s="10">
        <f t="shared" si="0"/>
        <v>34948.57</v>
      </c>
      <c r="H23">
        <f t="shared" si="1"/>
        <v>17.71</v>
      </c>
      <c r="I23" s="14">
        <f t="shared" si="2"/>
        <v>9.2999999999999999E-2</v>
      </c>
    </row>
    <row r="24" spans="1:9" x14ac:dyDescent="0.25">
      <c r="A24" t="s">
        <v>19</v>
      </c>
      <c r="B24" t="s">
        <v>37</v>
      </c>
      <c r="C24" s="10"/>
      <c r="D24" s="10"/>
      <c r="E24" s="10">
        <v>2134.84</v>
      </c>
      <c r="F24" s="10"/>
      <c r="G24" s="10">
        <f t="shared" si="0"/>
        <v>2134.84</v>
      </c>
      <c r="H24">
        <f t="shared" si="1"/>
        <v>1.08</v>
      </c>
      <c r="I24" s="14">
        <f t="shared" si="2"/>
        <v>6.0000000000000001E-3</v>
      </c>
    </row>
    <row r="25" spans="1:9" x14ac:dyDescent="0.25">
      <c r="A25" t="s">
        <v>19</v>
      </c>
      <c r="B25" t="s">
        <v>38</v>
      </c>
      <c r="C25" s="10"/>
      <c r="D25" s="10"/>
      <c r="E25" s="10">
        <v>8106.69</v>
      </c>
      <c r="F25" s="10"/>
      <c r="G25" s="10">
        <f t="shared" si="0"/>
        <v>8106.69</v>
      </c>
      <c r="H25">
        <f t="shared" si="1"/>
        <v>4.1100000000000003</v>
      </c>
      <c r="I25" s="14">
        <f t="shared" si="2"/>
        <v>2.1999999999999999E-2</v>
      </c>
    </row>
    <row r="26" spans="1:9" x14ac:dyDescent="0.25">
      <c r="A26" t="s">
        <v>19</v>
      </c>
      <c r="B26" t="s">
        <v>39</v>
      </c>
      <c r="C26" s="10"/>
      <c r="D26" s="10"/>
      <c r="E26" s="10">
        <v>8801.51</v>
      </c>
      <c r="F26" s="10"/>
      <c r="G26" s="10">
        <f t="shared" si="0"/>
        <v>8801.51</v>
      </c>
      <c r="H26">
        <f t="shared" si="1"/>
        <v>4.46</v>
      </c>
      <c r="I26" s="14">
        <f t="shared" si="2"/>
        <v>2.3E-2</v>
      </c>
    </row>
    <row r="27" spans="1:9" x14ac:dyDescent="0.25">
      <c r="A27" t="s">
        <v>19</v>
      </c>
      <c r="B27" t="s">
        <v>33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31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43</v>
      </c>
      <c r="B29" t="s">
        <v>44</v>
      </c>
      <c r="C29" s="10">
        <v>123220</v>
      </c>
      <c r="D29" s="10"/>
      <c r="E29" s="10"/>
      <c r="F29" s="10">
        <v>60</v>
      </c>
      <c r="G29" s="10">
        <f t="shared" si="0"/>
        <v>123280</v>
      </c>
      <c r="H29">
        <f t="shared" si="1"/>
        <v>62.48</v>
      </c>
      <c r="I29" s="14">
        <f t="shared" si="2"/>
        <v>0.32900000000000001</v>
      </c>
    </row>
    <row r="30" spans="1:9" x14ac:dyDescent="0.25">
      <c r="A30" t="s">
        <v>43</v>
      </c>
      <c r="B30" t="s">
        <v>45</v>
      </c>
      <c r="C30" s="10"/>
      <c r="D30" s="10"/>
      <c r="E30" s="10">
        <v>15493.21</v>
      </c>
      <c r="F30" s="10"/>
      <c r="G30" s="10">
        <f t="shared" si="0"/>
        <v>15493.21</v>
      </c>
      <c r="H30">
        <f t="shared" si="1"/>
        <v>7.85</v>
      </c>
      <c r="I30" s="14">
        <f t="shared" si="2"/>
        <v>4.1000000000000002E-2</v>
      </c>
    </row>
    <row r="31" spans="1:9" x14ac:dyDescent="0.25">
      <c r="A31" t="s">
        <v>43</v>
      </c>
      <c r="B31" t="s">
        <v>46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15</v>
      </c>
      <c r="B32" t="s">
        <v>18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8" x14ac:dyDescent="0.25">
      <c r="A33" s="3" t="s">
        <v>253</v>
      </c>
      <c r="B33" s="3"/>
      <c r="C33" s="8">
        <f t="shared" ref="C33:H33" si="3">SUM(C8:C32)</f>
        <v>252140</v>
      </c>
      <c r="D33" s="8">
        <f t="shared" si="3"/>
        <v>0</v>
      </c>
      <c r="E33" s="8">
        <f t="shared" si="3"/>
        <v>122694.25</v>
      </c>
      <c r="F33" s="8">
        <f t="shared" si="3"/>
        <v>100</v>
      </c>
      <c r="G33" s="8">
        <f t="shared" si="3"/>
        <v>374934.25000000006</v>
      </c>
      <c r="H33" s="3">
        <f t="shared" si="3"/>
        <v>190.02999999999997</v>
      </c>
    </row>
    <row r="34" spans="1:8" x14ac:dyDescent="0.25">
      <c r="A34" s="3" t="s">
        <v>14</v>
      </c>
      <c r="B34" s="3"/>
      <c r="C34" s="13">
        <f>ROUND(C33/G33,2)</f>
        <v>0.67</v>
      </c>
      <c r="D34" s="13">
        <f>ROUND(D33/G33,2)</f>
        <v>0</v>
      </c>
      <c r="E34" s="13">
        <f>ROUND(E33/G33,2)</f>
        <v>0.33</v>
      </c>
      <c r="F34" s="13">
        <f>ROUND(F33/G33,2)</f>
        <v>0</v>
      </c>
      <c r="G34" s="3"/>
      <c r="H34" s="3"/>
    </row>
    <row r="35" spans="1:8" x14ac:dyDescent="0.25">
      <c r="A35" s="3" t="s">
        <v>47</v>
      </c>
      <c r="B35" s="3"/>
      <c r="C35" s="3"/>
      <c r="D35" s="3"/>
      <c r="E35" s="3"/>
      <c r="F35" s="3"/>
      <c r="G35" s="3"/>
      <c r="H35" s="3"/>
    </row>
    <row r="36" spans="1:8" x14ac:dyDescent="0.25">
      <c r="A36" s="3" t="s">
        <v>48</v>
      </c>
      <c r="B36" s="3"/>
      <c r="C36" s="8">
        <v>128920</v>
      </c>
      <c r="D36" s="8">
        <v>0</v>
      </c>
      <c r="E36" s="8">
        <v>107201.04</v>
      </c>
      <c r="F36" s="8">
        <v>40</v>
      </c>
      <c r="G36" s="8">
        <f>SUM(C36:F36)</f>
        <v>236161.03999999998</v>
      </c>
      <c r="H36" s="3">
        <f>ROUND(G36/1973,2)</f>
        <v>119.7</v>
      </c>
    </row>
    <row r="37" spans="1:8" x14ac:dyDescent="0.25">
      <c r="A37" s="3" t="s">
        <v>49</v>
      </c>
      <c r="B37" s="3"/>
      <c r="C37" s="8">
        <v>123220</v>
      </c>
      <c r="D37" s="8">
        <v>0</v>
      </c>
      <c r="E37" s="8">
        <v>15493.21</v>
      </c>
      <c r="F37" s="8">
        <v>60</v>
      </c>
      <c r="G37" s="8">
        <f>SUM(C37:F37)</f>
        <v>138773.21</v>
      </c>
      <c r="H37" s="3">
        <f>ROUND(G37/1973,2)</f>
        <v>70.34</v>
      </c>
    </row>
    <row r="38" spans="1:8" x14ac:dyDescent="0.25">
      <c r="A38" s="3" t="s">
        <v>50</v>
      </c>
      <c r="B38" s="3"/>
      <c r="C38" s="8">
        <v>0</v>
      </c>
      <c r="D38" s="8">
        <v>0</v>
      </c>
      <c r="E38" s="8">
        <v>0</v>
      </c>
      <c r="F38" s="8">
        <v>0</v>
      </c>
      <c r="G38" s="8">
        <f>SUM(C38:F38)</f>
        <v>0</v>
      </c>
      <c r="H38" s="3">
        <f>ROUND(G38/1973,2)</f>
        <v>0</v>
      </c>
    </row>
    <row r="40" spans="1:8" x14ac:dyDescent="0.25">
      <c r="A40" s="3"/>
      <c r="B40" s="3"/>
      <c r="C40" s="3" t="s">
        <v>2</v>
      </c>
      <c r="D40" s="3">
        <v>2022</v>
      </c>
      <c r="E40" s="3" t="s">
        <v>51</v>
      </c>
    </row>
    <row r="41" spans="1:8" x14ac:dyDescent="0.25">
      <c r="A41" s="3" t="s">
        <v>52</v>
      </c>
      <c r="B41" s="3"/>
      <c r="C41" s="13">
        <v>0.6401</v>
      </c>
      <c r="D41" s="13">
        <v>0.67190000000000005</v>
      </c>
      <c r="E41" s="13">
        <v>0.77659999999999996</v>
      </c>
    </row>
    <row r="42" spans="1:8" x14ac:dyDescent="0.25">
      <c r="A42" s="3" t="s">
        <v>53</v>
      </c>
      <c r="B42" s="3"/>
      <c r="C42" s="13">
        <v>0.6401</v>
      </c>
      <c r="D42" s="13">
        <v>0.63649999999999995</v>
      </c>
      <c r="E42" s="13">
        <v>0.75900000000000001</v>
      </c>
    </row>
    <row r="44" spans="1:8" x14ac:dyDescent="0.25">
      <c r="A44" s="3" t="s">
        <v>256</v>
      </c>
      <c r="B44" s="3"/>
      <c r="C44" s="3" t="s">
        <v>2</v>
      </c>
      <c r="D44" s="3" t="s">
        <v>175</v>
      </c>
      <c r="E44" s="3" t="s">
        <v>55</v>
      </c>
      <c r="F44" s="3" t="s">
        <v>254</v>
      </c>
      <c r="G44" s="3"/>
    </row>
    <row r="45" spans="1:8" x14ac:dyDescent="0.25">
      <c r="A45" s="3" t="s">
        <v>56</v>
      </c>
      <c r="B45" s="3"/>
      <c r="C45" s="3"/>
      <c r="D45" s="3">
        <v>112.93</v>
      </c>
      <c r="E45" s="3">
        <v>81.5</v>
      </c>
      <c r="F45" s="3">
        <v>50.61</v>
      </c>
      <c r="G45" s="3"/>
    </row>
    <row r="46" spans="1:8" x14ac:dyDescent="0.25">
      <c r="A46" s="3" t="s">
        <v>57</v>
      </c>
      <c r="B46" s="3"/>
      <c r="C46" s="3"/>
      <c r="D46" s="3">
        <v>44.89</v>
      </c>
      <c r="E46" s="3">
        <v>58.24</v>
      </c>
      <c r="F46" s="3">
        <v>57.37</v>
      </c>
      <c r="G46" s="3"/>
    </row>
    <row r="47" spans="1:8" x14ac:dyDescent="0.25">
      <c r="A47" s="3" t="s">
        <v>58</v>
      </c>
      <c r="B47" s="3"/>
      <c r="C47" s="3"/>
      <c r="D47" s="3">
        <v>246.32</v>
      </c>
      <c r="E47" s="3">
        <v>261.52999999999997</v>
      </c>
      <c r="F47" s="3">
        <v>249.57</v>
      </c>
      <c r="G47" s="3"/>
    </row>
    <row r="48" spans="1:8" x14ac:dyDescent="0.25">
      <c r="A48" s="3" t="s">
        <v>59</v>
      </c>
      <c r="B48" s="3"/>
      <c r="C48" s="3"/>
      <c r="D48" s="3">
        <v>130.18</v>
      </c>
      <c r="E48" s="3">
        <v>103.11</v>
      </c>
      <c r="F48" s="3">
        <v>71.400000000000006</v>
      </c>
      <c r="G4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I62"/>
  <sheetViews>
    <sheetView topLeftCell="A36" workbookViewId="0">
      <selection activeCell="G59" sqref="G59:G62"/>
    </sheetView>
  </sheetViews>
  <sheetFormatPr defaultRowHeight="15" x14ac:dyDescent="0.25"/>
  <cols>
    <col min="1" max="1" width="48.28515625" bestFit="1" customWidth="1"/>
    <col min="2" max="2" width="57.28515625" bestFit="1" customWidth="1"/>
    <col min="3" max="3" width="12.5703125" bestFit="1" customWidth="1"/>
    <col min="4" max="4" width="29.855468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176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9252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10</v>
      </c>
      <c r="G9" s="10">
        <f t="shared" ref="G9:G46" si="0">SUM(C9:F9)</f>
        <v>10</v>
      </c>
      <c r="H9">
        <f t="shared" ref="H9:H46" si="1">ROUND(G9/9252,2)</f>
        <v>0</v>
      </c>
      <c r="I9" s="14">
        <f t="shared" ref="I9:I40" si="2">ROUND(G9/$G$47,3)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262</v>
      </c>
      <c r="G10" s="10">
        <f t="shared" si="0"/>
        <v>262</v>
      </c>
      <c r="H10">
        <f t="shared" si="1"/>
        <v>0.03</v>
      </c>
      <c r="I10" s="14">
        <f t="shared" si="2"/>
        <v>0</v>
      </c>
    </row>
    <row r="11" spans="1:9" x14ac:dyDescent="0.25">
      <c r="A11" t="s">
        <v>15</v>
      </c>
      <c r="B11" t="s">
        <v>63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18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89</v>
      </c>
      <c r="F13" s="10"/>
      <c r="G13" s="10">
        <f t="shared" si="0"/>
        <v>89</v>
      </c>
      <c r="H13">
        <f t="shared" si="1"/>
        <v>0.01</v>
      </c>
      <c r="I13" s="14">
        <f t="shared" si="2"/>
        <v>0</v>
      </c>
    </row>
    <row r="14" spans="1:9" x14ac:dyDescent="0.25">
      <c r="A14" t="s">
        <v>19</v>
      </c>
      <c r="B14" t="s">
        <v>20</v>
      </c>
      <c r="C14" s="10">
        <v>132950</v>
      </c>
      <c r="D14" s="10"/>
      <c r="E14" s="10">
        <v>5460</v>
      </c>
      <c r="F14" s="10"/>
      <c r="G14" s="10">
        <f t="shared" si="0"/>
        <v>138410</v>
      </c>
      <c r="H14">
        <f t="shared" si="1"/>
        <v>14.96</v>
      </c>
      <c r="I14" s="14">
        <f t="shared" si="2"/>
        <v>7.5999999999999998E-2</v>
      </c>
    </row>
    <row r="15" spans="1:9" x14ac:dyDescent="0.25">
      <c r="A15" t="s">
        <v>19</v>
      </c>
      <c r="B15" t="s">
        <v>21</v>
      </c>
      <c r="C15" s="10">
        <v>159520</v>
      </c>
      <c r="D15" s="10"/>
      <c r="E15" s="10"/>
      <c r="F15" s="10"/>
      <c r="G15" s="10">
        <f t="shared" si="0"/>
        <v>159520</v>
      </c>
      <c r="H15">
        <f t="shared" si="1"/>
        <v>17.239999999999998</v>
      </c>
      <c r="I15" s="14">
        <f t="shared" si="2"/>
        <v>8.6999999999999994E-2</v>
      </c>
    </row>
    <row r="16" spans="1:9" x14ac:dyDescent="0.25">
      <c r="A16" t="s">
        <v>19</v>
      </c>
      <c r="B16" t="s">
        <v>76</v>
      </c>
      <c r="C16" s="10"/>
      <c r="D16" s="10"/>
      <c r="E16" s="10">
        <v>56</v>
      </c>
      <c r="F16" s="10"/>
      <c r="G16" s="10">
        <f t="shared" si="0"/>
        <v>56</v>
      </c>
      <c r="H16">
        <f t="shared" si="1"/>
        <v>0.01</v>
      </c>
      <c r="I16" s="14">
        <f t="shared" si="2"/>
        <v>0</v>
      </c>
    </row>
    <row r="17" spans="1:9" x14ac:dyDescent="0.25">
      <c r="A17" t="s">
        <v>19</v>
      </c>
      <c r="B17" t="s">
        <v>41</v>
      </c>
      <c r="C17" s="10"/>
      <c r="D17" s="10"/>
      <c r="E17" s="10">
        <v>104</v>
      </c>
      <c r="F17" s="10"/>
      <c r="G17" s="10">
        <f t="shared" si="0"/>
        <v>104</v>
      </c>
      <c r="H17">
        <f t="shared" si="1"/>
        <v>0.01</v>
      </c>
      <c r="I17" s="14">
        <f t="shared" si="2"/>
        <v>0</v>
      </c>
    </row>
    <row r="18" spans="1:9" x14ac:dyDescent="0.25">
      <c r="A18" t="s">
        <v>19</v>
      </c>
      <c r="B18" t="s">
        <v>22</v>
      </c>
      <c r="C18" s="10"/>
      <c r="D18" s="10"/>
      <c r="E18" s="10">
        <v>2300</v>
      </c>
      <c r="F18" s="10"/>
      <c r="G18" s="10">
        <f t="shared" si="0"/>
        <v>2300</v>
      </c>
      <c r="H18">
        <f t="shared" si="1"/>
        <v>0.25</v>
      </c>
      <c r="I18" s="14">
        <f t="shared" si="2"/>
        <v>1E-3</v>
      </c>
    </row>
    <row r="19" spans="1:9" x14ac:dyDescent="0.25">
      <c r="A19" t="s">
        <v>19</v>
      </c>
      <c r="B19" t="s">
        <v>177</v>
      </c>
      <c r="C19" s="10"/>
      <c r="D19" s="10"/>
      <c r="E19" s="10"/>
      <c r="F19" s="10">
        <v>200</v>
      </c>
      <c r="G19" s="10">
        <f t="shared" si="0"/>
        <v>200</v>
      </c>
      <c r="H19">
        <f t="shared" si="1"/>
        <v>0.02</v>
      </c>
      <c r="I19" s="14">
        <f t="shared" si="2"/>
        <v>0</v>
      </c>
    </row>
    <row r="20" spans="1:9" x14ac:dyDescent="0.25">
      <c r="A20" t="s">
        <v>19</v>
      </c>
      <c r="B20" t="s">
        <v>178</v>
      </c>
      <c r="C20" s="10"/>
      <c r="D20" s="10"/>
      <c r="E20" s="10"/>
      <c r="F20" s="10">
        <v>836</v>
      </c>
      <c r="G20" s="10">
        <f t="shared" si="0"/>
        <v>836</v>
      </c>
      <c r="H20">
        <f t="shared" si="1"/>
        <v>0.09</v>
      </c>
      <c r="I20" s="14">
        <f t="shared" si="2"/>
        <v>0</v>
      </c>
    </row>
    <row r="21" spans="1:9" x14ac:dyDescent="0.25">
      <c r="A21" t="s">
        <v>19</v>
      </c>
      <c r="B21" t="s">
        <v>77</v>
      </c>
      <c r="C21" s="10"/>
      <c r="D21" s="10"/>
      <c r="E21" s="10"/>
      <c r="F21" s="10">
        <v>545</v>
      </c>
      <c r="G21" s="10">
        <f t="shared" si="0"/>
        <v>545</v>
      </c>
      <c r="H21">
        <f t="shared" si="1"/>
        <v>0.06</v>
      </c>
      <c r="I21" s="14">
        <f t="shared" si="2"/>
        <v>0</v>
      </c>
    </row>
    <row r="22" spans="1:9" x14ac:dyDescent="0.25">
      <c r="A22" t="s">
        <v>19</v>
      </c>
      <c r="B22" t="s">
        <v>23</v>
      </c>
      <c r="C22" s="10"/>
      <c r="D22" s="10"/>
      <c r="E22" s="10">
        <v>81180</v>
      </c>
      <c r="F22" s="10"/>
      <c r="G22" s="10">
        <f t="shared" si="0"/>
        <v>81180</v>
      </c>
      <c r="H22">
        <f t="shared" si="1"/>
        <v>8.77</v>
      </c>
      <c r="I22" s="14">
        <f t="shared" si="2"/>
        <v>4.3999999999999997E-2</v>
      </c>
    </row>
    <row r="23" spans="1:9" x14ac:dyDescent="0.25">
      <c r="A23" t="s">
        <v>19</v>
      </c>
      <c r="B23" t="s">
        <v>24</v>
      </c>
      <c r="C23" s="10">
        <v>210140</v>
      </c>
      <c r="D23" s="10"/>
      <c r="E23" s="10">
        <v>30650</v>
      </c>
      <c r="F23" s="10"/>
      <c r="G23" s="10">
        <f t="shared" si="0"/>
        <v>240790</v>
      </c>
      <c r="H23">
        <f t="shared" si="1"/>
        <v>26.03</v>
      </c>
      <c r="I23" s="14">
        <f t="shared" si="2"/>
        <v>0.13200000000000001</v>
      </c>
    </row>
    <row r="24" spans="1:9" x14ac:dyDescent="0.25">
      <c r="A24" t="s">
        <v>19</v>
      </c>
      <c r="B24" t="s">
        <v>66</v>
      </c>
      <c r="C24" s="10"/>
      <c r="D24" s="10"/>
      <c r="E24" s="10">
        <v>9575</v>
      </c>
      <c r="F24" s="10"/>
      <c r="G24" s="10">
        <f t="shared" si="0"/>
        <v>9575</v>
      </c>
      <c r="H24">
        <f t="shared" si="1"/>
        <v>1.03</v>
      </c>
      <c r="I24" s="14">
        <f t="shared" si="2"/>
        <v>5.0000000000000001E-3</v>
      </c>
    </row>
    <row r="25" spans="1:9" x14ac:dyDescent="0.25">
      <c r="A25" t="s">
        <v>19</v>
      </c>
      <c r="B25" t="s">
        <v>25</v>
      </c>
      <c r="C25" s="10">
        <v>317200</v>
      </c>
      <c r="D25" s="10"/>
      <c r="E25" s="10"/>
      <c r="F25" s="10">
        <v>840</v>
      </c>
      <c r="G25" s="10">
        <f t="shared" si="0"/>
        <v>318040</v>
      </c>
      <c r="H25">
        <f t="shared" si="1"/>
        <v>34.380000000000003</v>
      </c>
      <c r="I25" s="14">
        <f t="shared" si="2"/>
        <v>0.17399999999999999</v>
      </c>
    </row>
    <row r="26" spans="1:9" x14ac:dyDescent="0.25">
      <c r="A26" t="s">
        <v>19</v>
      </c>
      <c r="B26" t="s">
        <v>26</v>
      </c>
      <c r="C26" s="10"/>
      <c r="D26" s="10"/>
      <c r="E26" s="10">
        <v>794</v>
      </c>
      <c r="F26" s="10"/>
      <c r="G26" s="10">
        <f t="shared" si="0"/>
        <v>794</v>
      </c>
      <c r="H26">
        <f t="shared" si="1"/>
        <v>0.09</v>
      </c>
      <c r="I26" s="14">
        <f t="shared" si="2"/>
        <v>0</v>
      </c>
    </row>
    <row r="27" spans="1:9" x14ac:dyDescent="0.25">
      <c r="A27" t="s">
        <v>19</v>
      </c>
      <c r="B27" t="s">
        <v>27</v>
      </c>
      <c r="C27" s="10"/>
      <c r="D27" s="10"/>
      <c r="E27" s="10">
        <v>1215</v>
      </c>
      <c r="F27" s="10"/>
      <c r="G27" s="10">
        <f t="shared" si="0"/>
        <v>1215</v>
      </c>
      <c r="H27">
        <f t="shared" si="1"/>
        <v>0.13</v>
      </c>
      <c r="I27" s="14">
        <f t="shared" si="2"/>
        <v>1E-3</v>
      </c>
    </row>
    <row r="28" spans="1:9" x14ac:dyDescent="0.25">
      <c r="A28" t="s">
        <v>19</v>
      </c>
      <c r="B28" t="s">
        <v>28</v>
      </c>
      <c r="C28" s="10"/>
      <c r="D28" s="10"/>
      <c r="E28" s="10">
        <v>138</v>
      </c>
      <c r="F28" s="10"/>
      <c r="G28" s="10">
        <f t="shared" si="0"/>
        <v>138</v>
      </c>
      <c r="H28">
        <f t="shared" si="1"/>
        <v>0.01</v>
      </c>
      <c r="I28" s="14">
        <f t="shared" si="2"/>
        <v>0</v>
      </c>
    </row>
    <row r="29" spans="1:9" x14ac:dyDescent="0.25">
      <c r="A29" t="s">
        <v>19</v>
      </c>
      <c r="B29" t="s">
        <v>29</v>
      </c>
      <c r="C29" s="10"/>
      <c r="D29" s="10"/>
      <c r="E29" s="10">
        <v>4393</v>
      </c>
      <c r="F29" s="10"/>
      <c r="G29" s="10">
        <f t="shared" si="0"/>
        <v>4393</v>
      </c>
      <c r="H29">
        <f t="shared" si="1"/>
        <v>0.47</v>
      </c>
      <c r="I29" s="14">
        <f t="shared" si="2"/>
        <v>2E-3</v>
      </c>
    </row>
    <row r="30" spans="1:9" x14ac:dyDescent="0.25">
      <c r="A30" t="s">
        <v>19</v>
      </c>
      <c r="B30" t="s">
        <v>30</v>
      </c>
      <c r="C30" s="10"/>
      <c r="D30" s="10"/>
      <c r="E30" s="10">
        <v>1550</v>
      </c>
      <c r="F30" s="10"/>
      <c r="G30" s="10">
        <f t="shared" si="0"/>
        <v>1550</v>
      </c>
      <c r="H30">
        <f t="shared" si="1"/>
        <v>0.17</v>
      </c>
      <c r="I30" s="14">
        <f t="shared" si="2"/>
        <v>1E-3</v>
      </c>
    </row>
    <row r="31" spans="1:9" x14ac:dyDescent="0.25">
      <c r="A31" t="s">
        <v>19</v>
      </c>
      <c r="B31" t="s">
        <v>31</v>
      </c>
      <c r="C31" s="10"/>
      <c r="D31" s="10"/>
      <c r="E31" s="10">
        <v>450</v>
      </c>
      <c r="F31" s="10"/>
      <c r="G31" s="10">
        <f t="shared" si="0"/>
        <v>450</v>
      </c>
      <c r="H31">
        <f t="shared" si="1"/>
        <v>0.05</v>
      </c>
      <c r="I31" s="14">
        <f t="shared" si="2"/>
        <v>0</v>
      </c>
    </row>
    <row r="32" spans="1:9" x14ac:dyDescent="0.25">
      <c r="A32" t="s">
        <v>19</v>
      </c>
      <c r="B32" t="s">
        <v>32</v>
      </c>
      <c r="C32" s="10"/>
      <c r="D32" s="10"/>
      <c r="E32" s="10">
        <v>1930</v>
      </c>
      <c r="F32" s="10"/>
      <c r="G32" s="10">
        <f t="shared" si="0"/>
        <v>1930</v>
      </c>
      <c r="H32">
        <f t="shared" si="1"/>
        <v>0.21</v>
      </c>
      <c r="I32" s="14">
        <f t="shared" si="2"/>
        <v>1E-3</v>
      </c>
    </row>
    <row r="33" spans="1:9" x14ac:dyDescent="0.25">
      <c r="A33" t="s">
        <v>19</v>
      </c>
      <c r="B33" t="s">
        <v>42</v>
      </c>
      <c r="C33" s="10"/>
      <c r="D33" s="10">
        <v>509</v>
      </c>
      <c r="E33" s="10"/>
      <c r="F33" s="10"/>
      <c r="G33" s="10">
        <f t="shared" si="0"/>
        <v>509</v>
      </c>
      <c r="H33">
        <f t="shared" si="1"/>
        <v>0.06</v>
      </c>
      <c r="I33" s="14">
        <f t="shared" si="2"/>
        <v>0</v>
      </c>
    </row>
    <row r="34" spans="1:9" x14ac:dyDescent="0.25">
      <c r="A34" t="s">
        <v>19</v>
      </c>
      <c r="B34" t="s">
        <v>33</v>
      </c>
      <c r="C34" s="10"/>
      <c r="D34" s="10"/>
      <c r="E34" s="10">
        <v>556</v>
      </c>
      <c r="F34" s="10"/>
      <c r="G34" s="10">
        <f t="shared" si="0"/>
        <v>556</v>
      </c>
      <c r="H34">
        <f t="shared" si="1"/>
        <v>0.06</v>
      </c>
      <c r="I34" s="14">
        <f t="shared" si="2"/>
        <v>0</v>
      </c>
    </row>
    <row r="35" spans="1:9" x14ac:dyDescent="0.25">
      <c r="A35" t="s">
        <v>19</v>
      </c>
      <c r="B35" t="s">
        <v>67</v>
      </c>
      <c r="C35" s="10"/>
      <c r="D35" s="10"/>
      <c r="E35" s="10">
        <v>460</v>
      </c>
      <c r="F35" s="10"/>
      <c r="G35" s="10">
        <f t="shared" si="0"/>
        <v>460</v>
      </c>
      <c r="H35">
        <f t="shared" si="1"/>
        <v>0.05</v>
      </c>
      <c r="I35" s="14">
        <f t="shared" si="2"/>
        <v>0</v>
      </c>
    </row>
    <row r="36" spans="1:9" x14ac:dyDescent="0.25">
      <c r="A36" t="s">
        <v>19</v>
      </c>
      <c r="B36" t="s">
        <v>34</v>
      </c>
      <c r="C36" s="10"/>
      <c r="D36" s="10"/>
      <c r="E36" s="10">
        <v>2113</v>
      </c>
      <c r="F36" s="10"/>
      <c r="G36" s="10">
        <f t="shared" si="0"/>
        <v>2113</v>
      </c>
      <c r="H36">
        <f t="shared" si="1"/>
        <v>0.23</v>
      </c>
      <c r="I36" s="14">
        <f t="shared" si="2"/>
        <v>1E-3</v>
      </c>
    </row>
    <row r="37" spans="1:9" x14ac:dyDescent="0.25">
      <c r="A37" t="s">
        <v>19</v>
      </c>
      <c r="B37" t="s">
        <v>40</v>
      </c>
      <c r="C37" s="10"/>
      <c r="D37" s="10"/>
      <c r="E37" s="10">
        <v>11852</v>
      </c>
      <c r="F37" s="10"/>
      <c r="G37" s="10">
        <f t="shared" si="0"/>
        <v>11852</v>
      </c>
      <c r="H37">
        <f t="shared" si="1"/>
        <v>1.28</v>
      </c>
      <c r="I37" s="14">
        <f t="shared" si="2"/>
        <v>6.0000000000000001E-3</v>
      </c>
    </row>
    <row r="38" spans="1:9" x14ac:dyDescent="0.25">
      <c r="A38" t="s">
        <v>19</v>
      </c>
      <c r="B38" t="s">
        <v>35</v>
      </c>
      <c r="C38" s="10"/>
      <c r="D38" s="10"/>
      <c r="E38" s="10">
        <v>4850</v>
      </c>
      <c r="F38" s="10"/>
      <c r="G38" s="10">
        <f t="shared" si="0"/>
        <v>4850</v>
      </c>
      <c r="H38">
        <f t="shared" si="1"/>
        <v>0.52</v>
      </c>
      <c r="I38" s="14">
        <f t="shared" si="2"/>
        <v>3.0000000000000001E-3</v>
      </c>
    </row>
    <row r="39" spans="1:9" x14ac:dyDescent="0.25">
      <c r="A39" t="s">
        <v>19</v>
      </c>
      <c r="B39" t="s">
        <v>36</v>
      </c>
      <c r="C39" s="10"/>
      <c r="D39" s="10"/>
      <c r="E39" s="10">
        <v>104850</v>
      </c>
      <c r="F39" s="10">
        <v>150</v>
      </c>
      <c r="G39" s="10">
        <f t="shared" si="0"/>
        <v>105000</v>
      </c>
      <c r="H39">
        <f t="shared" si="1"/>
        <v>11.35</v>
      </c>
      <c r="I39" s="14">
        <f t="shared" si="2"/>
        <v>5.7000000000000002E-2</v>
      </c>
    </row>
    <row r="40" spans="1:9" x14ac:dyDescent="0.25">
      <c r="A40" t="s">
        <v>19</v>
      </c>
      <c r="B40" t="s">
        <v>37</v>
      </c>
      <c r="C40" s="10"/>
      <c r="D40" s="10"/>
      <c r="E40" s="10">
        <v>4230</v>
      </c>
      <c r="F40" s="10"/>
      <c r="G40" s="10">
        <f t="shared" si="0"/>
        <v>4230</v>
      </c>
      <c r="H40">
        <f t="shared" si="1"/>
        <v>0.46</v>
      </c>
      <c r="I40" s="14">
        <f t="shared" si="2"/>
        <v>2E-3</v>
      </c>
    </row>
    <row r="41" spans="1:9" x14ac:dyDescent="0.25">
      <c r="A41" t="s">
        <v>19</v>
      </c>
      <c r="B41" t="s">
        <v>38</v>
      </c>
      <c r="C41" s="10"/>
      <c r="D41" s="10"/>
      <c r="E41" s="10">
        <v>16070</v>
      </c>
      <c r="F41" s="10">
        <v>20</v>
      </c>
      <c r="G41" s="10">
        <f t="shared" si="0"/>
        <v>16090</v>
      </c>
      <c r="H41">
        <f t="shared" si="1"/>
        <v>1.74</v>
      </c>
      <c r="I41" s="14">
        <f t="shared" ref="I41" si="3">ROUND(G41/$G$47,3)</f>
        <v>8.9999999999999993E-3</v>
      </c>
    </row>
    <row r="42" spans="1:9" x14ac:dyDescent="0.25">
      <c r="A42" t="s">
        <v>19</v>
      </c>
      <c r="B42" t="s">
        <v>39</v>
      </c>
      <c r="C42" s="10"/>
      <c r="D42" s="10"/>
      <c r="E42" s="10">
        <v>313840</v>
      </c>
      <c r="F42" s="10">
        <v>1700</v>
      </c>
      <c r="G42" s="10">
        <f t="shared" si="0"/>
        <v>315540</v>
      </c>
      <c r="H42">
        <f t="shared" si="1"/>
        <v>34.11</v>
      </c>
      <c r="I42" s="14">
        <f>ROUND(G42/$G$47,3)</f>
        <v>0.17199999999999999</v>
      </c>
    </row>
    <row r="43" spans="1:9" x14ac:dyDescent="0.25">
      <c r="A43" t="s">
        <v>19</v>
      </c>
      <c r="B43" t="s">
        <v>71</v>
      </c>
      <c r="C43" s="10"/>
      <c r="D43" s="10"/>
      <c r="E43" s="10"/>
      <c r="F43" s="10"/>
      <c r="G43" s="10">
        <f t="shared" si="0"/>
        <v>0</v>
      </c>
      <c r="H43">
        <f t="shared" si="1"/>
        <v>0</v>
      </c>
      <c r="I43" s="14">
        <f>ROUND(G43/$G$47,3)</f>
        <v>0</v>
      </c>
    </row>
    <row r="44" spans="1:9" x14ac:dyDescent="0.25">
      <c r="A44" t="s">
        <v>43</v>
      </c>
      <c r="B44" t="s">
        <v>44</v>
      </c>
      <c r="C44" s="10">
        <v>286180</v>
      </c>
      <c r="D44" s="10"/>
      <c r="E44" s="10"/>
      <c r="F44" s="10">
        <v>620</v>
      </c>
      <c r="G44" s="10">
        <f t="shared" si="0"/>
        <v>286800</v>
      </c>
      <c r="H44">
        <f t="shared" si="1"/>
        <v>31</v>
      </c>
      <c r="I44" s="14">
        <f>ROUND(G44/$G$47,3)</f>
        <v>0.157</v>
      </c>
    </row>
    <row r="45" spans="1:9" x14ac:dyDescent="0.25">
      <c r="A45" t="s">
        <v>43</v>
      </c>
      <c r="B45" t="s">
        <v>46</v>
      </c>
      <c r="C45" s="10"/>
      <c r="D45" s="10"/>
      <c r="E45" s="10"/>
      <c r="F45" s="10">
        <v>36380</v>
      </c>
      <c r="G45" s="10">
        <f t="shared" si="0"/>
        <v>36380</v>
      </c>
      <c r="H45">
        <f t="shared" si="1"/>
        <v>3.93</v>
      </c>
      <c r="I45" s="14">
        <f>ROUND(G45/$G$47,3)</f>
        <v>0.02</v>
      </c>
    </row>
    <row r="46" spans="1:9" x14ac:dyDescent="0.25">
      <c r="A46" t="s">
        <v>43</v>
      </c>
      <c r="B46" t="s">
        <v>45</v>
      </c>
      <c r="C46" s="10"/>
      <c r="D46" s="10"/>
      <c r="E46" s="10">
        <v>84140</v>
      </c>
      <c r="F46" s="10"/>
      <c r="G46" s="10">
        <f t="shared" si="0"/>
        <v>84140</v>
      </c>
      <c r="H46">
        <f t="shared" si="1"/>
        <v>9.09</v>
      </c>
      <c r="I46" s="14">
        <f>ROUND(G46/$G$47,3)</f>
        <v>4.5999999999999999E-2</v>
      </c>
    </row>
    <row r="47" spans="1:9" x14ac:dyDescent="0.25">
      <c r="A47" s="3" t="s">
        <v>253</v>
      </c>
      <c r="B47" s="3"/>
      <c r="C47" s="8">
        <f t="shared" ref="C47:H47" si="4">SUM(C8:C46)</f>
        <v>1105990</v>
      </c>
      <c r="D47" s="8">
        <f t="shared" si="4"/>
        <v>509</v>
      </c>
      <c r="E47" s="8">
        <f t="shared" si="4"/>
        <v>682845</v>
      </c>
      <c r="F47" s="8">
        <f t="shared" si="4"/>
        <v>41563</v>
      </c>
      <c r="G47" s="8">
        <f t="shared" si="4"/>
        <v>1830907</v>
      </c>
      <c r="H47" s="3">
        <f t="shared" si="4"/>
        <v>197.9</v>
      </c>
    </row>
    <row r="48" spans="1:9" x14ac:dyDescent="0.25">
      <c r="A48" s="3" t="s">
        <v>14</v>
      </c>
      <c r="B48" s="3"/>
      <c r="C48" s="13">
        <f>ROUND(C47/G47,2)</f>
        <v>0.6</v>
      </c>
      <c r="D48" s="13">
        <f>ROUND(D47/G47,2)</f>
        <v>0</v>
      </c>
      <c r="E48" s="13">
        <f>ROUND(E47/G47,2)</f>
        <v>0.37</v>
      </c>
      <c r="F48" s="13">
        <f>ROUND(F47/G47,2)</f>
        <v>0.02</v>
      </c>
      <c r="G48" s="3"/>
      <c r="H48" s="3"/>
    </row>
    <row r="49" spans="1:8" x14ac:dyDescent="0.25">
      <c r="A49" s="3" t="s">
        <v>47</v>
      </c>
      <c r="B49" s="3"/>
      <c r="C49" s="3"/>
      <c r="D49" s="3"/>
      <c r="E49" s="3"/>
      <c r="F49" s="3"/>
      <c r="G49" s="3"/>
      <c r="H49" s="3"/>
    </row>
    <row r="50" spans="1:8" x14ac:dyDescent="0.25">
      <c r="A50" s="3" t="s">
        <v>48</v>
      </c>
      <c r="B50" s="3"/>
      <c r="C50" s="8">
        <v>819810</v>
      </c>
      <c r="D50" s="8">
        <v>509</v>
      </c>
      <c r="E50" s="8">
        <v>598705</v>
      </c>
      <c r="F50" s="8">
        <v>4291</v>
      </c>
      <c r="G50" s="8">
        <f>SUM(C50:F50)</f>
        <v>1423315</v>
      </c>
      <c r="H50" s="3">
        <f>ROUND(G50/9252,2)</f>
        <v>153.84</v>
      </c>
    </row>
    <row r="51" spans="1:8" x14ac:dyDescent="0.25">
      <c r="A51" s="3" t="s">
        <v>49</v>
      </c>
      <c r="B51" s="3"/>
      <c r="C51" s="8">
        <v>286180</v>
      </c>
      <c r="D51" s="8">
        <v>0</v>
      </c>
      <c r="E51" s="8">
        <v>84140</v>
      </c>
      <c r="F51" s="8">
        <v>37000</v>
      </c>
      <c r="G51" s="8">
        <f>SUM(C51:F51)</f>
        <v>407320</v>
      </c>
      <c r="H51" s="3">
        <f>ROUND(G51/9252,2)</f>
        <v>44.03</v>
      </c>
    </row>
    <row r="52" spans="1:8" x14ac:dyDescent="0.25">
      <c r="A52" s="3" t="s">
        <v>50</v>
      </c>
      <c r="B52" s="3"/>
      <c r="C52" s="8">
        <v>0</v>
      </c>
      <c r="D52" s="8">
        <v>0</v>
      </c>
      <c r="E52" s="8">
        <v>0</v>
      </c>
      <c r="F52" s="8">
        <v>272</v>
      </c>
      <c r="G52" s="8">
        <f>SUM(C52:F52)</f>
        <v>272</v>
      </c>
      <c r="H52" s="3">
        <f>ROUND(G52/9252,2)</f>
        <v>0.03</v>
      </c>
    </row>
    <row r="54" spans="1:8" x14ac:dyDescent="0.25">
      <c r="A54" s="3"/>
      <c r="B54" s="3"/>
      <c r="C54" s="3" t="s">
        <v>2</v>
      </c>
      <c r="D54" s="3">
        <v>2022</v>
      </c>
      <c r="E54" s="3" t="s">
        <v>51</v>
      </c>
    </row>
    <row r="55" spans="1:8" x14ac:dyDescent="0.25">
      <c r="A55" s="3" t="s">
        <v>52</v>
      </c>
      <c r="B55" s="3"/>
      <c r="C55" s="13">
        <v>0.83579999999999999</v>
      </c>
      <c r="D55" s="13">
        <v>0.82540000000000002</v>
      </c>
      <c r="E55" s="13">
        <v>0.77659999999999996</v>
      </c>
    </row>
    <row r="56" spans="1:8" x14ac:dyDescent="0.25">
      <c r="A56" s="3" t="s">
        <v>53</v>
      </c>
      <c r="B56" s="3"/>
      <c r="C56" s="13">
        <v>0.82730000000000004</v>
      </c>
      <c r="D56" s="13">
        <v>0.81489999999999996</v>
      </c>
      <c r="E56" s="13">
        <v>0.75900000000000001</v>
      </c>
    </row>
    <row r="58" spans="1:8" x14ac:dyDescent="0.25">
      <c r="A58" s="3" t="s">
        <v>256</v>
      </c>
      <c r="B58" s="3"/>
      <c r="C58" s="3" t="s">
        <v>2</v>
      </c>
      <c r="D58" s="3" t="s">
        <v>179</v>
      </c>
      <c r="E58" s="3" t="s">
        <v>55</v>
      </c>
      <c r="F58" s="3" t="s">
        <v>254</v>
      </c>
      <c r="G58" s="3"/>
    </row>
    <row r="59" spans="1:8" x14ac:dyDescent="0.25">
      <c r="A59" s="3" t="s">
        <v>56</v>
      </c>
      <c r="B59" s="3"/>
      <c r="C59" s="3"/>
      <c r="D59" s="3">
        <v>51.46</v>
      </c>
      <c r="E59" s="3">
        <v>81.5</v>
      </c>
      <c r="F59" s="3">
        <v>50.61</v>
      </c>
      <c r="G59" s="3"/>
    </row>
    <row r="60" spans="1:8" x14ac:dyDescent="0.25">
      <c r="A60" s="3" t="s">
        <v>57</v>
      </c>
      <c r="B60" s="3"/>
      <c r="C60" s="3"/>
      <c r="D60" s="3">
        <v>60.83</v>
      </c>
      <c r="E60" s="3">
        <v>58.24</v>
      </c>
      <c r="F60" s="3">
        <v>57.37</v>
      </c>
      <c r="G60" s="3"/>
    </row>
    <row r="61" spans="1:8" x14ac:dyDescent="0.25">
      <c r="A61" s="3" t="s">
        <v>58</v>
      </c>
      <c r="B61" s="3"/>
      <c r="C61" s="3"/>
      <c r="D61" s="3">
        <v>281.47000000000003</v>
      </c>
      <c r="E61" s="3">
        <v>261.52999999999997</v>
      </c>
      <c r="F61" s="3">
        <v>249.57</v>
      </c>
      <c r="G61" s="3"/>
    </row>
    <row r="62" spans="1:8" x14ac:dyDescent="0.25">
      <c r="A62" s="3" t="s">
        <v>59</v>
      </c>
      <c r="B62" s="3"/>
      <c r="C62" s="3"/>
      <c r="D62" s="3">
        <v>72.73</v>
      </c>
      <c r="E62" s="3">
        <v>103.11</v>
      </c>
      <c r="F62" s="3">
        <v>71.400000000000006</v>
      </c>
      <c r="G6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I56"/>
  <sheetViews>
    <sheetView topLeftCell="A24" workbookViewId="0">
      <selection activeCell="G53" sqref="G53:G56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2.5703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180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2334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65</v>
      </c>
      <c r="C9" s="10"/>
      <c r="D9" s="10"/>
      <c r="E9" s="10">
        <v>1980</v>
      </c>
      <c r="F9" s="10"/>
      <c r="G9" s="10">
        <f t="shared" ref="G9:G40" si="0">SUM(C9:F9)</f>
        <v>1980</v>
      </c>
      <c r="H9">
        <f t="shared" ref="H9:H40" si="1">ROUND(G9/2334,2)</f>
        <v>0.85</v>
      </c>
      <c r="I9" s="14">
        <f t="shared" ref="I9:I40" si="2">ROUND(G9/$G$41,3)</f>
        <v>4.0000000000000001E-3</v>
      </c>
    </row>
    <row r="10" spans="1:9" x14ac:dyDescent="0.25">
      <c r="A10" t="s">
        <v>19</v>
      </c>
      <c r="B10" t="s">
        <v>20</v>
      </c>
      <c r="C10" s="10">
        <v>41760</v>
      </c>
      <c r="D10" s="10"/>
      <c r="E10" s="10">
        <v>1280</v>
      </c>
      <c r="F10" s="10"/>
      <c r="G10" s="10">
        <f t="shared" si="0"/>
        <v>43040</v>
      </c>
      <c r="H10">
        <f t="shared" si="1"/>
        <v>18.440000000000001</v>
      </c>
      <c r="I10" s="14">
        <f t="shared" si="2"/>
        <v>9.1999999999999998E-2</v>
      </c>
    </row>
    <row r="11" spans="1:9" x14ac:dyDescent="0.25">
      <c r="A11" t="s">
        <v>19</v>
      </c>
      <c r="B11" t="s">
        <v>21</v>
      </c>
      <c r="C11" s="10">
        <v>43780</v>
      </c>
      <c r="D11" s="10"/>
      <c r="E11" s="10"/>
      <c r="F11" s="10"/>
      <c r="G11" s="10">
        <f t="shared" si="0"/>
        <v>43780</v>
      </c>
      <c r="H11">
        <f t="shared" si="1"/>
        <v>18.760000000000002</v>
      </c>
      <c r="I11" s="14">
        <f t="shared" si="2"/>
        <v>9.4E-2</v>
      </c>
    </row>
    <row r="12" spans="1:9" x14ac:dyDescent="0.25">
      <c r="A12" t="s">
        <v>19</v>
      </c>
      <c r="B12" t="s">
        <v>23</v>
      </c>
      <c r="C12" s="10"/>
      <c r="D12" s="10"/>
      <c r="E12" s="10">
        <v>42940</v>
      </c>
      <c r="F12" s="10"/>
      <c r="G12" s="10">
        <f t="shared" si="0"/>
        <v>42940</v>
      </c>
      <c r="H12">
        <f t="shared" si="1"/>
        <v>18.399999999999999</v>
      </c>
      <c r="I12" s="14">
        <f t="shared" si="2"/>
        <v>9.1999999999999998E-2</v>
      </c>
    </row>
    <row r="13" spans="1:9" x14ac:dyDescent="0.25">
      <c r="A13" t="s">
        <v>19</v>
      </c>
      <c r="B13" t="s">
        <v>24</v>
      </c>
      <c r="C13" s="10">
        <v>42070</v>
      </c>
      <c r="D13" s="10"/>
      <c r="E13" s="10">
        <v>5780</v>
      </c>
      <c r="F13" s="10"/>
      <c r="G13" s="10">
        <f t="shared" si="0"/>
        <v>47850</v>
      </c>
      <c r="H13">
        <f t="shared" si="1"/>
        <v>20.5</v>
      </c>
      <c r="I13" s="14">
        <f t="shared" si="2"/>
        <v>0.10299999999999999</v>
      </c>
    </row>
    <row r="14" spans="1:9" x14ac:dyDescent="0.25">
      <c r="A14" t="s">
        <v>19</v>
      </c>
      <c r="B14" t="s">
        <v>66</v>
      </c>
      <c r="C14" s="10"/>
      <c r="D14" s="10"/>
      <c r="E14" s="10">
        <v>1370</v>
      </c>
      <c r="F14" s="10"/>
      <c r="G14" s="10">
        <f t="shared" si="0"/>
        <v>1370</v>
      </c>
      <c r="H14">
        <f t="shared" si="1"/>
        <v>0.59</v>
      </c>
      <c r="I14" s="14">
        <f t="shared" si="2"/>
        <v>3.0000000000000001E-3</v>
      </c>
    </row>
    <row r="15" spans="1:9" x14ac:dyDescent="0.25">
      <c r="A15" t="s">
        <v>19</v>
      </c>
      <c r="B15" t="s">
        <v>25</v>
      </c>
      <c r="C15" s="10">
        <v>56440</v>
      </c>
      <c r="D15" s="10"/>
      <c r="E15" s="10"/>
      <c r="F15" s="10"/>
      <c r="G15" s="10">
        <f t="shared" si="0"/>
        <v>56440</v>
      </c>
      <c r="H15">
        <f t="shared" si="1"/>
        <v>24.18</v>
      </c>
      <c r="I15" s="14">
        <f t="shared" si="2"/>
        <v>0.121</v>
      </c>
    </row>
    <row r="16" spans="1:9" x14ac:dyDescent="0.25">
      <c r="A16" t="s">
        <v>19</v>
      </c>
      <c r="B16" t="s">
        <v>26</v>
      </c>
      <c r="C16" s="10"/>
      <c r="D16" s="10"/>
      <c r="E16" s="10">
        <v>399</v>
      </c>
      <c r="F16" s="10"/>
      <c r="G16" s="10">
        <f t="shared" si="0"/>
        <v>399</v>
      </c>
      <c r="H16">
        <f t="shared" si="1"/>
        <v>0.17</v>
      </c>
      <c r="I16" s="14">
        <f t="shared" si="2"/>
        <v>1E-3</v>
      </c>
    </row>
    <row r="17" spans="1:9" x14ac:dyDescent="0.25">
      <c r="A17" t="s">
        <v>19</v>
      </c>
      <c r="B17" t="s">
        <v>27</v>
      </c>
      <c r="C17" s="10"/>
      <c r="D17" s="10"/>
      <c r="E17" s="10">
        <v>290</v>
      </c>
      <c r="F17" s="10"/>
      <c r="G17" s="10">
        <f t="shared" si="0"/>
        <v>290</v>
      </c>
      <c r="H17">
        <f t="shared" si="1"/>
        <v>0.12</v>
      </c>
      <c r="I17" s="14">
        <f t="shared" si="2"/>
        <v>1E-3</v>
      </c>
    </row>
    <row r="18" spans="1:9" x14ac:dyDescent="0.25">
      <c r="A18" t="s">
        <v>19</v>
      </c>
      <c r="B18" t="s">
        <v>29</v>
      </c>
      <c r="C18" s="10"/>
      <c r="D18" s="10"/>
      <c r="E18" s="10">
        <v>3650</v>
      </c>
      <c r="F18" s="10"/>
      <c r="G18" s="10">
        <f t="shared" si="0"/>
        <v>3650</v>
      </c>
      <c r="H18">
        <f t="shared" si="1"/>
        <v>1.56</v>
      </c>
      <c r="I18" s="14">
        <f t="shared" si="2"/>
        <v>8.0000000000000002E-3</v>
      </c>
    </row>
    <row r="19" spans="1:9" x14ac:dyDescent="0.25">
      <c r="A19" t="s">
        <v>19</v>
      </c>
      <c r="B19" t="s">
        <v>30</v>
      </c>
      <c r="C19" s="10"/>
      <c r="D19" s="10"/>
      <c r="E19" s="10">
        <v>580</v>
      </c>
      <c r="F19" s="10"/>
      <c r="G19" s="10">
        <f t="shared" si="0"/>
        <v>580</v>
      </c>
      <c r="H19">
        <f t="shared" si="1"/>
        <v>0.25</v>
      </c>
      <c r="I19" s="14">
        <f t="shared" si="2"/>
        <v>1E-3</v>
      </c>
    </row>
    <row r="20" spans="1:9" x14ac:dyDescent="0.25">
      <c r="A20" t="s">
        <v>19</v>
      </c>
      <c r="B20" t="s">
        <v>32</v>
      </c>
      <c r="C20" s="10"/>
      <c r="D20" s="10"/>
      <c r="E20" s="10">
        <v>425</v>
      </c>
      <c r="F20" s="10"/>
      <c r="G20" s="10">
        <f t="shared" si="0"/>
        <v>425</v>
      </c>
      <c r="H20">
        <f t="shared" si="1"/>
        <v>0.18</v>
      </c>
      <c r="I20" s="14">
        <f t="shared" si="2"/>
        <v>1E-3</v>
      </c>
    </row>
    <row r="21" spans="1:9" x14ac:dyDescent="0.25">
      <c r="A21" t="s">
        <v>19</v>
      </c>
      <c r="B21" t="s">
        <v>34</v>
      </c>
      <c r="C21" s="10"/>
      <c r="D21" s="10"/>
      <c r="E21" s="10">
        <v>1290</v>
      </c>
      <c r="F21" s="10"/>
      <c r="G21" s="10">
        <f t="shared" si="0"/>
        <v>1290</v>
      </c>
      <c r="H21">
        <f t="shared" si="1"/>
        <v>0.55000000000000004</v>
      </c>
      <c r="I21" s="14">
        <f t="shared" si="2"/>
        <v>3.0000000000000001E-3</v>
      </c>
    </row>
    <row r="22" spans="1:9" x14ac:dyDescent="0.25">
      <c r="A22" t="s">
        <v>19</v>
      </c>
      <c r="B22" t="s">
        <v>40</v>
      </c>
      <c r="C22" s="10"/>
      <c r="D22" s="10"/>
      <c r="E22" s="10">
        <v>9510</v>
      </c>
      <c r="F22" s="10"/>
      <c r="G22" s="10">
        <f t="shared" si="0"/>
        <v>9510</v>
      </c>
      <c r="H22">
        <f t="shared" si="1"/>
        <v>4.07</v>
      </c>
      <c r="I22" s="14">
        <f t="shared" si="2"/>
        <v>0.02</v>
      </c>
    </row>
    <row r="23" spans="1:9" x14ac:dyDescent="0.25">
      <c r="A23" t="s">
        <v>19</v>
      </c>
      <c r="B23" t="s">
        <v>35</v>
      </c>
      <c r="C23" s="10"/>
      <c r="D23" s="10"/>
      <c r="E23" s="10">
        <v>3920</v>
      </c>
      <c r="F23" s="10"/>
      <c r="G23" s="10">
        <f t="shared" si="0"/>
        <v>3920</v>
      </c>
      <c r="H23">
        <f t="shared" si="1"/>
        <v>1.68</v>
      </c>
      <c r="I23" s="14">
        <f t="shared" si="2"/>
        <v>8.0000000000000002E-3</v>
      </c>
    </row>
    <row r="24" spans="1:9" x14ac:dyDescent="0.25">
      <c r="A24" t="s">
        <v>19</v>
      </c>
      <c r="B24" t="s">
        <v>36</v>
      </c>
      <c r="C24" s="10"/>
      <c r="D24" s="10"/>
      <c r="E24" s="10">
        <v>28885</v>
      </c>
      <c r="F24" s="10"/>
      <c r="G24" s="10">
        <f t="shared" si="0"/>
        <v>28885</v>
      </c>
      <c r="H24">
        <f t="shared" si="1"/>
        <v>12.38</v>
      </c>
      <c r="I24" s="14">
        <f t="shared" si="2"/>
        <v>6.2E-2</v>
      </c>
    </row>
    <row r="25" spans="1:9" x14ac:dyDescent="0.25">
      <c r="A25" t="s">
        <v>19</v>
      </c>
      <c r="B25" t="s">
        <v>37</v>
      </c>
      <c r="C25" s="10"/>
      <c r="D25" s="10"/>
      <c r="E25" s="10">
        <v>3540</v>
      </c>
      <c r="F25" s="10"/>
      <c r="G25" s="10">
        <f t="shared" si="0"/>
        <v>3540</v>
      </c>
      <c r="H25">
        <f t="shared" si="1"/>
        <v>1.52</v>
      </c>
      <c r="I25" s="14">
        <f t="shared" si="2"/>
        <v>8.0000000000000002E-3</v>
      </c>
    </row>
    <row r="26" spans="1:9" x14ac:dyDescent="0.25">
      <c r="A26" t="s">
        <v>19</v>
      </c>
      <c r="B26" t="s">
        <v>38</v>
      </c>
      <c r="C26" s="10"/>
      <c r="D26" s="10"/>
      <c r="E26" s="10">
        <v>12350</v>
      </c>
      <c r="F26" s="10"/>
      <c r="G26" s="10">
        <f t="shared" si="0"/>
        <v>12350</v>
      </c>
      <c r="H26">
        <f t="shared" si="1"/>
        <v>5.29</v>
      </c>
      <c r="I26" s="14">
        <f t="shared" si="2"/>
        <v>2.7E-2</v>
      </c>
    </row>
    <row r="27" spans="1:9" x14ac:dyDescent="0.25">
      <c r="A27" t="s">
        <v>19</v>
      </c>
      <c r="B27" t="s">
        <v>39</v>
      </c>
      <c r="C27" s="10"/>
      <c r="D27" s="10"/>
      <c r="E27" s="10">
        <v>3460</v>
      </c>
      <c r="F27" s="10"/>
      <c r="G27" s="10">
        <f t="shared" si="0"/>
        <v>3460</v>
      </c>
      <c r="H27">
        <f t="shared" si="1"/>
        <v>1.48</v>
      </c>
      <c r="I27" s="14">
        <f t="shared" si="2"/>
        <v>7.0000000000000001E-3</v>
      </c>
    </row>
    <row r="28" spans="1:9" x14ac:dyDescent="0.25">
      <c r="A28" t="s">
        <v>19</v>
      </c>
      <c r="B28" t="s">
        <v>28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22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19</v>
      </c>
      <c r="B30" t="s">
        <v>71</v>
      </c>
      <c r="C30" s="10"/>
      <c r="D30" s="10"/>
      <c r="E30" s="10"/>
      <c r="F30" s="10"/>
      <c r="G30" s="10">
        <f t="shared" si="0"/>
        <v>0</v>
      </c>
      <c r="H30">
        <f t="shared" si="1"/>
        <v>0</v>
      </c>
      <c r="I30" s="14">
        <f t="shared" si="2"/>
        <v>0</v>
      </c>
    </row>
    <row r="31" spans="1:9" x14ac:dyDescent="0.25">
      <c r="A31" t="s">
        <v>19</v>
      </c>
      <c r="B31" t="s">
        <v>67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42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19</v>
      </c>
      <c r="B33" t="s">
        <v>41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19</v>
      </c>
      <c r="B34" t="s">
        <v>31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33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43</v>
      </c>
      <c r="B36" t="s">
        <v>44</v>
      </c>
      <c r="C36" s="10">
        <v>137530</v>
      </c>
      <c r="D36" s="10"/>
      <c r="E36" s="10"/>
      <c r="F36" s="10"/>
      <c r="G36" s="10">
        <f t="shared" si="0"/>
        <v>137530</v>
      </c>
      <c r="H36">
        <f t="shared" si="1"/>
        <v>58.92</v>
      </c>
      <c r="I36" s="14">
        <f t="shared" si="2"/>
        <v>0.29599999999999999</v>
      </c>
    </row>
    <row r="37" spans="1:9" x14ac:dyDescent="0.25">
      <c r="A37" t="s">
        <v>43</v>
      </c>
      <c r="B37" t="s">
        <v>46</v>
      </c>
      <c r="C37" s="10"/>
      <c r="D37" s="10"/>
      <c r="E37" s="10"/>
      <c r="F37" s="10">
        <v>9030</v>
      </c>
      <c r="G37" s="10">
        <f t="shared" si="0"/>
        <v>9030</v>
      </c>
      <c r="H37">
        <f t="shared" si="1"/>
        <v>3.87</v>
      </c>
      <c r="I37" s="14">
        <f t="shared" si="2"/>
        <v>1.9E-2</v>
      </c>
    </row>
    <row r="38" spans="1:9" x14ac:dyDescent="0.25">
      <c r="A38" t="s">
        <v>43</v>
      </c>
      <c r="B38" t="s">
        <v>45</v>
      </c>
      <c r="C38" s="10"/>
      <c r="D38" s="10"/>
      <c r="E38" s="10">
        <v>13100</v>
      </c>
      <c r="F38" s="10"/>
      <c r="G38" s="10">
        <f t="shared" si="0"/>
        <v>13100</v>
      </c>
      <c r="H38">
        <f t="shared" si="1"/>
        <v>5.61</v>
      </c>
      <c r="I38" s="14">
        <f t="shared" si="2"/>
        <v>2.8000000000000001E-2</v>
      </c>
    </row>
    <row r="39" spans="1:9" x14ac:dyDescent="0.25">
      <c r="A39" t="s">
        <v>15</v>
      </c>
      <c r="B39" t="s">
        <v>63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15</v>
      </c>
      <c r="B40" t="s">
        <v>18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s="3" t="s">
        <v>253</v>
      </c>
      <c r="B41" s="3"/>
      <c r="C41" s="8">
        <f t="shared" ref="C41:H41" si="3">SUM(C8:C40)</f>
        <v>321580</v>
      </c>
      <c r="D41" s="8">
        <f t="shared" si="3"/>
        <v>0</v>
      </c>
      <c r="E41" s="8">
        <f t="shared" si="3"/>
        <v>134749</v>
      </c>
      <c r="F41" s="8">
        <f t="shared" si="3"/>
        <v>9030</v>
      </c>
      <c r="G41" s="8">
        <f t="shared" si="3"/>
        <v>465359</v>
      </c>
      <c r="H41" s="3">
        <f t="shared" si="3"/>
        <v>199.37</v>
      </c>
    </row>
    <row r="42" spans="1:9" x14ac:dyDescent="0.25">
      <c r="A42" s="3" t="s">
        <v>14</v>
      </c>
      <c r="B42" s="3"/>
      <c r="C42" s="13">
        <f>ROUND(C41/G41,2)</f>
        <v>0.69</v>
      </c>
      <c r="D42" s="13">
        <f>ROUND(D41/G41,2)</f>
        <v>0</v>
      </c>
      <c r="E42" s="13">
        <f>ROUND(E41/G41,2)</f>
        <v>0.28999999999999998</v>
      </c>
      <c r="F42" s="13">
        <f>ROUND(F41/G41,2)</f>
        <v>0.02</v>
      </c>
      <c r="G42" s="3"/>
      <c r="H42" s="3"/>
    </row>
    <row r="43" spans="1:9" x14ac:dyDescent="0.25">
      <c r="A43" s="3" t="s">
        <v>47</v>
      </c>
      <c r="B43" s="3"/>
      <c r="C43" s="3"/>
      <c r="D43" s="3"/>
      <c r="E43" s="3"/>
      <c r="F43" s="3"/>
      <c r="G43" s="3"/>
      <c r="H43" s="3"/>
    </row>
    <row r="44" spans="1:9" x14ac:dyDescent="0.25">
      <c r="A44" s="3" t="s">
        <v>48</v>
      </c>
      <c r="B44" s="3"/>
      <c r="C44" s="8">
        <v>184050</v>
      </c>
      <c r="D44" s="8">
        <v>0</v>
      </c>
      <c r="E44" s="8">
        <v>121649</v>
      </c>
      <c r="F44" s="8">
        <v>0</v>
      </c>
      <c r="G44" s="8">
        <f>SUM(C44:F44)</f>
        <v>305699</v>
      </c>
      <c r="H44" s="3">
        <f>ROUND(G44/2334,2)</f>
        <v>130.97999999999999</v>
      </c>
    </row>
    <row r="45" spans="1:9" x14ac:dyDescent="0.25">
      <c r="A45" s="3" t="s">
        <v>49</v>
      </c>
      <c r="B45" s="3"/>
      <c r="C45" s="8">
        <v>137530</v>
      </c>
      <c r="D45" s="8">
        <v>0</v>
      </c>
      <c r="E45" s="8">
        <v>13100</v>
      </c>
      <c r="F45" s="8">
        <v>9030</v>
      </c>
      <c r="G45" s="8">
        <f>SUM(C45:F45)</f>
        <v>159660</v>
      </c>
      <c r="H45" s="3">
        <f>ROUND(G45/2334,2)</f>
        <v>68.41</v>
      </c>
    </row>
    <row r="46" spans="1:9" x14ac:dyDescent="0.25">
      <c r="A46" s="3" t="s">
        <v>50</v>
      </c>
      <c r="B46" s="3"/>
      <c r="C46" s="8">
        <v>0</v>
      </c>
      <c r="D46" s="8">
        <v>0</v>
      </c>
      <c r="E46" s="8">
        <v>0</v>
      </c>
      <c r="F46" s="8">
        <v>0</v>
      </c>
      <c r="G46" s="8">
        <f>SUM(C46:F46)</f>
        <v>0</v>
      </c>
      <c r="H46" s="3">
        <f>ROUND(G46/2334,2)</f>
        <v>0</v>
      </c>
    </row>
    <row r="48" spans="1:9" x14ac:dyDescent="0.25">
      <c r="A48" s="3"/>
      <c r="B48" s="3"/>
      <c r="C48" s="3" t="s">
        <v>2</v>
      </c>
      <c r="D48" s="3">
        <v>2022</v>
      </c>
      <c r="E48" s="3" t="s">
        <v>51</v>
      </c>
    </row>
    <row r="49" spans="1:7" x14ac:dyDescent="0.25">
      <c r="A49" s="3" t="s">
        <v>52</v>
      </c>
      <c r="B49" s="3"/>
      <c r="C49" s="13">
        <v>0.6744</v>
      </c>
      <c r="D49" s="13">
        <v>0.68020000000000003</v>
      </c>
      <c r="E49" s="13">
        <v>0.77659999999999996</v>
      </c>
    </row>
    <row r="50" spans="1:7" x14ac:dyDescent="0.25">
      <c r="A50" s="3" t="s">
        <v>53</v>
      </c>
      <c r="B50" s="3"/>
      <c r="C50" s="13">
        <v>0.6744</v>
      </c>
      <c r="D50" s="13">
        <v>0.64049999999999996</v>
      </c>
      <c r="E50" s="13">
        <v>0.75900000000000001</v>
      </c>
    </row>
    <row r="52" spans="1:7" x14ac:dyDescent="0.25">
      <c r="A52" s="3" t="s">
        <v>256</v>
      </c>
      <c r="B52" s="3"/>
      <c r="C52" s="3" t="s">
        <v>2</v>
      </c>
      <c r="D52" s="3" t="s">
        <v>181</v>
      </c>
      <c r="E52" s="3" t="s">
        <v>55</v>
      </c>
      <c r="F52" s="3" t="s">
        <v>254</v>
      </c>
      <c r="G52" s="3"/>
    </row>
    <row r="53" spans="1:7" x14ac:dyDescent="0.25">
      <c r="A53" s="3" t="s">
        <v>56</v>
      </c>
      <c r="B53" s="3"/>
      <c r="C53" s="3"/>
      <c r="D53" s="3">
        <v>93.46</v>
      </c>
      <c r="E53" s="3">
        <v>81.5</v>
      </c>
      <c r="F53" s="3">
        <v>50.61</v>
      </c>
      <c r="G53" s="3"/>
    </row>
    <row r="54" spans="1:7" x14ac:dyDescent="0.25">
      <c r="A54" s="3" t="s">
        <v>57</v>
      </c>
      <c r="B54" s="3"/>
      <c r="C54" s="3"/>
      <c r="D54" s="3">
        <v>58.67</v>
      </c>
      <c r="E54" s="3">
        <v>58.24</v>
      </c>
      <c r="F54" s="3">
        <v>57.37</v>
      </c>
      <c r="G54" s="3"/>
    </row>
    <row r="55" spans="1:7" x14ac:dyDescent="0.25">
      <c r="A55" s="3" t="s">
        <v>58</v>
      </c>
      <c r="B55" s="3"/>
      <c r="C55" s="3"/>
      <c r="D55" s="3">
        <v>228.48</v>
      </c>
      <c r="E55" s="3">
        <v>261.52999999999997</v>
      </c>
      <c r="F55" s="3">
        <v>249.57</v>
      </c>
      <c r="G55" s="3"/>
    </row>
    <row r="56" spans="1:7" x14ac:dyDescent="0.25">
      <c r="A56" s="3" t="s">
        <v>59</v>
      </c>
      <c r="B56" s="3"/>
      <c r="C56" s="3"/>
      <c r="D56" s="3">
        <v>111.86</v>
      </c>
      <c r="E56" s="3">
        <v>103.11</v>
      </c>
      <c r="F56" s="3">
        <v>71.400000000000006</v>
      </c>
      <c r="G56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I59"/>
  <sheetViews>
    <sheetView topLeftCell="A27" workbookViewId="0">
      <selection activeCell="G56" sqref="G56:G59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8.140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182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5486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63</v>
      </c>
      <c r="C9" s="10"/>
      <c r="D9" s="10"/>
      <c r="E9" s="10"/>
      <c r="F9" s="10">
        <v>230</v>
      </c>
      <c r="G9" s="10">
        <f t="shared" ref="G9:G43" si="0">SUM(C9:F9)</f>
        <v>230</v>
      </c>
      <c r="H9">
        <f t="shared" ref="H9:H43" si="1">ROUND(G9/5486,2)</f>
        <v>0.04</v>
      </c>
      <c r="I9" s="14">
        <f t="shared" ref="I9:I40" si="2">ROUND(G9/$G$44,3)</f>
        <v>0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>
        <f t="shared" si="1"/>
        <v>0</v>
      </c>
      <c r="I10" s="14">
        <f t="shared" si="2"/>
        <v>0</v>
      </c>
    </row>
    <row r="11" spans="1:9" x14ac:dyDescent="0.25">
      <c r="A11" t="s">
        <v>15</v>
      </c>
      <c r="B11" t="s">
        <v>16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17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96</v>
      </c>
      <c r="F13" s="10"/>
      <c r="G13" s="10">
        <f t="shared" si="0"/>
        <v>96</v>
      </c>
      <c r="H13">
        <f t="shared" si="1"/>
        <v>0.02</v>
      </c>
      <c r="I13" s="14">
        <f t="shared" si="2"/>
        <v>0</v>
      </c>
    </row>
    <row r="14" spans="1:9" x14ac:dyDescent="0.25">
      <c r="A14" t="s">
        <v>19</v>
      </c>
      <c r="B14" t="s">
        <v>20</v>
      </c>
      <c r="C14" s="10">
        <v>109500</v>
      </c>
      <c r="D14" s="10"/>
      <c r="E14" s="10">
        <v>1180</v>
      </c>
      <c r="F14" s="10">
        <v>60</v>
      </c>
      <c r="G14" s="10">
        <f t="shared" si="0"/>
        <v>110740</v>
      </c>
      <c r="H14">
        <f t="shared" si="1"/>
        <v>20.190000000000001</v>
      </c>
      <c r="I14" s="14">
        <f t="shared" si="2"/>
        <v>7.8E-2</v>
      </c>
    </row>
    <row r="15" spans="1:9" x14ac:dyDescent="0.25">
      <c r="A15" t="s">
        <v>19</v>
      </c>
      <c r="B15" t="s">
        <v>21</v>
      </c>
      <c r="C15" s="10">
        <v>109280</v>
      </c>
      <c r="D15" s="10"/>
      <c r="E15" s="10"/>
      <c r="F15" s="10"/>
      <c r="G15" s="10">
        <f t="shared" si="0"/>
        <v>109280</v>
      </c>
      <c r="H15">
        <f t="shared" si="1"/>
        <v>19.920000000000002</v>
      </c>
      <c r="I15" s="14">
        <f t="shared" si="2"/>
        <v>7.6999999999999999E-2</v>
      </c>
    </row>
    <row r="16" spans="1:9" x14ac:dyDescent="0.25">
      <c r="A16" t="s">
        <v>19</v>
      </c>
      <c r="B16" t="s">
        <v>76</v>
      </c>
      <c r="C16" s="10"/>
      <c r="D16" s="10"/>
      <c r="E16" s="10">
        <v>132</v>
      </c>
      <c r="F16" s="10"/>
      <c r="G16" s="10">
        <f t="shared" si="0"/>
        <v>132</v>
      </c>
      <c r="H16">
        <f t="shared" si="1"/>
        <v>0.02</v>
      </c>
      <c r="I16" s="14">
        <f t="shared" si="2"/>
        <v>0</v>
      </c>
    </row>
    <row r="17" spans="1:9" x14ac:dyDescent="0.25">
      <c r="A17" t="s">
        <v>19</v>
      </c>
      <c r="B17" t="s">
        <v>41</v>
      </c>
      <c r="C17" s="10"/>
      <c r="D17" s="10"/>
      <c r="E17" s="10">
        <v>125</v>
      </c>
      <c r="F17" s="10"/>
      <c r="G17" s="10">
        <f t="shared" si="0"/>
        <v>125</v>
      </c>
      <c r="H17">
        <f t="shared" si="1"/>
        <v>0.02</v>
      </c>
      <c r="I17" s="14">
        <f t="shared" si="2"/>
        <v>0</v>
      </c>
    </row>
    <row r="18" spans="1:9" x14ac:dyDescent="0.25">
      <c r="A18" t="s">
        <v>19</v>
      </c>
      <c r="B18" t="s">
        <v>22</v>
      </c>
      <c r="C18" s="10"/>
      <c r="D18" s="10"/>
      <c r="E18" s="10">
        <v>1000</v>
      </c>
      <c r="F18" s="10"/>
      <c r="G18" s="10">
        <f t="shared" si="0"/>
        <v>1000</v>
      </c>
      <c r="H18">
        <f t="shared" si="1"/>
        <v>0.18</v>
      </c>
      <c r="I18" s="14">
        <f t="shared" si="2"/>
        <v>1E-3</v>
      </c>
    </row>
    <row r="19" spans="1:9" x14ac:dyDescent="0.25">
      <c r="A19" t="s">
        <v>19</v>
      </c>
      <c r="B19" t="s">
        <v>23</v>
      </c>
      <c r="C19" s="10"/>
      <c r="D19" s="10"/>
      <c r="E19" s="10">
        <v>22500</v>
      </c>
      <c r="F19" s="10"/>
      <c r="G19" s="10">
        <f t="shared" si="0"/>
        <v>22500</v>
      </c>
      <c r="H19">
        <f t="shared" si="1"/>
        <v>4.0999999999999996</v>
      </c>
      <c r="I19" s="14">
        <f t="shared" si="2"/>
        <v>1.6E-2</v>
      </c>
    </row>
    <row r="20" spans="1:9" x14ac:dyDescent="0.25">
      <c r="A20" t="s">
        <v>19</v>
      </c>
      <c r="B20" t="s">
        <v>24</v>
      </c>
      <c r="C20" s="10">
        <v>168400</v>
      </c>
      <c r="D20" s="10"/>
      <c r="E20" s="10">
        <v>7480</v>
      </c>
      <c r="F20" s="10"/>
      <c r="G20" s="10">
        <f t="shared" si="0"/>
        <v>175880</v>
      </c>
      <c r="H20">
        <f t="shared" si="1"/>
        <v>32.06</v>
      </c>
      <c r="I20" s="14">
        <f t="shared" si="2"/>
        <v>0.124</v>
      </c>
    </row>
    <row r="21" spans="1:9" x14ac:dyDescent="0.25">
      <c r="A21" t="s">
        <v>19</v>
      </c>
      <c r="B21" t="s">
        <v>66</v>
      </c>
      <c r="C21" s="10"/>
      <c r="D21" s="10"/>
      <c r="E21" s="10">
        <v>3665</v>
      </c>
      <c r="F21" s="10"/>
      <c r="G21" s="10">
        <f t="shared" si="0"/>
        <v>3665</v>
      </c>
      <c r="H21">
        <f t="shared" si="1"/>
        <v>0.67</v>
      </c>
      <c r="I21" s="14">
        <f t="shared" si="2"/>
        <v>3.0000000000000001E-3</v>
      </c>
    </row>
    <row r="22" spans="1:9" x14ac:dyDescent="0.25">
      <c r="A22" t="s">
        <v>19</v>
      </c>
      <c r="B22" t="s">
        <v>25</v>
      </c>
      <c r="C22" s="10">
        <v>183980</v>
      </c>
      <c r="D22" s="10"/>
      <c r="E22" s="10"/>
      <c r="F22" s="10">
        <v>900</v>
      </c>
      <c r="G22" s="10">
        <f t="shared" si="0"/>
        <v>184880</v>
      </c>
      <c r="H22">
        <f t="shared" si="1"/>
        <v>33.700000000000003</v>
      </c>
      <c r="I22" s="14">
        <f t="shared" si="2"/>
        <v>0.13</v>
      </c>
    </row>
    <row r="23" spans="1:9" x14ac:dyDescent="0.25">
      <c r="A23" t="s">
        <v>19</v>
      </c>
      <c r="B23" t="s">
        <v>26</v>
      </c>
      <c r="C23" s="10"/>
      <c r="D23" s="10"/>
      <c r="E23" s="10">
        <v>501</v>
      </c>
      <c r="F23" s="10"/>
      <c r="G23" s="10">
        <f t="shared" si="0"/>
        <v>501</v>
      </c>
      <c r="H23">
        <f t="shared" si="1"/>
        <v>0.09</v>
      </c>
      <c r="I23" s="14">
        <f t="shared" si="2"/>
        <v>0</v>
      </c>
    </row>
    <row r="24" spans="1:9" x14ac:dyDescent="0.25">
      <c r="A24" t="s">
        <v>19</v>
      </c>
      <c r="B24" t="s">
        <v>27</v>
      </c>
      <c r="C24" s="10"/>
      <c r="D24" s="10"/>
      <c r="E24" s="10">
        <v>349</v>
      </c>
      <c r="F24" s="10"/>
      <c r="G24" s="10">
        <f t="shared" si="0"/>
        <v>349</v>
      </c>
      <c r="H24">
        <f t="shared" si="1"/>
        <v>0.06</v>
      </c>
      <c r="I24" s="14">
        <f t="shared" si="2"/>
        <v>0</v>
      </c>
    </row>
    <row r="25" spans="1:9" x14ac:dyDescent="0.25">
      <c r="A25" t="s">
        <v>19</v>
      </c>
      <c r="B25" t="s">
        <v>29</v>
      </c>
      <c r="C25" s="10"/>
      <c r="D25" s="10"/>
      <c r="E25" s="10">
        <v>3810</v>
      </c>
      <c r="F25" s="10"/>
      <c r="G25" s="10">
        <f t="shared" si="0"/>
        <v>3810</v>
      </c>
      <c r="H25">
        <f t="shared" si="1"/>
        <v>0.69</v>
      </c>
      <c r="I25" s="14">
        <f t="shared" si="2"/>
        <v>3.0000000000000001E-3</v>
      </c>
    </row>
    <row r="26" spans="1:9" x14ac:dyDescent="0.25">
      <c r="A26" t="s">
        <v>19</v>
      </c>
      <c r="B26" t="s">
        <v>30</v>
      </c>
      <c r="C26" s="10"/>
      <c r="D26" s="10"/>
      <c r="E26" s="10">
        <v>790</v>
      </c>
      <c r="F26" s="10"/>
      <c r="G26" s="10">
        <f t="shared" si="0"/>
        <v>790</v>
      </c>
      <c r="H26">
        <f t="shared" si="1"/>
        <v>0.14000000000000001</v>
      </c>
      <c r="I26" s="14">
        <f t="shared" si="2"/>
        <v>1E-3</v>
      </c>
    </row>
    <row r="27" spans="1:9" x14ac:dyDescent="0.25">
      <c r="A27" t="s">
        <v>19</v>
      </c>
      <c r="B27" t="s">
        <v>31</v>
      </c>
      <c r="C27" s="10"/>
      <c r="D27" s="10"/>
      <c r="E27" s="10">
        <v>400</v>
      </c>
      <c r="F27" s="10"/>
      <c r="G27" s="10">
        <f t="shared" si="0"/>
        <v>400</v>
      </c>
      <c r="H27">
        <f t="shared" si="1"/>
        <v>7.0000000000000007E-2</v>
      </c>
      <c r="I27" s="14">
        <f t="shared" si="2"/>
        <v>0</v>
      </c>
    </row>
    <row r="28" spans="1:9" x14ac:dyDescent="0.25">
      <c r="A28" t="s">
        <v>19</v>
      </c>
      <c r="B28" t="s">
        <v>32</v>
      </c>
      <c r="C28" s="10"/>
      <c r="D28" s="10"/>
      <c r="E28" s="10">
        <v>1770</v>
      </c>
      <c r="F28" s="10"/>
      <c r="G28" s="10">
        <f t="shared" si="0"/>
        <v>1770</v>
      </c>
      <c r="H28">
        <f t="shared" si="1"/>
        <v>0.32</v>
      </c>
      <c r="I28" s="14">
        <f t="shared" si="2"/>
        <v>1E-3</v>
      </c>
    </row>
    <row r="29" spans="1:9" x14ac:dyDescent="0.25">
      <c r="A29" t="s">
        <v>19</v>
      </c>
      <c r="B29" t="s">
        <v>42</v>
      </c>
      <c r="C29" s="10"/>
      <c r="D29" s="10">
        <v>305</v>
      </c>
      <c r="E29" s="10"/>
      <c r="F29" s="10"/>
      <c r="G29" s="10">
        <f t="shared" si="0"/>
        <v>305</v>
      </c>
      <c r="H29">
        <f t="shared" si="1"/>
        <v>0.06</v>
      </c>
      <c r="I29" s="14">
        <f t="shared" si="2"/>
        <v>0</v>
      </c>
    </row>
    <row r="30" spans="1:9" x14ac:dyDescent="0.25">
      <c r="A30" t="s">
        <v>19</v>
      </c>
      <c r="B30" t="s">
        <v>33</v>
      </c>
      <c r="C30" s="10"/>
      <c r="D30" s="10">
        <v>390</v>
      </c>
      <c r="E30" s="10"/>
      <c r="F30" s="10"/>
      <c r="G30" s="10">
        <f t="shared" si="0"/>
        <v>390</v>
      </c>
      <c r="H30">
        <f t="shared" si="1"/>
        <v>7.0000000000000007E-2</v>
      </c>
      <c r="I30" s="14">
        <f t="shared" si="2"/>
        <v>0</v>
      </c>
    </row>
    <row r="31" spans="1:9" x14ac:dyDescent="0.25">
      <c r="A31" t="s">
        <v>19</v>
      </c>
      <c r="B31" t="s">
        <v>34</v>
      </c>
      <c r="C31" s="10"/>
      <c r="D31" s="10"/>
      <c r="E31" s="10">
        <v>2450</v>
      </c>
      <c r="F31" s="10"/>
      <c r="G31" s="10">
        <f t="shared" si="0"/>
        <v>2450</v>
      </c>
      <c r="H31">
        <f t="shared" si="1"/>
        <v>0.45</v>
      </c>
      <c r="I31" s="14">
        <f t="shared" si="2"/>
        <v>2E-3</v>
      </c>
    </row>
    <row r="32" spans="1:9" x14ac:dyDescent="0.25">
      <c r="A32" t="s">
        <v>19</v>
      </c>
      <c r="B32" t="s">
        <v>35</v>
      </c>
      <c r="C32" s="10"/>
      <c r="D32" s="10"/>
      <c r="E32" s="10">
        <v>4506</v>
      </c>
      <c r="F32" s="10"/>
      <c r="G32" s="10">
        <f t="shared" si="0"/>
        <v>4506</v>
      </c>
      <c r="H32">
        <f t="shared" si="1"/>
        <v>0.82</v>
      </c>
      <c r="I32" s="14">
        <f t="shared" si="2"/>
        <v>3.0000000000000001E-3</v>
      </c>
    </row>
    <row r="33" spans="1:9" x14ac:dyDescent="0.25">
      <c r="A33" t="s">
        <v>19</v>
      </c>
      <c r="B33" t="s">
        <v>40</v>
      </c>
      <c r="C33" s="10"/>
      <c r="D33" s="10"/>
      <c r="E33" s="10">
        <v>5950</v>
      </c>
      <c r="F33" s="10"/>
      <c r="G33" s="10">
        <f t="shared" si="0"/>
        <v>5950</v>
      </c>
      <c r="H33">
        <f t="shared" si="1"/>
        <v>1.08</v>
      </c>
      <c r="I33" s="14">
        <f t="shared" si="2"/>
        <v>4.0000000000000001E-3</v>
      </c>
    </row>
    <row r="34" spans="1:9" x14ac:dyDescent="0.25">
      <c r="A34" t="s">
        <v>19</v>
      </c>
      <c r="B34" t="s">
        <v>36</v>
      </c>
      <c r="C34" s="10"/>
      <c r="D34" s="10"/>
      <c r="E34" s="10">
        <v>38140</v>
      </c>
      <c r="F34" s="10">
        <v>190</v>
      </c>
      <c r="G34" s="10">
        <f t="shared" si="0"/>
        <v>38330</v>
      </c>
      <c r="H34">
        <f t="shared" si="1"/>
        <v>6.99</v>
      </c>
      <c r="I34" s="14">
        <f t="shared" si="2"/>
        <v>2.7E-2</v>
      </c>
    </row>
    <row r="35" spans="1:9" x14ac:dyDescent="0.25">
      <c r="A35" t="s">
        <v>19</v>
      </c>
      <c r="B35" t="s">
        <v>37</v>
      </c>
      <c r="C35" s="10"/>
      <c r="D35" s="10"/>
      <c r="E35" s="10">
        <v>3560</v>
      </c>
      <c r="F35" s="10"/>
      <c r="G35" s="10">
        <f t="shared" si="0"/>
        <v>3560</v>
      </c>
      <c r="H35">
        <f t="shared" si="1"/>
        <v>0.65</v>
      </c>
      <c r="I35" s="14">
        <f t="shared" si="2"/>
        <v>3.0000000000000001E-3</v>
      </c>
    </row>
    <row r="36" spans="1:9" x14ac:dyDescent="0.25">
      <c r="A36" t="s">
        <v>19</v>
      </c>
      <c r="B36" t="s">
        <v>38</v>
      </c>
      <c r="C36" s="10"/>
      <c r="D36" s="10"/>
      <c r="E36" s="10">
        <v>10500</v>
      </c>
      <c r="F36" s="10"/>
      <c r="G36" s="10">
        <f t="shared" si="0"/>
        <v>10500</v>
      </c>
      <c r="H36">
        <f t="shared" si="1"/>
        <v>1.91</v>
      </c>
      <c r="I36" s="14">
        <f t="shared" si="2"/>
        <v>7.0000000000000001E-3</v>
      </c>
    </row>
    <row r="37" spans="1:9" x14ac:dyDescent="0.25">
      <c r="A37" t="s">
        <v>19</v>
      </c>
      <c r="B37" t="s">
        <v>39</v>
      </c>
      <c r="C37" s="10"/>
      <c r="D37" s="10">
        <v>390780</v>
      </c>
      <c r="E37" s="10">
        <v>17320</v>
      </c>
      <c r="F37" s="10"/>
      <c r="G37" s="10">
        <f t="shared" si="0"/>
        <v>408100</v>
      </c>
      <c r="H37">
        <f t="shared" si="1"/>
        <v>74.39</v>
      </c>
      <c r="I37" s="14">
        <f t="shared" si="2"/>
        <v>0.28699999999999998</v>
      </c>
    </row>
    <row r="38" spans="1:9" x14ac:dyDescent="0.25">
      <c r="A38" t="s">
        <v>19</v>
      </c>
      <c r="B38" t="s">
        <v>183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t="s">
        <v>19</v>
      </c>
      <c r="B39" t="s">
        <v>28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19</v>
      </c>
      <c r="B40" t="s">
        <v>67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t="s">
        <v>43</v>
      </c>
      <c r="B41" t="s">
        <v>44</v>
      </c>
      <c r="C41" s="10">
        <v>275050</v>
      </c>
      <c r="D41" s="10"/>
      <c r="E41" s="10"/>
      <c r="F41" s="10">
        <v>3250</v>
      </c>
      <c r="G41" s="10">
        <f t="shared" si="0"/>
        <v>278300</v>
      </c>
      <c r="H41">
        <f t="shared" si="1"/>
        <v>50.73</v>
      </c>
      <c r="I41" s="14">
        <f t="shared" ref="I41" si="3">ROUND(G41/$G$44,3)</f>
        <v>0.19600000000000001</v>
      </c>
    </row>
    <row r="42" spans="1:9" x14ac:dyDescent="0.25">
      <c r="A42" t="s">
        <v>43</v>
      </c>
      <c r="B42" t="s">
        <v>46</v>
      </c>
      <c r="C42" s="10"/>
      <c r="D42" s="10"/>
      <c r="E42" s="10"/>
      <c r="F42" s="10">
        <v>27260</v>
      </c>
      <c r="G42" s="10">
        <f t="shared" si="0"/>
        <v>27260</v>
      </c>
      <c r="H42">
        <f t="shared" si="1"/>
        <v>4.97</v>
      </c>
      <c r="I42" s="14">
        <f>ROUND(G42/$G$44,3)</f>
        <v>1.9E-2</v>
      </c>
    </row>
    <row r="43" spans="1:9" x14ac:dyDescent="0.25">
      <c r="A43" t="s">
        <v>43</v>
      </c>
      <c r="B43" t="s">
        <v>45</v>
      </c>
      <c r="C43" s="10"/>
      <c r="D43" s="10"/>
      <c r="E43" s="10">
        <v>25140</v>
      </c>
      <c r="F43" s="10"/>
      <c r="G43" s="10">
        <f t="shared" si="0"/>
        <v>25140</v>
      </c>
      <c r="H43">
        <f t="shared" si="1"/>
        <v>4.58</v>
      </c>
      <c r="I43" s="14">
        <f>ROUND(G43/$G$44,3)</f>
        <v>1.7999999999999999E-2</v>
      </c>
    </row>
    <row r="44" spans="1:9" x14ac:dyDescent="0.25">
      <c r="A44" s="3" t="s">
        <v>253</v>
      </c>
      <c r="B44" s="3"/>
      <c r="C44" s="8">
        <f t="shared" ref="C44:H44" si="4">SUM(C8:C43)</f>
        <v>846210</v>
      </c>
      <c r="D44" s="8">
        <f t="shared" si="4"/>
        <v>391475</v>
      </c>
      <c r="E44" s="8">
        <f t="shared" si="4"/>
        <v>151364</v>
      </c>
      <c r="F44" s="8">
        <f t="shared" si="4"/>
        <v>31890</v>
      </c>
      <c r="G44" s="8">
        <f t="shared" si="4"/>
        <v>1420939</v>
      </c>
      <c r="H44" s="3">
        <f t="shared" si="4"/>
        <v>258.98999999999995</v>
      </c>
    </row>
    <row r="45" spans="1:9" x14ac:dyDescent="0.25">
      <c r="A45" s="3" t="s">
        <v>14</v>
      </c>
      <c r="B45" s="3"/>
      <c r="C45" s="13">
        <f>ROUND(C44/G44,2)</f>
        <v>0.6</v>
      </c>
      <c r="D45" s="13">
        <f>ROUND(D44/G44,2)</f>
        <v>0.28000000000000003</v>
      </c>
      <c r="E45" s="13">
        <f>ROUND(E44/G44,2)</f>
        <v>0.11</v>
      </c>
      <c r="F45" s="13">
        <f>ROUND(F44/G44,2)</f>
        <v>0.02</v>
      </c>
      <c r="G45" s="3"/>
      <c r="H45" s="3"/>
    </row>
    <row r="46" spans="1:9" x14ac:dyDescent="0.25">
      <c r="A46" s="3" t="s">
        <v>47</v>
      </c>
      <c r="B46" s="3"/>
      <c r="C46" s="3"/>
      <c r="D46" s="3"/>
      <c r="E46" s="3"/>
      <c r="F46" s="3"/>
      <c r="G46" s="3"/>
      <c r="H46" s="3"/>
    </row>
    <row r="47" spans="1:9" x14ac:dyDescent="0.25">
      <c r="A47" s="3" t="s">
        <v>48</v>
      </c>
      <c r="B47" s="3"/>
      <c r="C47" s="8">
        <v>571160</v>
      </c>
      <c r="D47" s="8">
        <v>391475</v>
      </c>
      <c r="E47" s="8">
        <v>126224</v>
      </c>
      <c r="F47" s="8">
        <v>1150</v>
      </c>
      <c r="G47" s="8">
        <f>SUM(C47:F47)</f>
        <v>1090009</v>
      </c>
      <c r="H47" s="3">
        <f>ROUND(G47/5486,2)</f>
        <v>198.69</v>
      </c>
    </row>
    <row r="48" spans="1:9" x14ac:dyDescent="0.25">
      <c r="A48" s="3" t="s">
        <v>49</v>
      </c>
      <c r="B48" s="3"/>
      <c r="C48" s="8">
        <v>275050</v>
      </c>
      <c r="D48" s="8">
        <v>0</v>
      </c>
      <c r="E48" s="8">
        <v>25140</v>
      </c>
      <c r="F48" s="8">
        <v>30510</v>
      </c>
      <c r="G48" s="8">
        <f>SUM(C48:F48)</f>
        <v>330700</v>
      </c>
      <c r="H48" s="3">
        <f>ROUND(G48/5486,2)</f>
        <v>60.28</v>
      </c>
    </row>
    <row r="49" spans="1:8" x14ac:dyDescent="0.25">
      <c r="A49" s="3" t="s">
        <v>50</v>
      </c>
      <c r="B49" s="3"/>
      <c r="C49" s="8">
        <v>0</v>
      </c>
      <c r="D49" s="8">
        <v>0</v>
      </c>
      <c r="E49" s="8">
        <v>0</v>
      </c>
      <c r="F49" s="8">
        <v>230</v>
      </c>
      <c r="G49" s="8">
        <f>SUM(C49:F49)</f>
        <v>230</v>
      </c>
      <c r="H49" s="3">
        <f>ROUND(G49/5486,2)</f>
        <v>0.04</v>
      </c>
    </row>
    <row r="51" spans="1:8" x14ac:dyDescent="0.25">
      <c r="A51" s="3"/>
      <c r="B51" s="3"/>
      <c r="C51" s="3" t="s">
        <v>2</v>
      </c>
      <c r="D51" s="3">
        <v>2022</v>
      </c>
      <c r="E51" s="3" t="s">
        <v>51</v>
      </c>
    </row>
    <row r="52" spans="1:8" x14ac:dyDescent="0.25">
      <c r="A52" s="3" t="s">
        <v>52</v>
      </c>
      <c r="B52" s="3"/>
      <c r="C52" s="13">
        <v>0.80089999999999995</v>
      </c>
      <c r="D52" s="13">
        <v>0.79320000000000002</v>
      </c>
      <c r="E52" s="13">
        <v>0.77659999999999996</v>
      </c>
    </row>
    <row r="53" spans="1:8" x14ac:dyDescent="0.25">
      <c r="A53" s="3" t="s">
        <v>53</v>
      </c>
      <c r="B53" s="3"/>
      <c r="C53" s="13">
        <v>0.79069999999999996</v>
      </c>
      <c r="D53" s="13">
        <v>0.7833</v>
      </c>
      <c r="E53" s="13">
        <v>0.75900000000000001</v>
      </c>
    </row>
    <row r="55" spans="1:8" x14ac:dyDescent="0.25">
      <c r="A55" s="3" t="s">
        <v>256</v>
      </c>
      <c r="B55" s="3"/>
      <c r="C55" s="3" t="s">
        <v>2</v>
      </c>
      <c r="D55" s="3" t="s">
        <v>184</v>
      </c>
      <c r="E55" s="3" t="s">
        <v>55</v>
      </c>
      <c r="F55" s="3" t="s">
        <v>254</v>
      </c>
      <c r="G55" s="3"/>
    </row>
    <row r="56" spans="1:8" x14ac:dyDescent="0.25">
      <c r="A56" s="3" t="s">
        <v>56</v>
      </c>
      <c r="B56" s="3"/>
      <c r="C56" s="3"/>
      <c r="D56" s="3">
        <v>92.03</v>
      </c>
      <c r="E56" s="3">
        <v>81.5</v>
      </c>
      <c r="F56" s="3">
        <v>50.61</v>
      </c>
      <c r="G56" s="3"/>
    </row>
    <row r="57" spans="1:8" x14ac:dyDescent="0.25">
      <c r="A57" s="3" t="s">
        <v>57</v>
      </c>
      <c r="B57" s="3"/>
      <c r="C57" s="3"/>
      <c r="D57" s="3">
        <v>68.64</v>
      </c>
      <c r="E57" s="3">
        <v>58.24</v>
      </c>
      <c r="F57" s="3">
        <v>57.37</v>
      </c>
      <c r="G57" s="3"/>
    </row>
    <row r="58" spans="1:8" x14ac:dyDescent="0.25">
      <c r="A58" s="3" t="s">
        <v>58</v>
      </c>
      <c r="B58" s="3"/>
      <c r="C58" s="3"/>
      <c r="D58" s="3">
        <v>357.49</v>
      </c>
      <c r="E58" s="3">
        <v>261.52999999999997</v>
      </c>
      <c r="F58" s="3">
        <v>249.57</v>
      </c>
      <c r="G58" s="3"/>
    </row>
    <row r="59" spans="1:8" x14ac:dyDescent="0.25">
      <c r="A59" s="3" t="s">
        <v>59</v>
      </c>
      <c r="B59" s="3"/>
      <c r="C59" s="3"/>
      <c r="D59" s="3">
        <v>108.71</v>
      </c>
      <c r="E59" s="3">
        <v>103.11</v>
      </c>
      <c r="F59" s="3">
        <v>71.400000000000006</v>
      </c>
      <c r="G5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I64"/>
  <sheetViews>
    <sheetView topLeftCell="A42" workbookViewId="0">
      <selection activeCell="G61" sqref="G61:G64"/>
    </sheetView>
  </sheetViews>
  <sheetFormatPr defaultRowHeight="15" x14ac:dyDescent="0.25"/>
  <cols>
    <col min="1" max="1" width="48.28515625" bestFit="1" customWidth="1"/>
    <col min="2" max="2" width="57.28515625" bestFit="1" customWidth="1"/>
    <col min="3" max="3" width="12.5703125" bestFit="1" customWidth="1"/>
    <col min="4" max="4" width="33.42578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185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6888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400</v>
      </c>
      <c r="G9" s="10">
        <f t="shared" ref="G9:G48" si="0">SUM(C9:F9)</f>
        <v>400</v>
      </c>
      <c r="H9">
        <f t="shared" ref="H9:H48" si="1">ROUND(G9/6888,2)</f>
        <v>0.06</v>
      </c>
      <c r="I9" s="14">
        <f t="shared" ref="I9:I40" si="2">ROUND(G9/$G$49,3)</f>
        <v>0</v>
      </c>
    </row>
    <row r="10" spans="1:9" x14ac:dyDescent="0.25">
      <c r="A10" t="s">
        <v>15</v>
      </c>
      <c r="B10" t="s">
        <v>63</v>
      </c>
      <c r="C10" s="10"/>
      <c r="D10" s="10"/>
      <c r="E10" s="10"/>
      <c r="F10" s="10">
        <v>70</v>
      </c>
      <c r="G10" s="10">
        <f t="shared" si="0"/>
        <v>70</v>
      </c>
      <c r="H10">
        <f t="shared" si="1"/>
        <v>0.01</v>
      </c>
      <c r="I10" s="14">
        <f t="shared" si="2"/>
        <v>0</v>
      </c>
    </row>
    <row r="11" spans="1:9" x14ac:dyDescent="0.25">
      <c r="A11" t="s">
        <v>15</v>
      </c>
      <c r="B11" t="s">
        <v>17</v>
      </c>
      <c r="C11" s="10"/>
      <c r="D11" s="10"/>
      <c r="E11" s="10"/>
      <c r="F11" s="10">
        <v>975</v>
      </c>
      <c r="G11" s="10">
        <f t="shared" si="0"/>
        <v>975</v>
      </c>
      <c r="H11">
        <f t="shared" si="1"/>
        <v>0.14000000000000001</v>
      </c>
      <c r="I11" s="14">
        <f t="shared" si="2"/>
        <v>1E-3</v>
      </c>
    </row>
    <row r="12" spans="1:9" x14ac:dyDescent="0.25">
      <c r="A12" t="s">
        <v>15</v>
      </c>
      <c r="B12" t="s">
        <v>18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20</v>
      </c>
      <c r="C13" s="10">
        <v>106320</v>
      </c>
      <c r="D13" s="10"/>
      <c r="E13" s="10">
        <v>4320</v>
      </c>
      <c r="F13" s="10"/>
      <c r="G13" s="10">
        <f t="shared" si="0"/>
        <v>110640</v>
      </c>
      <c r="H13">
        <f t="shared" si="1"/>
        <v>16.059999999999999</v>
      </c>
      <c r="I13" s="14">
        <f t="shared" si="2"/>
        <v>0.10100000000000001</v>
      </c>
    </row>
    <row r="14" spans="1:9" x14ac:dyDescent="0.25">
      <c r="A14" t="s">
        <v>19</v>
      </c>
      <c r="B14" t="s">
        <v>21</v>
      </c>
      <c r="C14" s="10">
        <v>125250</v>
      </c>
      <c r="D14" s="10"/>
      <c r="E14" s="10"/>
      <c r="F14" s="10"/>
      <c r="G14" s="10">
        <f t="shared" si="0"/>
        <v>125250</v>
      </c>
      <c r="H14">
        <f t="shared" si="1"/>
        <v>18.18</v>
      </c>
      <c r="I14" s="14">
        <f t="shared" si="2"/>
        <v>0.115</v>
      </c>
    </row>
    <row r="15" spans="1:9" x14ac:dyDescent="0.25">
      <c r="A15" t="s">
        <v>19</v>
      </c>
      <c r="B15" t="s">
        <v>76</v>
      </c>
      <c r="C15" s="10"/>
      <c r="D15" s="10"/>
      <c r="E15" s="10">
        <v>39</v>
      </c>
      <c r="F15" s="10">
        <v>17</v>
      </c>
      <c r="G15" s="10">
        <f t="shared" si="0"/>
        <v>56</v>
      </c>
      <c r="H15">
        <f t="shared" si="1"/>
        <v>0.01</v>
      </c>
      <c r="I15" s="14">
        <f t="shared" si="2"/>
        <v>0</v>
      </c>
    </row>
    <row r="16" spans="1:9" x14ac:dyDescent="0.25">
      <c r="A16" t="s">
        <v>19</v>
      </c>
      <c r="B16" t="s">
        <v>41</v>
      </c>
      <c r="C16" s="10"/>
      <c r="D16" s="10"/>
      <c r="E16" s="10">
        <v>63</v>
      </c>
      <c r="F16" s="10"/>
      <c r="G16" s="10">
        <f t="shared" si="0"/>
        <v>63</v>
      </c>
      <c r="H16">
        <f t="shared" si="1"/>
        <v>0.01</v>
      </c>
      <c r="I16" s="14">
        <f t="shared" si="2"/>
        <v>0</v>
      </c>
    </row>
    <row r="17" spans="1:9" x14ac:dyDescent="0.25">
      <c r="A17" t="s">
        <v>19</v>
      </c>
      <c r="B17" t="s">
        <v>22</v>
      </c>
      <c r="C17" s="10"/>
      <c r="D17" s="10"/>
      <c r="E17" s="10">
        <v>1900</v>
      </c>
      <c r="F17" s="10"/>
      <c r="G17" s="10">
        <f t="shared" si="0"/>
        <v>1900</v>
      </c>
      <c r="H17">
        <f t="shared" si="1"/>
        <v>0.28000000000000003</v>
      </c>
      <c r="I17" s="14">
        <f t="shared" si="2"/>
        <v>2E-3</v>
      </c>
    </row>
    <row r="18" spans="1:9" x14ac:dyDescent="0.25">
      <c r="A18" t="s">
        <v>19</v>
      </c>
      <c r="B18" t="s">
        <v>178</v>
      </c>
      <c r="C18" s="10"/>
      <c r="D18" s="10"/>
      <c r="E18" s="10"/>
      <c r="F18" s="10">
        <v>720</v>
      </c>
      <c r="G18" s="10">
        <f t="shared" si="0"/>
        <v>720</v>
      </c>
      <c r="H18">
        <f t="shared" si="1"/>
        <v>0.1</v>
      </c>
      <c r="I18" s="14">
        <f t="shared" si="2"/>
        <v>1E-3</v>
      </c>
    </row>
    <row r="19" spans="1:9" x14ac:dyDescent="0.25">
      <c r="A19" t="s">
        <v>19</v>
      </c>
      <c r="B19" t="s">
        <v>99</v>
      </c>
      <c r="C19" s="10"/>
      <c r="D19" s="10"/>
      <c r="E19" s="10"/>
      <c r="F19" s="10">
        <v>368</v>
      </c>
      <c r="G19" s="10">
        <f t="shared" si="0"/>
        <v>368</v>
      </c>
      <c r="H19">
        <f t="shared" si="1"/>
        <v>0.05</v>
      </c>
      <c r="I19" s="14">
        <f t="shared" si="2"/>
        <v>0</v>
      </c>
    </row>
    <row r="20" spans="1:9" x14ac:dyDescent="0.25">
      <c r="A20" t="s">
        <v>19</v>
      </c>
      <c r="B20" t="s">
        <v>23</v>
      </c>
      <c r="C20" s="10"/>
      <c r="D20" s="10"/>
      <c r="E20" s="10">
        <v>41160</v>
      </c>
      <c r="F20" s="10"/>
      <c r="G20" s="10">
        <f t="shared" si="0"/>
        <v>41160</v>
      </c>
      <c r="H20">
        <f t="shared" si="1"/>
        <v>5.98</v>
      </c>
      <c r="I20" s="14">
        <f t="shared" si="2"/>
        <v>3.7999999999999999E-2</v>
      </c>
    </row>
    <row r="21" spans="1:9" x14ac:dyDescent="0.25">
      <c r="A21" t="s">
        <v>19</v>
      </c>
      <c r="B21" t="s">
        <v>24</v>
      </c>
      <c r="C21" s="10">
        <v>145540</v>
      </c>
      <c r="D21" s="10"/>
      <c r="E21" s="10">
        <v>13320</v>
      </c>
      <c r="F21" s="10"/>
      <c r="G21" s="10">
        <f t="shared" si="0"/>
        <v>158860</v>
      </c>
      <c r="H21">
        <f t="shared" si="1"/>
        <v>23.06</v>
      </c>
      <c r="I21" s="14">
        <f t="shared" si="2"/>
        <v>0.14499999999999999</v>
      </c>
    </row>
    <row r="22" spans="1:9" x14ac:dyDescent="0.25">
      <c r="A22" t="s">
        <v>19</v>
      </c>
      <c r="B22" t="s">
        <v>66</v>
      </c>
      <c r="C22" s="10"/>
      <c r="D22" s="10"/>
      <c r="E22" s="10">
        <v>4685</v>
      </c>
      <c r="F22" s="10"/>
      <c r="G22" s="10">
        <f t="shared" si="0"/>
        <v>4685</v>
      </c>
      <c r="H22">
        <f t="shared" si="1"/>
        <v>0.68</v>
      </c>
      <c r="I22" s="14">
        <f t="shared" si="2"/>
        <v>4.0000000000000001E-3</v>
      </c>
    </row>
    <row r="23" spans="1:9" x14ac:dyDescent="0.25">
      <c r="A23" t="s">
        <v>19</v>
      </c>
      <c r="B23" t="s">
        <v>25</v>
      </c>
      <c r="C23" s="10">
        <v>226660</v>
      </c>
      <c r="D23" s="10"/>
      <c r="E23" s="10"/>
      <c r="F23" s="10">
        <v>100</v>
      </c>
      <c r="G23" s="10">
        <f t="shared" si="0"/>
        <v>226760</v>
      </c>
      <c r="H23">
        <f t="shared" si="1"/>
        <v>32.92</v>
      </c>
      <c r="I23" s="14">
        <f t="shared" si="2"/>
        <v>0.20799999999999999</v>
      </c>
    </row>
    <row r="24" spans="1:9" x14ac:dyDescent="0.25">
      <c r="A24" t="s">
        <v>19</v>
      </c>
      <c r="B24" t="s">
        <v>26</v>
      </c>
      <c r="C24" s="10"/>
      <c r="D24" s="10"/>
      <c r="E24" s="10">
        <v>1657</v>
      </c>
      <c r="F24" s="10"/>
      <c r="G24" s="10">
        <f t="shared" si="0"/>
        <v>1657</v>
      </c>
      <c r="H24">
        <f t="shared" si="1"/>
        <v>0.24</v>
      </c>
      <c r="I24" s="14">
        <f t="shared" si="2"/>
        <v>2E-3</v>
      </c>
    </row>
    <row r="25" spans="1:9" x14ac:dyDescent="0.25">
      <c r="A25" t="s">
        <v>19</v>
      </c>
      <c r="B25" t="s">
        <v>27</v>
      </c>
      <c r="C25" s="10"/>
      <c r="D25" s="10"/>
      <c r="E25" s="10">
        <v>817</v>
      </c>
      <c r="F25" s="10"/>
      <c r="G25" s="10">
        <f t="shared" si="0"/>
        <v>817</v>
      </c>
      <c r="H25">
        <f t="shared" si="1"/>
        <v>0.12</v>
      </c>
      <c r="I25" s="14">
        <f t="shared" si="2"/>
        <v>1E-3</v>
      </c>
    </row>
    <row r="26" spans="1:9" x14ac:dyDescent="0.25">
      <c r="A26" t="s">
        <v>19</v>
      </c>
      <c r="B26" t="s">
        <v>28</v>
      </c>
      <c r="C26" s="10"/>
      <c r="D26" s="10"/>
      <c r="E26" s="10">
        <v>185</v>
      </c>
      <c r="F26" s="10"/>
      <c r="G26" s="10">
        <f t="shared" si="0"/>
        <v>185</v>
      </c>
      <c r="H26">
        <f t="shared" si="1"/>
        <v>0.03</v>
      </c>
      <c r="I26" s="14">
        <f t="shared" si="2"/>
        <v>0</v>
      </c>
    </row>
    <row r="27" spans="1:9" x14ac:dyDescent="0.25">
      <c r="A27" t="s">
        <v>19</v>
      </c>
      <c r="B27" t="s">
        <v>29</v>
      </c>
      <c r="C27" s="10"/>
      <c r="D27" s="10"/>
      <c r="E27" s="10">
        <v>4330</v>
      </c>
      <c r="F27" s="10"/>
      <c r="G27" s="10">
        <f t="shared" si="0"/>
        <v>4330</v>
      </c>
      <c r="H27">
        <f t="shared" si="1"/>
        <v>0.63</v>
      </c>
      <c r="I27" s="14">
        <f t="shared" si="2"/>
        <v>4.0000000000000001E-3</v>
      </c>
    </row>
    <row r="28" spans="1:9" x14ac:dyDescent="0.25">
      <c r="A28" t="s">
        <v>19</v>
      </c>
      <c r="B28" t="s">
        <v>30</v>
      </c>
      <c r="C28" s="10"/>
      <c r="D28" s="10"/>
      <c r="E28" s="10">
        <v>1090</v>
      </c>
      <c r="F28" s="10"/>
      <c r="G28" s="10">
        <f t="shared" si="0"/>
        <v>1090</v>
      </c>
      <c r="H28">
        <f t="shared" si="1"/>
        <v>0.16</v>
      </c>
      <c r="I28" s="14">
        <f t="shared" si="2"/>
        <v>1E-3</v>
      </c>
    </row>
    <row r="29" spans="1:9" x14ac:dyDescent="0.25">
      <c r="A29" t="s">
        <v>19</v>
      </c>
      <c r="B29" t="s">
        <v>31</v>
      </c>
      <c r="C29" s="10"/>
      <c r="D29" s="10"/>
      <c r="E29" s="10">
        <v>350</v>
      </c>
      <c r="F29" s="10"/>
      <c r="G29" s="10">
        <f t="shared" si="0"/>
        <v>350</v>
      </c>
      <c r="H29">
        <f t="shared" si="1"/>
        <v>0.05</v>
      </c>
      <c r="I29" s="14">
        <f t="shared" si="2"/>
        <v>0</v>
      </c>
    </row>
    <row r="30" spans="1:9" x14ac:dyDescent="0.25">
      <c r="A30" t="s">
        <v>19</v>
      </c>
      <c r="B30" t="s">
        <v>32</v>
      </c>
      <c r="C30" s="10"/>
      <c r="D30" s="10"/>
      <c r="E30" s="10">
        <v>935</v>
      </c>
      <c r="F30" s="10"/>
      <c r="G30" s="10">
        <f t="shared" si="0"/>
        <v>935</v>
      </c>
      <c r="H30">
        <f t="shared" si="1"/>
        <v>0.14000000000000001</v>
      </c>
      <c r="I30" s="14">
        <f t="shared" si="2"/>
        <v>1E-3</v>
      </c>
    </row>
    <row r="31" spans="1:9" x14ac:dyDescent="0.25">
      <c r="A31" t="s">
        <v>19</v>
      </c>
      <c r="B31" t="s">
        <v>42</v>
      </c>
      <c r="C31" s="10"/>
      <c r="D31" s="10">
        <v>373</v>
      </c>
      <c r="E31" s="10">
        <v>105</v>
      </c>
      <c r="F31" s="10"/>
      <c r="G31" s="10">
        <f t="shared" si="0"/>
        <v>478</v>
      </c>
      <c r="H31">
        <f t="shared" si="1"/>
        <v>7.0000000000000007E-2</v>
      </c>
      <c r="I31" s="14">
        <f t="shared" si="2"/>
        <v>0</v>
      </c>
    </row>
    <row r="32" spans="1:9" x14ac:dyDescent="0.25">
      <c r="A32" t="s">
        <v>19</v>
      </c>
      <c r="B32" t="s">
        <v>33</v>
      </c>
      <c r="C32" s="10"/>
      <c r="D32" s="10"/>
      <c r="E32" s="10">
        <v>512</v>
      </c>
      <c r="F32" s="10"/>
      <c r="G32" s="10">
        <f t="shared" si="0"/>
        <v>512</v>
      </c>
      <c r="H32">
        <f t="shared" si="1"/>
        <v>7.0000000000000007E-2</v>
      </c>
      <c r="I32" s="14">
        <f t="shared" si="2"/>
        <v>0</v>
      </c>
    </row>
    <row r="33" spans="1:9" x14ac:dyDescent="0.25">
      <c r="A33" t="s">
        <v>19</v>
      </c>
      <c r="B33" t="s">
        <v>34</v>
      </c>
      <c r="C33" s="10"/>
      <c r="D33" s="10"/>
      <c r="E33" s="10">
        <v>2700</v>
      </c>
      <c r="F33" s="10"/>
      <c r="G33" s="10">
        <f t="shared" si="0"/>
        <v>2700</v>
      </c>
      <c r="H33">
        <f t="shared" si="1"/>
        <v>0.39</v>
      </c>
      <c r="I33" s="14">
        <f t="shared" si="2"/>
        <v>2E-3</v>
      </c>
    </row>
    <row r="34" spans="1:9" x14ac:dyDescent="0.25">
      <c r="A34" t="s">
        <v>19</v>
      </c>
      <c r="B34" t="s">
        <v>35</v>
      </c>
      <c r="C34" s="10"/>
      <c r="D34" s="10"/>
      <c r="E34" s="10">
        <v>2500</v>
      </c>
      <c r="F34" s="10"/>
      <c r="G34" s="10">
        <f t="shared" si="0"/>
        <v>2500</v>
      </c>
      <c r="H34">
        <f t="shared" si="1"/>
        <v>0.36</v>
      </c>
      <c r="I34" s="14">
        <f t="shared" si="2"/>
        <v>2E-3</v>
      </c>
    </row>
    <row r="35" spans="1:9" x14ac:dyDescent="0.25">
      <c r="A35" t="s">
        <v>19</v>
      </c>
      <c r="B35" t="s">
        <v>40</v>
      </c>
      <c r="C35" s="10"/>
      <c r="D35" s="10"/>
      <c r="E35" s="10">
        <v>9272</v>
      </c>
      <c r="F35" s="10"/>
      <c r="G35" s="10">
        <f t="shared" si="0"/>
        <v>9272</v>
      </c>
      <c r="H35">
        <f t="shared" si="1"/>
        <v>1.35</v>
      </c>
      <c r="I35" s="14">
        <f t="shared" si="2"/>
        <v>8.0000000000000002E-3</v>
      </c>
    </row>
    <row r="36" spans="1:9" x14ac:dyDescent="0.25">
      <c r="A36" t="s">
        <v>19</v>
      </c>
      <c r="B36" t="s">
        <v>36</v>
      </c>
      <c r="C36" s="10"/>
      <c r="D36" s="10"/>
      <c r="E36" s="10">
        <v>47610</v>
      </c>
      <c r="F36" s="10"/>
      <c r="G36" s="10">
        <f t="shared" si="0"/>
        <v>47610</v>
      </c>
      <c r="H36">
        <f t="shared" si="1"/>
        <v>6.91</v>
      </c>
      <c r="I36" s="14">
        <f t="shared" si="2"/>
        <v>4.3999999999999997E-2</v>
      </c>
    </row>
    <row r="37" spans="1:9" x14ac:dyDescent="0.25">
      <c r="A37" t="s">
        <v>19</v>
      </c>
      <c r="B37" t="s">
        <v>37</v>
      </c>
      <c r="C37" s="10"/>
      <c r="D37" s="10"/>
      <c r="E37" s="10">
        <v>5800</v>
      </c>
      <c r="F37" s="10"/>
      <c r="G37" s="10">
        <f t="shared" si="0"/>
        <v>5800</v>
      </c>
      <c r="H37">
        <f t="shared" si="1"/>
        <v>0.84</v>
      </c>
      <c r="I37" s="14">
        <f t="shared" si="2"/>
        <v>5.0000000000000001E-3</v>
      </c>
    </row>
    <row r="38" spans="1:9" x14ac:dyDescent="0.25">
      <c r="A38" t="s">
        <v>19</v>
      </c>
      <c r="B38" t="s">
        <v>38</v>
      </c>
      <c r="C38" s="10"/>
      <c r="D38" s="10"/>
      <c r="E38" s="10">
        <v>15670</v>
      </c>
      <c r="F38" s="10"/>
      <c r="G38" s="10">
        <f t="shared" si="0"/>
        <v>15670</v>
      </c>
      <c r="H38">
        <f t="shared" si="1"/>
        <v>2.27</v>
      </c>
      <c r="I38" s="14">
        <f t="shared" si="2"/>
        <v>1.4E-2</v>
      </c>
    </row>
    <row r="39" spans="1:9" x14ac:dyDescent="0.25">
      <c r="A39" t="s">
        <v>19</v>
      </c>
      <c r="B39" t="s">
        <v>39</v>
      </c>
      <c r="C39" s="10"/>
      <c r="D39" s="10"/>
      <c r="E39" s="10">
        <v>75220</v>
      </c>
      <c r="F39" s="10">
        <v>5180</v>
      </c>
      <c r="G39" s="10">
        <f t="shared" si="0"/>
        <v>80400</v>
      </c>
      <c r="H39">
        <f t="shared" si="1"/>
        <v>11.67</v>
      </c>
      <c r="I39" s="14">
        <f t="shared" si="2"/>
        <v>7.3999999999999996E-2</v>
      </c>
    </row>
    <row r="40" spans="1:9" x14ac:dyDescent="0.25">
      <c r="A40" t="s">
        <v>19</v>
      </c>
      <c r="B40" t="s">
        <v>64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t="s">
        <v>19</v>
      </c>
      <c r="B41" t="s">
        <v>67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ROUND(G41/$G$49,3)</f>
        <v>0</v>
      </c>
    </row>
    <row r="42" spans="1:9" x14ac:dyDescent="0.25">
      <c r="A42" t="s">
        <v>19</v>
      </c>
      <c r="B42" t="s">
        <v>100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 t="shared" ref="I42:I48" si="4">ROUND(G42/$G$49,3)</f>
        <v>0</v>
      </c>
    </row>
    <row r="43" spans="1:9" x14ac:dyDescent="0.25">
      <c r="A43" t="s">
        <v>19</v>
      </c>
      <c r="B43" t="s">
        <v>98</v>
      </c>
      <c r="C43" s="10"/>
      <c r="D43" s="10"/>
      <c r="E43" s="10"/>
      <c r="F43" s="10"/>
      <c r="G43" s="10">
        <f t="shared" si="0"/>
        <v>0</v>
      </c>
      <c r="H43">
        <f t="shared" si="1"/>
        <v>0</v>
      </c>
      <c r="I43" s="14">
        <f t="shared" si="4"/>
        <v>0</v>
      </c>
    </row>
    <row r="44" spans="1:9" x14ac:dyDescent="0.25">
      <c r="A44" t="s">
        <v>19</v>
      </c>
      <c r="B44" t="s">
        <v>112</v>
      </c>
      <c r="C44" s="10"/>
      <c r="D44" s="10"/>
      <c r="E44" s="10"/>
      <c r="F44" s="10"/>
      <c r="G44" s="10">
        <f t="shared" si="0"/>
        <v>0</v>
      </c>
      <c r="H44">
        <f t="shared" si="1"/>
        <v>0</v>
      </c>
      <c r="I44" s="14">
        <f t="shared" si="4"/>
        <v>0</v>
      </c>
    </row>
    <row r="45" spans="1:9" x14ac:dyDescent="0.25">
      <c r="A45" t="s">
        <v>19</v>
      </c>
      <c r="B45" t="s">
        <v>71</v>
      </c>
      <c r="C45" s="10"/>
      <c r="D45" s="10"/>
      <c r="E45" s="10"/>
      <c r="F45" s="10"/>
      <c r="G45" s="10">
        <f t="shared" si="0"/>
        <v>0</v>
      </c>
      <c r="H45">
        <f t="shared" si="1"/>
        <v>0</v>
      </c>
      <c r="I45" s="14">
        <f t="shared" si="4"/>
        <v>0</v>
      </c>
    </row>
    <row r="46" spans="1:9" x14ac:dyDescent="0.25">
      <c r="A46" t="s">
        <v>43</v>
      </c>
      <c r="B46" t="s">
        <v>44</v>
      </c>
      <c r="C46" s="10">
        <v>178430</v>
      </c>
      <c r="D46" s="10"/>
      <c r="E46" s="10"/>
      <c r="F46" s="10"/>
      <c r="G46" s="10">
        <f t="shared" si="0"/>
        <v>178430</v>
      </c>
      <c r="H46">
        <f t="shared" si="1"/>
        <v>25.9</v>
      </c>
      <c r="I46" s="14">
        <f t="shared" si="4"/>
        <v>0.16300000000000001</v>
      </c>
    </row>
    <row r="47" spans="1:9" x14ac:dyDescent="0.25">
      <c r="A47" t="s">
        <v>43</v>
      </c>
      <c r="B47" t="s">
        <v>46</v>
      </c>
      <c r="C47" s="10"/>
      <c r="D47" s="10"/>
      <c r="E47" s="10"/>
      <c r="F47" s="10">
        <v>33155</v>
      </c>
      <c r="G47" s="10">
        <f t="shared" si="0"/>
        <v>33155</v>
      </c>
      <c r="H47">
        <f t="shared" si="1"/>
        <v>4.8099999999999996</v>
      </c>
      <c r="I47" s="14">
        <f t="shared" si="4"/>
        <v>0.03</v>
      </c>
    </row>
    <row r="48" spans="1:9" x14ac:dyDescent="0.25">
      <c r="A48" t="s">
        <v>43</v>
      </c>
      <c r="B48" t="s">
        <v>45</v>
      </c>
      <c r="C48" s="10"/>
      <c r="D48" s="10"/>
      <c r="E48" s="10">
        <v>34910</v>
      </c>
      <c r="F48" s="10"/>
      <c r="G48" s="10">
        <f t="shared" si="0"/>
        <v>34910</v>
      </c>
      <c r="H48">
        <f t="shared" si="1"/>
        <v>5.07</v>
      </c>
      <c r="I48" s="14">
        <f t="shared" si="4"/>
        <v>3.2000000000000001E-2</v>
      </c>
    </row>
    <row r="49" spans="1:8" x14ac:dyDescent="0.25">
      <c r="A49" s="3" t="s">
        <v>253</v>
      </c>
      <c r="B49" s="3"/>
      <c r="C49" s="8">
        <f t="shared" ref="C49:H49" si="5">SUM(C8:C48)</f>
        <v>782200</v>
      </c>
      <c r="D49" s="8">
        <f t="shared" si="5"/>
        <v>373</v>
      </c>
      <c r="E49" s="8">
        <f t="shared" si="5"/>
        <v>269150</v>
      </c>
      <c r="F49" s="8">
        <f t="shared" si="5"/>
        <v>40985</v>
      </c>
      <c r="G49" s="8">
        <f t="shared" si="5"/>
        <v>1092708</v>
      </c>
      <c r="H49" s="3">
        <f t="shared" si="5"/>
        <v>158.61999999999998</v>
      </c>
    </row>
    <row r="50" spans="1:8" x14ac:dyDescent="0.25">
      <c r="A50" s="3" t="s">
        <v>14</v>
      </c>
      <c r="B50" s="3"/>
      <c r="C50" s="13">
        <f>ROUND(C49/G49,2)</f>
        <v>0.72</v>
      </c>
      <c r="D50" s="13">
        <f>ROUND(D49/G49,2)</f>
        <v>0</v>
      </c>
      <c r="E50" s="13">
        <f>ROUND(E49/G49,2)</f>
        <v>0.25</v>
      </c>
      <c r="F50" s="13">
        <f>ROUND(F49/G49,2)</f>
        <v>0.04</v>
      </c>
      <c r="G50" s="3"/>
      <c r="H50" s="3"/>
    </row>
    <row r="51" spans="1:8" x14ac:dyDescent="0.25">
      <c r="A51" s="3" t="s">
        <v>47</v>
      </c>
      <c r="B51" s="3"/>
      <c r="C51" s="3"/>
      <c r="D51" s="3"/>
      <c r="E51" s="3"/>
      <c r="F51" s="3"/>
      <c r="G51" s="3"/>
      <c r="H51" s="3"/>
    </row>
    <row r="52" spans="1:8" x14ac:dyDescent="0.25">
      <c r="A52" s="3" t="s">
        <v>48</v>
      </c>
      <c r="B52" s="3"/>
      <c r="C52" s="8">
        <v>603770</v>
      </c>
      <c r="D52" s="8">
        <v>373</v>
      </c>
      <c r="E52" s="8">
        <v>234240</v>
      </c>
      <c r="F52" s="8">
        <v>6385</v>
      </c>
      <c r="G52" s="8">
        <f>SUM(C52:F52)</f>
        <v>844768</v>
      </c>
      <c r="H52" s="3">
        <f>ROUND(G52/6888,2)</f>
        <v>122.64</v>
      </c>
    </row>
    <row r="53" spans="1:8" x14ac:dyDescent="0.25">
      <c r="A53" s="3" t="s">
        <v>49</v>
      </c>
      <c r="B53" s="3"/>
      <c r="C53" s="8">
        <v>178430</v>
      </c>
      <c r="D53" s="8">
        <v>0</v>
      </c>
      <c r="E53" s="8">
        <v>34910</v>
      </c>
      <c r="F53" s="8">
        <v>33155</v>
      </c>
      <c r="G53" s="8">
        <f>SUM(C53:F53)</f>
        <v>246495</v>
      </c>
      <c r="H53" s="3">
        <f>ROUND(G53/6888,2)</f>
        <v>35.79</v>
      </c>
    </row>
    <row r="54" spans="1:8" x14ac:dyDescent="0.25">
      <c r="A54" s="3" t="s">
        <v>50</v>
      </c>
      <c r="B54" s="3"/>
      <c r="C54" s="8">
        <v>0</v>
      </c>
      <c r="D54" s="8">
        <v>0</v>
      </c>
      <c r="E54" s="8">
        <v>0</v>
      </c>
      <c r="F54" s="8">
        <v>1445</v>
      </c>
      <c r="G54" s="8">
        <f>SUM(C54:F54)</f>
        <v>1445</v>
      </c>
      <c r="H54" s="3">
        <f>ROUND(G54/6888,2)</f>
        <v>0.21</v>
      </c>
    </row>
    <row r="56" spans="1:8" x14ac:dyDescent="0.25">
      <c r="A56" s="3"/>
      <c r="B56" s="3"/>
      <c r="C56" s="3" t="s">
        <v>2</v>
      </c>
      <c r="D56" s="3">
        <v>2022</v>
      </c>
      <c r="E56" s="3" t="s">
        <v>51</v>
      </c>
    </row>
    <row r="57" spans="1:8" x14ac:dyDescent="0.25">
      <c r="A57" s="3" t="s">
        <v>52</v>
      </c>
      <c r="B57" s="3"/>
      <c r="C57" s="13">
        <v>0.82989999999999997</v>
      </c>
      <c r="D57" s="13">
        <v>0.82689999999999997</v>
      </c>
      <c r="E57" s="13">
        <v>0.77659999999999996</v>
      </c>
    </row>
    <row r="58" spans="1:8" x14ac:dyDescent="0.25">
      <c r="A58" s="3" t="s">
        <v>53</v>
      </c>
      <c r="B58" s="3"/>
      <c r="C58" s="13">
        <v>0.81630000000000003</v>
      </c>
      <c r="D58" s="13">
        <v>0.8135</v>
      </c>
      <c r="E58" s="13">
        <v>0.75900000000000001</v>
      </c>
    </row>
    <row r="60" spans="1:8" x14ac:dyDescent="0.25">
      <c r="A60" s="3" t="s">
        <v>256</v>
      </c>
      <c r="B60" s="3"/>
      <c r="C60" s="3" t="s">
        <v>2</v>
      </c>
      <c r="D60" s="3" t="s">
        <v>186</v>
      </c>
      <c r="E60" s="3" t="s">
        <v>55</v>
      </c>
      <c r="F60" s="3" t="s">
        <v>257</v>
      </c>
      <c r="G60" s="3"/>
    </row>
    <row r="61" spans="1:8" x14ac:dyDescent="0.25">
      <c r="A61" s="3" t="s">
        <v>56</v>
      </c>
      <c r="B61" s="3"/>
      <c r="C61" s="3"/>
      <c r="D61" s="3">
        <v>47.38</v>
      </c>
      <c r="E61" s="3">
        <v>81.5</v>
      </c>
      <c r="F61" s="3">
        <v>50.61</v>
      </c>
      <c r="G61" s="3"/>
    </row>
    <row r="62" spans="1:8" x14ac:dyDescent="0.25">
      <c r="A62" s="3" t="s">
        <v>57</v>
      </c>
      <c r="B62" s="3"/>
      <c r="C62" s="3"/>
      <c r="D62" s="3">
        <v>58.75</v>
      </c>
      <c r="E62" s="3">
        <v>58.24</v>
      </c>
      <c r="F62" s="3">
        <v>57.37</v>
      </c>
      <c r="G62" s="3"/>
    </row>
    <row r="63" spans="1:8" x14ac:dyDescent="0.25">
      <c r="A63" s="3" t="s">
        <v>58</v>
      </c>
      <c r="B63" s="3"/>
      <c r="C63" s="3"/>
      <c r="D63" s="3">
        <v>222.87</v>
      </c>
      <c r="E63" s="3">
        <v>261.52999999999997</v>
      </c>
      <c r="F63" s="3">
        <v>249.57</v>
      </c>
      <c r="G63" s="3"/>
    </row>
    <row r="64" spans="1:8" x14ac:dyDescent="0.25">
      <c r="A64" s="3" t="s">
        <v>59</v>
      </c>
      <c r="B64" s="3"/>
      <c r="C64" s="3"/>
      <c r="D64" s="3">
        <v>59.85</v>
      </c>
      <c r="E64" s="3">
        <v>103.11</v>
      </c>
      <c r="F64" s="3">
        <v>71.400000000000006</v>
      </c>
      <c r="G64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I61"/>
  <sheetViews>
    <sheetView topLeftCell="A30" workbookViewId="0">
      <selection activeCell="G58" sqref="G58:G61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5703125" bestFit="1" customWidth="1"/>
    <col min="4" max="4" width="26.28515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187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3505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200</v>
      </c>
      <c r="G9" s="10">
        <f t="shared" ref="G9:G45" si="0">SUM(C9:F9)</f>
        <v>200</v>
      </c>
      <c r="H9">
        <f t="shared" ref="H9:H45" si="1">ROUND(G9/3505,2)</f>
        <v>0.06</v>
      </c>
      <c r="I9" s="14">
        <f t="shared" ref="I9:I40" si="2">ROUND(G9/$G$46,3)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775</v>
      </c>
      <c r="G10" s="10">
        <f t="shared" si="0"/>
        <v>775</v>
      </c>
      <c r="H10">
        <f t="shared" si="1"/>
        <v>0.22</v>
      </c>
      <c r="I10" s="14">
        <f t="shared" si="2"/>
        <v>1E-3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63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15</v>
      </c>
      <c r="B13" t="s">
        <v>75</v>
      </c>
      <c r="C13" s="10"/>
      <c r="D13" s="10"/>
      <c r="E13" s="10"/>
      <c r="F13" s="10"/>
      <c r="G13" s="10">
        <f t="shared" si="0"/>
        <v>0</v>
      </c>
      <c r="H13">
        <f t="shared" si="1"/>
        <v>0</v>
      </c>
      <c r="I13" s="14">
        <f t="shared" si="2"/>
        <v>0</v>
      </c>
    </row>
    <row r="14" spans="1:9" x14ac:dyDescent="0.25">
      <c r="A14" t="s">
        <v>19</v>
      </c>
      <c r="B14" t="s">
        <v>64</v>
      </c>
      <c r="C14" s="10"/>
      <c r="D14" s="10"/>
      <c r="E14" s="10">
        <v>45</v>
      </c>
      <c r="F14" s="10"/>
      <c r="G14" s="10">
        <f t="shared" si="0"/>
        <v>45</v>
      </c>
      <c r="H14">
        <f t="shared" si="1"/>
        <v>0.01</v>
      </c>
      <c r="I14" s="14">
        <f t="shared" si="2"/>
        <v>0</v>
      </c>
    </row>
    <row r="15" spans="1:9" x14ac:dyDescent="0.25">
      <c r="A15" t="s">
        <v>19</v>
      </c>
      <c r="B15" t="s">
        <v>20</v>
      </c>
      <c r="C15" s="10">
        <v>62290</v>
      </c>
      <c r="D15" s="10"/>
      <c r="E15" s="10">
        <v>1300</v>
      </c>
      <c r="F15" s="10">
        <v>300</v>
      </c>
      <c r="G15" s="10">
        <f t="shared" si="0"/>
        <v>63890</v>
      </c>
      <c r="H15">
        <f t="shared" si="1"/>
        <v>18.23</v>
      </c>
      <c r="I15" s="14">
        <f t="shared" si="2"/>
        <v>0.09</v>
      </c>
    </row>
    <row r="16" spans="1:9" x14ac:dyDescent="0.25">
      <c r="A16" t="s">
        <v>19</v>
      </c>
      <c r="B16" t="s">
        <v>21</v>
      </c>
      <c r="C16" s="10">
        <v>75290</v>
      </c>
      <c r="D16" s="10">
        <v>840</v>
      </c>
      <c r="E16" s="10"/>
      <c r="F16" s="10"/>
      <c r="G16" s="10">
        <f t="shared" si="0"/>
        <v>76130</v>
      </c>
      <c r="H16">
        <f t="shared" si="1"/>
        <v>21.72</v>
      </c>
      <c r="I16" s="14">
        <f t="shared" si="2"/>
        <v>0.107</v>
      </c>
    </row>
    <row r="17" spans="1:9" x14ac:dyDescent="0.25">
      <c r="A17" t="s">
        <v>19</v>
      </c>
      <c r="B17" t="s">
        <v>76</v>
      </c>
      <c r="C17" s="10"/>
      <c r="D17" s="10"/>
      <c r="E17" s="10">
        <v>120</v>
      </c>
      <c r="F17" s="10"/>
      <c r="G17" s="10">
        <f t="shared" si="0"/>
        <v>120</v>
      </c>
      <c r="H17">
        <f t="shared" si="1"/>
        <v>0.03</v>
      </c>
      <c r="I17" s="14">
        <f t="shared" si="2"/>
        <v>0</v>
      </c>
    </row>
    <row r="18" spans="1:9" x14ac:dyDescent="0.25">
      <c r="A18" t="s">
        <v>19</v>
      </c>
      <c r="B18" t="s">
        <v>41</v>
      </c>
      <c r="C18" s="10"/>
      <c r="D18" s="10"/>
      <c r="E18" s="10">
        <v>108</v>
      </c>
      <c r="F18" s="10"/>
      <c r="G18" s="10">
        <f t="shared" si="0"/>
        <v>108</v>
      </c>
      <c r="H18">
        <f t="shared" si="1"/>
        <v>0.03</v>
      </c>
      <c r="I18" s="14">
        <f t="shared" si="2"/>
        <v>0</v>
      </c>
    </row>
    <row r="19" spans="1:9" x14ac:dyDescent="0.25">
      <c r="A19" t="s">
        <v>19</v>
      </c>
      <c r="B19" t="s">
        <v>77</v>
      </c>
      <c r="C19" s="10"/>
      <c r="D19" s="10"/>
      <c r="E19" s="10"/>
      <c r="F19" s="10">
        <v>90</v>
      </c>
      <c r="G19" s="10">
        <f t="shared" si="0"/>
        <v>90</v>
      </c>
      <c r="H19">
        <f t="shared" si="1"/>
        <v>0.03</v>
      </c>
      <c r="I19" s="14">
        <f t="shared" si="2"/>
        <v>0</v>
      </c>
    </row>
    <row r="20" spans="1:9" x14ac:dyDescent="0.25">
      <c r="A20" t="s">
        <v>19</v>
      </c>
      <c r="B20" t="s">
        <v>23</v>
      </c>
      <c r="C20" s="10"/>
      <c r="D20" s="10"/>
      <c r="E20" s="10">
        <v>24100</v>
      </c>
      <c r="F20" s="10"/>
      <c r="G20" s="10">
        <f t="shared" si="0"/>
        <v>24100</v>
      </c>
      <c r="H20">
        <f t="shared" si="1"/>
        <v>6.88</v>
      </c>
      <c r="I20" s="14">
        <f t="shared" si="2"/>
        <v>3.4000000000000002E-2</v>
      </c>
    </row>
    <row r="21" spans="1:9" x14ac:dyDescent="0.25">
      <c r="A21" t="s">
        <v>19</v>
      </c>
      <c r="B21" t="s">
        <v>24</v>
      </c>
      <c r="C21" s="10">
        <v>121230</v>
      </c>
      <c r="D21" s="10"/>
      <c r="E21" s="10">
        <v>5170</v>
      </c>
      <c r="F21" s="10">
        <v>1990</v>
      </c>
      <c r="G21" s="10">
        <f t="shared" si="0"/>
        <v>128390</v>
      </c>
      <c r="H21">
        <f t="shared" si="1"/>
        <v>36.630000000000003</v>
      </c>
      <c r="I21" s="14">
        <f t="shared" si="2"/>
        <v>0.18</v>
      </c>
    </row>
    <row r="22" spans="1:9" x14ac:dyDescent="0.25">
      <c r="A22" t="s">
        <v>19</v>
      </c>
      <c r="B22" t="s">
        <v>25</v>
      </c>
      <c r="C22" s="10">
        <v>134100</v>
      </c>
      <c r="D22" s="10"/>
      <c r="E22" s="10"/>
      <c r="F22" s="10">
        <v>1040</v>
      </c>
      <c r="G22" s="10">
        <f t="shared" si="0"/>
        <v>135140</v>
      </c>
      <c r="H22">
        <f t="shared" si="1"/>
        <v>38.56</v>
      </c>
      <c r="I22" s="14">
        <f t="shared" si="2"/>
        <v>0.19</v>
      </c>
    </row>
    <row r="23" spans="1:9" x14ac:dyDescent="0.25">
      <c r="A23" t="s">
        <v>19</v>
      </c>
      <c r="B23" t="s">
        <v>26</v>
      </c>
      <c r="C23" s="10"/>
      <c r="D23" s="10"/>
      <c r="E23" s="10">
        <v>586</v>
      </c>
      <c r="F23" s="10"/>
      <c r="G23" s="10">
        <f t="shared" si="0"/>
        <v>586</v>
      </c>
      <c r="H23">
        <f t="shared" si="1"/>
        <v>0.17</v>
      </c>
      <c r="I23" s="14">
        <f t="shared" si="2"/>
        <v>1E-3</v>
      </c>
    </row>
    <row r="24" spans="1:9" x14ac:dyDescent="0.25">
      <c r="A24" t="s">
        <v>19</v>
      </c>
      <c r="B24" t="s">
        <v>27</v>
      </c>
      <c r="C24" s="10"/>
      <c r="D24" s="10"/>
      <c r="E24" s="10">
        <v>230</v>
      </c>
      <c r="F24" s="10"/>
      <c r="G24" s="10">
        <f t="shared" si="0"/>
        <v>230</v>
      </c>
      <c r="H24">
        <f t="shared" si="1"/>
        <v>7.0000000000000007E-2</v>
      </c>
      <c r="I24" s="14">
        <f t="shared" si="2"/>
        <v>0</v>
      </c>
    </row>
    <row r="25" spans="1:9" x14ac:dyDescent="0.25">
      <c r="A25" t="s">
        <v>19</v>
      </c>
      <c r="B25" t="s">
        <v>29</v>
      </c>
      <c r="C25" s="10"/>
      <c r="D25" s="10"/>
      <c r="E25" s="10">
        <v>720</v>
      </c>
      <c r="F25" s="10"/>
      <c r="G25" s="10">
        <f t="shared" si="0"/>
        <v>720</v>
      </c>
      <c r="H25">
        <f t="shared" si="1"/>
        <v>0.21</v>
      </c>
      <c r="I25" s="14">
        <f t="shared" si="2"/>
        <v>1E-3</v>
      </c>
    </row>
    <row r="26" spans="1:9" x14ac:dyDescent="0.25">
      <c r="A26" t="s">
        <v>19</v>
      </c>
      <c r="B26" t="s">
        <v>30</v>
      </c>
      <c r="C26" s="10"/>
      <c r="D26" s="10"/>
      <c r="E26" s="10">
        <v>610</v>
      </c>
      <c r="F26" s="10"/>
      <c r="G26" s="10">
        <f t="shared" si="0"/>
        <v>610</v>
      </c>
      <c r="H26">
        <f t="shared" si="1"/>
        <v>0.17</v>
      </c>
      <c r="I26" s="14">
        <f t="shared" si="2"/>
        <v>1E-3</v>
      </c>
    </row>
    <row r="27" spans="1:9" x14ac:dyDescent="0.25">
      <c r="A27" t="s">
        <v>19</v>
      </c>
      <c r="B27" t="s">
        <v>31</v>
      </c>
      <c r="C27" s="10"/>
      <c r="D27" s="10"/>
      <c r="E27" s="10">
        <v>150</v>
      </c>
      <c r="F27" s="10"/>
      <c r="G27" s="10">
        <f t="shared" si="0"/>
        <v>150</v>
      </c>
      <c r="H27">
        <f t="shared" si="1"/>
        <v>0.04</v>
      </c>
      <c r="I27" s="14">
        <f t="shared" si="2"/>
        <v>0</v>
      </c>
    </row>
    <row r="28" spans="1:9" x14ac:dyDescent="0.25">
      <c r="A28" t="s">
        <v>19</v>
      </c>
      <c r="B28" t="s">
        <v>32</v>
      </c>
      <c r="C28" s="10"/>
      <c r="D28" s="10"/>
      <c r="E28" s="10">
        <v>490</v>
      </c>
      <c r="F28" s="10"/>
      <c r="G28" s="10">
        <f t="shared" si="0"/>
        <v>490</v>
      </c>
      <c r="H28">
        <f t="shared" si="1"/>
        <v>0.14000000000000001</v>
      </c>
      <c r="I28" s="14">
        <f t="shared" si="2"/>
        <v>1E-3</v>
      </c>
    </row>
    <row r="29" spans="1:9" x14ac:dyDescent="0.25">
      <c r="A29" t="s">
        <v>19</v>
      </c>
      <c r="B29" t="s">
        <v>42</v>
      </c>
      <c r="C29" s="10"/>
      <c r="D29" s="10">
        <v>285</v>
      </c>
      <c r="E29" s="10"/>
      <c r="F29" s="10"/>
      <c r="G29" s="10">
        <f t="shared" si="0"/>
        <v>285</v>
      </c>
      <c r="H29">
        <f t="shared" si="1"/>
        <v>0.08</v>
      </c>
      <c r="I29" s="14">
        <f t="shared" si="2"/>
        <v>0</v>
      </c>
    </row>
    <row r="30" spans="1:9" x14ac:dyDescent="0.25">
      <c r="A30" t="s">
        <v>19</v>
      </c>
      <c r="B30" t="s">
        <v>67</v>
      </c>
      <c r="C30" s="10"/>
      <c r="D30" s="10"/>
      <c r="E30" s="10">
        <v>910</v>
      </c>
      <c r="F30" s="10"/>
      <c r="G30" s="10">
        <f t="shared" si="0"/>
        <v>910</v>
      </c>
      <c r="H30">
        <f t="shared" si="1"/>
        <v>0.26</v>
      </c>
      <c r="I30" s="14">
        <f t="shared" si="2"/>
        <v>1E-3</v>
      </c>
    </row>
    <row r="31" spans="1:9" x14ac:dyDescent="0.25">
      <c r="A31" t="s">
        <v>19</v>
      </c>
      <c r="B31" t="s">
        <v>33</v>
      </c>
      <c r="C31" s="10"/>
      <c r="D31" s="10">
        <v>670</v>
      </c>
      <c r="E31" s="10"/>
      <c r="F31" s="10"/>
      <c r="G31" s="10">
        <f t="shared" si="0"/>
        <v>670</v>
      </c>
      <c r="H31">
        <f t="shared" si="1"/>
        <v>0.19</v>
      </c>
      <c r="I31" s="14">
        <f t="shared" si="2"/>
        <v>1E-3</v>
      </c>
    </row>
    <row r="32" spans="1:9" x14ac:dyDescent="0.25">
      <c r="A32" t="s">
        <v>19</v>
      </c>
      <c r="B32" t="s">
        <v>34</v>
      </c>
      <c r="C32" s="10"/>
      <c r="D32" s="10"/>
      <c r="E32" s="10">
        <v>420</v>
      </c>
      <c r="F32" s="10"/>
      <c r="G32" s="10">
        <f t="shared" si="0"/>
        <v>420</v>
      </c>
      <c r="H32">
        <f t="shared" si="1"/>
        <v>0.12</v>
      </c>
      <c r="I32" s="14">
        <f t="shared" si="2"/>
        <v>1E-3</v>
      </c>
    </row>
    <row r="33" spans="1:9" x14ac:dyDescent="0.25">
      <c r="A33" t="s">
        <v>19</v>
      </c>
      <c r="B33" t="s">
        <v>40</v>
      </c>
      <c r="C33" s="10"/>
      <c r="D33" s="10"/>
      <c r="E33" s="10">
        <v>4300</v>
      </c>
      <c r="F33" s="10"/>
      <c r="G33" s="10">
        <f t="shared" si="0"/>
        <v>4300</v>
      </c>
      <c r="H33">
        <f t="shared" si="1"/>
        <v>1.23</v>
      </c>
      <c r="I33" s="14">
        <f t="shared" si="2"/>
        <v>6.0000000000000001E-3</v>
      </c>
    </row>
    <row r="34" spans="1:9" x14ac:dyDescent="0.25">
      <c r="A34" t="s">
        <v>19</v>
      </c>
      <c r="B34" t="s">
        <v>35</v>
      </c>
      <c r="C34" s="10"/>
      <c r="D34" s="10"/>
      <c r="E34" s="10">
        <v>2840</v>
      </c>
      <c r="F34" s="10"/>
      <c r="G34" s="10">
        <f t="shared" si="0"/>
        <v>2840</v>
      </c>
      <c r="H34">
        <f t="shared" si="1"/>
        <v>0.81</v>
      </c>
      <c r="I34" s="14">
        <f t="shared" si="2"/>
        <v>4.0000000000000001E-3</v>
      </c>
    </row>
    <row r="35" spans="1:9" x14ac:dyDescent="0.25">
      <c r="A35" t="s">
        <v>19</v>
      </c>
      <c r="B35" t="s">
        <v>36</v>
      </c>
      <c r="C35" s="10"/>
      <c r="D35" s="10"/>
      <c r="E35" s="10">
        <v>28180</v>
      </c>
      <c r="F35" s="10"/>
      <c r="G35" s="10">
        <f t="shared" si="0"/>
        <v>28180</v>
      </c>
      <c r="H35">
        <f t="shared" si="1"/>
        <v>8.0399999999999991</v>
      </c>
      <c r="I35" s="14">
        <f t="shared" si="2"/>
        <v>0.04</v>
      </c>
    </row>
    <row r="36" spans="1:9" x14ac:dyDescent="0.25">
      <c r="A36" t="s">
        <v>19</v>
      </c>
      <c r="B36" t="s">
        <v>37</v>
      </c>
      <c r="C36" s="10"/>
      <c r="D36" s="10"/>
      <c r="E36" s="10">
        <v>805</v>
      </c>
      <c r="F36" s="10"/>
      <c r="G36" s="10">
        <f t="shared" si="0"/>
        <v>805</v>
      </c>
      <c r="H36">
        <f t="shared" si="1"/>
        <v>0.23</v>
      </c>
      <c r="I36" s="14">
        <f t="shared" si="2"/>
        <v>1E-3</v>
      </c>
    </row>
    <row r="37" spans="1:9" x14ac:dyDescent="0.25">
      <c r="A37" t="s">
        <v>19</v>
      </c>
      <c r="B37" t="s">
        <v>38</v>
      </c>
      <c r="C37" s="10"/>
      <c r="D37" s="10"/>
      <c r="E37" s="10">
        <v>8670</v>
      </c>
      <c r="F37" s="10"/>
      <c r="G37" s="10">
        <f t="shared" si="0"/>
        <v>8670</v>
      </c>
      <c r="H37">
        <f t="shared" si="1"/>
        <v>2.4700000000000002</v>
      </c>
      <c r="I37" s="14">
        <f t="shared" si="2"/>
        <v>1.2E-2</v>
      </c>
    </row>
    <row r="38" spans="1:9" x14ac:dyDescent="0.25">
      <c r="A38" t="s">
        <v>19</v>
      </c>
      <c r="B38" t="s">
        <v>39</v>
      </c>
      <c r="C38" s="10"/>
      <c r="D38" s="10"/>
      <c r="E38" s="10">
        <v>40070</v>
      </c>
      <c r="F38" s="10"/>
      <c r="G38" s="10">
        <f t="shared" si="0"/>
        <v>40070</v>
      </c>
      <c r="H38">
        <f t="shared" si="1"/>
        <v>11.43</v>
      </c>
      <c r="I38" s="14">
        <f t="shared" si="2"/>
        <v>5.6000000000000001E-2</v>
      </c>
    </row>
    <row r="39" spans="1:9" x14ac:dyDescent="0.25">
      <c r="A39" t="s">
        <v>19</v>
      </c>
      <c r="B39" t="s">
        <v>66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19</v>
      </c>
      <c r="B40" t="s">
        <v>22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t="s">
        <v>19</v>
      </c>
      <c r="B41" t="s">
        <v>28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ROUND(G41/$G$46,3)</f>
        <v>0</v>
      </c>
    </row>
    <row r="42" spans="1:9" x14ac:dyDescent="0.25">
      <c r="A42" t="s">
        <v>19</v>
      </c>
      <c r="B42" t="s">
        <v>112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>ROUND(G42/$G$46,3)</f>
        <v>0</v>
      </c>
    </row>
    <row r="43" spans="1:9" x14ac:dyDescent="0.25">
      <c r="A43" t="s">
        <v>43</v>
      </c>
      <c r="B43" t="s">
        <v>44</v>
      </c>
      <c r="C43" s="10">
        <v>149260</v>
      </c>
      <c r="D43" s="10"/>
      <c r="E43" s="10"/>
      <c r="F43" s="10">
        <v>5830</v>
      </c>
      <c r="G43" s="10">
        <f t="shared" si="0"/>
        <v>155090</v>
      </c>
      <c r="H43">
        <f t="shared" si="1"/>
        <v>44.25</v>
      </c>
      <c r="I43" s="14">
        <f>ROUND(G43/$G$46,3)</f>
        <v>0.218</v>
      </c>
    </row>
    <row r="44" spans="1:9" x14ac:dyDescent="0.25">
      <c r="A44" t="s">
        <v>43</v>
      </c>
      <c r="B44" t="s">
        <v>46</v>
      </c>
      <c r="C44" s="10"/>
      <c r="D44" s="10"/>
      <c r="E44" s="10"/>
      <c r="F44" s="10">
        <v>21260</v>
      </c>
      <c r="G44" s="10">
        <f t="shared" si="0"/>
        <v>21260</v>
      </c>
      <c r="H44">
        <f t="shared" si="1"/>
        <v>6.07</v>
      </c>
      <c r="I44" s="14">
        <f>ROUND(G44/$G$46,3)</f>
        <v>0.03</v>
      </c>
    </row>
    <row r="45" spans="1:9" x14ac:dyDescent="0.25">
      <c r="A45" t="s">
        <v>43</v>
      </c>
      <c r="B45" t="s">
        <v>45</v>
      </c>
      <c r="C45" s="10"/>
      <c r="D45" s="10"/>
      <c r="E45" s="10">
        <v>16340</v>
      </c>
      <c r="F45" s="10"/>
      <c r="G45" s="10">
        <f t="shared" si="0"/>
        <v>16340</v>
      </c>
      <c r="H45">
        <f t="shared" si="1"/>
        <v>4.66</v>
      </c>
      <c r="I45" s="14">
        <f>ROUND(G45/$G$46,3)</f>
        <v>2.3E-2</v>
      </c>
    </row>
    <row r="46" spans="1:9" x14ac:dyDescent="0.25">
      <c r="A46" s="3" t="s">
        <v>253</v>
      </c>
      <c r="B46" s="3"/>
      <c r="C46" s="8">
        <f t="shared" ref="C46:H46" si="4">SUM(C8:C45)</f>
        <v>542170</v>
      </c>
      <c r="D46" s="8">
        <f t="shared" si="4"/>
        <v>1795</v>
      </c>
      <c r="E46" s="8">
        <f t="shared" si="4"/>
        <v>136164</v>
      </c>
      <c r="F46" s="8">
        <f t="shared" si="4"/>
        <v>31485</v>
      </c>
      <c r="G46" s="8">
        <f t="shared" si="4"/>
        <v>711614</v>
      </c>
      <c r="H46" s="3">
        <f t="shared" si="4"/>
        <v>203.04</v>
      </c>
    </row>
    <row r="47" spans="1:9" x14ac:dyDescent="0.25">
      <c r="A47" s="3" t="s">
        <v>14</v>
      </c>
      <c r="B47" s="3"/>
      <c r="C47" s="13">
        <f>ROUND(C46/G46,2)</f>
        <v>0.76</v>
      </c>
      <c r="D47" s="13">
        <f>ROUND(D46/G46,2)</f>
        <v>0</v>
      </c>
      <c r="E47" s="13">
        <f>ROUND(E46/G46,2)</f>
        <v>0.19</v>
      </c>
      <c r="F47" s="13">
        <f>ROUND(F46/G46,2)</f>
        <v>0.04</v>
      </c>
      <c r="G47" s="3"/>
      <c r="H47" s="3"/>
    </row>
    <row r="48" spans="1:9" x14ac:dyDescent="0.25">
      <c r="A48" s="3" t="s">
        <v>47</v>
      </c>
      <c r="B48" s="3"/>
      <c r="C48" s="3"/>
      <c r="D48" s="3"/>
      <c r="E48" s="3"/>
      <c r="F48" s="3"/>
      <c r="G48" s="3"/>
      <c r="H48" s="3"/>
    </row>
    <row r="49" spans="1:8" x14ac:dyDescent="0.25">
      <c r="A49" s="3" t="s">
        <v>48</v>
      </c>
      <c r="B49" s="3"/>
      <c r="C49" s="8">
        <v>392910</v>
      </c>
      <c r="D49" s="8">
        <v>1795</v>
      </c>
      <c r="E49" s="8">
        <v>119824</v>
      </c>
      <c r="F49" s="8">
        <v>3420</v>
      </c>
      <c r="G49" s="8">
        <f>SUM(C49:F49)</f>
        <v>517949</v>
      </c>
      <c r="H49" s="3">
        <f>ROUND(G49/3505,2)</f>
        <v>147.77000000000001</v>
      </c>
    </row>
    <row r="50" spans="1:8" x14ac:dyDescent="0.25">
      <c r="A50" s="3" t="s">
        <v>49</v>
      </c>
      <c r="B50" s="3"/>
      <c r="C50" s="8">
        <v>149260</v>
      </c>
      <c r="D50" s="8">
        <v>0</v>
      </c>
      <c r="E50" s="8">
        <v>16340</v>
      </c>
      <c r="F50" s="8">
        <v>27090</v>
      </c>
      <c r="G50" s="8">
        <f>SUM(C50:F50)</f>
        <v>192690</v>
      </c>
      <c r="H50" s="3">
        <f>ROUND(G50/3505,2)</f>
        <v>54.98</v>
      </c>
    </row>
    <row r="51" spans="1:8" x14ac:dyDescent="0.25">
      <c r="A51" s="3" t="s">
        <v>50</v>
      </c>
      <c r="B51" s="3"/>
      <c r="C51" s="8">
        <v>0</v>
      </c>
      <c r="D51" s="8">
        <v>0</v>
      </c>
      <c r="E51" s="8">
        <v>0</v>
      </c>
      <c r="F51" s="8">
        <v>975</v>
      </c>
      <c r="G51" s="8">
        <f>SUM(C51:F51)</f>
        <v>975</v>
      </c>
      <c r="H51" s="3">
        <f>ROUND(G51/3505,2)</f>
        <v>0.28000000000000003</v>
      </c>
    </row>
    <row r="53" spans="1:8" x14ac:dyDescent="0.25">
      <c r="A53" s="3"/>
      <c r="B53" s="3"/>
      <c r="C53" s="3" t="s">
        <v>2</v>
      </c>
      <c r="D53" s="3">
        <v>2022</v>
      </c>
      <c r="E53" s="3" t="s">
        <v>51</v>
      </c>
    </row>
    <row r="54" spans="1:8" x14ac:dyDescent="0.25">
      <c r="A54" s="3" t="s">
        <v>52</v>
      </c>
      <c r="B54" s="3"/>
      <c r="C54" s="13">
        <v>0.7742</v>
      </c>
      <c r="D54" s="13">
        <v>0.79459999999999997</v>
      </c>
      <c r="E54" s="13">
        <v>0.77659999999999996</v>
      </c>
    </row>
    <row r="55" spans="1:8" x14ac:dyDescent="0.25">
      <c r="A55" s="3" t="s">
        <v>53</v>
      </c>
      <c r="B55" s="3"/>
      <c r="C55" s="13">
        <v>0.76219999999999999</v>
      </c>
      <c r="D55" s="13">
        <v>0.78290000000000004</v>
      </c>
      <c r="E55" s="13">
        <v>0.75900000000000001</v>
      </c>
    </row>
    <row r="57" spans="1:8" x14ac:dyDescent="0.25">
      <c r="A57" s="3" t="s">
        <v>256</v>
      </c>
      <c r="B57" s="3"/>
      <c r="C57" s="3" t="s">
        <v>2</v>
      </c>
      <c r="D57" s="3" t="s">
        <v>188</v>
      </c>
      <c r="E57" s="3" t="s">
        <v>55</v>
      </c>
      <c r="F57" s="3" t="s">
        <v>254</v>
      </c>
      <c r="G57" s="3"/>
    </row>
    <row r="58" spans="1:8" x14ac:dyDescent="0.25">
      <c r="A58" s="3" t="s">
        <v>56</v>
      </c>
      <c r="B58" s="3"/>
      <c r="C58" s="3"/>
      <c r="D58" s="3">
        <v>72.319999999999993</v>
      </c>
      <c r="E58" s="3">
        <v>81.5</v>
      </c>
      <c r="F58" s="3">
        <v>50.61</v>
      </c>
      <c r="G58" s="3"/>
    </row>
    <row r="59" spans="1:8" x14ac:dyDescent="0.25">
      <c r="A59" s="3" t="s">
        <v>57</v>
      </c>
      <c r="B59" s="3"/>
      <c r="C59" s="3"/>
      <c r="D59" s="3">
        <v>68.78</v>
      </c>
      <c r="E59" s="3">
        <v>58.24</v>
      </c>
      <c r="F59" s="3">
        <v>57.37</v>
      </c>
      <c r="G59" s="3"/>
    </row>
    <row r="60" spans="1:8" x14ac:dyDescent="0.25">
      <c r="A60" s="3" t="s">
        <v>58</v>
      </c>
      <c r="B60" s="3"/>
      <c r="C60" s="3"/>
      <c r="D60" s="3">
        <v>297.41000000000003</v>
      </c>
      <c r="E60" s="3">
        <v>261.52999999999997</v>
      </c>
      <c r="F60" s="3">
        <v>249.57</v>
      </c>
      <c r="G60" s="3"/>
    </row>
    <row r="61" spans="1:8" x14ac:dyDescent="0.25">
      <c r="A61" s="3" t="s">
        <v>59</v>
      </c>
      <c r="B61" s="3"/>
      <c r="C61" s="3"/>
      <c r="D61" s="3">
        <v>93.68</v>
      </c>
      <c r="E61" s="3">
        <v>103.11</v>
      </c>
      <c r="F61" s="3">
        <v>71.400000000000006</v>
      </c>
      <c r="G61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61"/>
  <sheetViews>
    <sheetView topLeftCell="A33" workbookViewId="0">
      <selection activeCell="G58" sqref="G58:G61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2.5703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69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2887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17</v>
      </c>
      <c r="C9" s="10"/>
      <c r="D9" s="10"/>
      <c r="E9" s="10"/>
      <c r="F9" s="10">
        <v>470</v>
      </c>
      <c r="G9" s="10">
        <f t="shared" ref="G9:G45" si="0">SUM(C9:F9)</f>
        <v>470</v>
      </c>
      <c r="H9">
        <f t="shared" ref="H9:H45" si="1">ROUND(G9/2887,2)</f>
        <v>0.16</v>
      </c>
      <c r="I9" s="14">
        <f t="shared" ref="I9:I40" si="2">ROUND(G9/$G$46,3)</f>
        <v>1E-3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>
        <f t="shared" si="1"/>
        <v>0</v>
      </c>
      <c r="I10" s="14">
        <f t="shared" si="2"/>
        <v>0</v>
      </c>
    </row>
    <row r="11" spans="1:9" x14ac:dyDescent="0.25">
      <c r="A11" t="s">
        <v>15</v>
      </c>
      <c r="B11" t="s">
        <v>16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63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53</v>
      </c>
      <c r="F13" s="10"/>
      <c r="G13" s="10">
        <f t="shared" si="0"/>
        <v>53</v>
      </c>
      <c r="H13">
        <f t="shared" si="1"/>
        <v>0.02</v>
      </c>
      <c r="I13" s="14">
        <f t="shared" si="2"/>
        <v>0</v>
      </c>
    </row>
    <row r="14" spans="1:9" x14ac:dyDescent="0.25">
      <c r="A14" t="s">
        <v>19</v>
      </c>
      <c r="B14" t="s">
        <v>20</v>
      </c>
      <c r="C14" s="10">
        <v>39560</v>
      </c>
      <c r="D14" s="10"/>
      <c r="E14" s="10"/>
      <c r="F14" s="10"/>
      <c r="G14" s="10">
        <f t="shared" si="0"/>
        <v>39560</v>
      </c>
      <c r="H14">
        <f t="shared" si="1"/>
        <v>13.7</v>
      </c>
      <c r="I14" s="14">
        <f t="shared" si="2"/>
        <v>8.3000000000000004E-2</v>
      </c>
    </row>
    <row r="15" spans="1:9" x14ac:dyDescent="0.25">
      <c r="A15" t="s">
        <v>19</v>
      </c>
      <c r="B15" t="s">
        <v>21</v>
      </c>
      <c r="C15" s="10">
        <v>49950</v>
      </c>
      <c r="D15" s="10"/>
      <c r="E15" s="10"/>
      <c r="F15" s="10"/>
      <c r="G15" s="10">
        <f t="shared" si="0"/>
        <v>49950</v>
      </c>
      <c r="H15">
        <f t="shared" si="1"/>
        <v>17.3</v>
      </c>
      <c r="I15" s="14">
        <f t="shared" si="2"/>
        <v>0.105</v>
      </c>
    </row>
    <row r="16" spans="1:9" x14ac:dyDescent="0.25">
      <c r="A16" t="s">
        <v>19</v>
      </c>
      <c r="B16" t="s">
        <v>41</v>
      </c>
      <c r="C16" s="10"/>
      <c r="D16" s="10"/>
      <c r="E16" s="10">
        <v>167</v>
      </c>
      <c r="F16" s="10"/>
      <c r="G16" s="10">
        <f t="shared" si="0"/>
        <v>167</v>
      </c>
      <c r="H16">
        <f t="shared" si="1"/>
        <v>0.06</v>
      </c>
      <c r="I16" s="14">
        <f t="shared" si="2"/>
        <v>0</v>
      </c>
    </row>
    <row r="17" spans="1:9" x14ac:dyDescent="0.25">
      <c r="A17" t="s">
        <v>19</v>
      </c>
      <c r="B17" t="s">
        <v>22</v>
      </c>
      <c r="C17" s="10"/>
      <c r="D17" s="10"/>
      <c r="E17" s="10">
        <v>800</v>
      </c>
      <c r="F17" s="10"/>
      <c r="G17" s="10">
        <f t="shared" si="0"/>
        <v>800</v>
      </c>
      <c r="H17">
        <f t="shared" si="1"/>
        <v>0.28000000000000003</v>
      </c>
      <c r="I17" s="14">
        <f t="shared" si="2"/>
        <v>2E-3</v>
      </c>
    </row>
    <row r="18" spans="1:9" x14ac:dyDescent="0.25">
      <c r="A18" t="s">
        <v>19</v>
      </c>
      <c r="B18" t="s">
        <v>23</v>
      </c>
      <c r="C18" s="10"/>
      <c r="D18" s="10"/>
      <c r="E18" s="10">
        <v>15580</v>
      </c>
      <c r="F18" s="10"/>
      <c r="G18" s="10">
        <f t="shared" si="0"/>
        <v>15580</v>
      </c>
      <c r="H18">
        <f t="shared" si="1"/>
        <v>5.4</v>
      </c>
      <c r="I18" s="14">
        <f t="shared" si="2"/>
        <v>3.3000000000000002E-2</v>
      </c>
    </row>
    <row r="19" spans="1:9" x14ac:dyDescent="0.25">
      <c r="A19" t="s">
        <v>19</v>
      </c>
      <c r="B19" t="s">
        <v>24</v>
      </c>
      <c r="C19" s="10">
        <v>64240</v>
      </c>
      <c r="D19" s="10"/>
      <c r="E19" s="10">
        <v>7480</v>
      </c>
      <c r="F19" s="10"/>
      <c r="G19" s="10">
        <f t="shared" si="0"/>
        <v>71720</v>
      </c>
      <c r="H19">
        <f t="shared" si="1"/>
        <v>24.84</v>
      </c>
      <c r="I19" s="14">
        <f t="shared" si="2"/>
        <v>0.151</v>
      </c>
    </row>
    <row r="20" spans="1:9" x14ac:dyDescent="0.25">
      <c r="A20" t="s">
        <v>19</v>
      </c>
      <c r="B20" t="s">
        <v>66</v>
      </c>
      <c r="C20" s="10"/>
      <c r="D20" s="10"/>
      <c r="E20" s="10">
        <v>820</v>
      </c>
      <c r="F20" s="10"/>
      <c r="G20" s="10">
        <f t="shared" si="0"/>
        <v>820</v>
      </c>
      <c r="H20">
        <f t="shared" si="1"/>
        <v>0.28000000000000003</v>
      </c>
      <c r="I20" s="14">
        <f t="shared" si="2"/>
        <v>2E-3</v>
      </c>
    </row>
    <row r="21" spans="1:9" x14ac:dyDescent="0.25">
      <c r="A21" t="s">
        <v>19</v>
      </c>
      <c r="B21" t="s">
        <v>25</v>
      </c>
      <c r="C21" s="10">
        <v>74610</v>
      </c>
      <c r="D21" s="10"/>
      <c r="E21" s="10"/>
      <c r="F21" s="10"/>
      <c r="G21" s="10">
        <f t="shared" si="0"/>
        <v>74610</v>
      </c>
      <c r="H21">
        <f t="shared" si="1"/>
        <v>25.84</v>
      </c>
      <c r="I21" s="14">
        <f t="shared" si="2"/>
        <v>0.157</v>
      </c>
    </row>
    <row r="22" spans="1:9" x14ac:dyDescent="0.25">
      <c r="A22" t="s">
        <v>19</v>
      </c>
      <c r="B22" t="s">
        <v>26</v>
      </c>
      <c r="C22" s="10"/>
      <c r="D22" s="10"/>
      <c r="E22" s="10">
        <v>268</v>
      </c>
      <c r="F22" s="10"/>
      <c r="G22" s="10">
        <f t="shared" si="0"/>
        <v>268</v>
      </c>
      <c r="H22">
        <f t="shared" si="1"/>
        <v>0.09</v>
      </c>
      <c r="I22" s="14">
        <f t="shared" si="2"/>
        <v>1E-3</v>
      </c>
    </row>
    <row r="23" spans="1:9" x14ac:dyDescent="0.25">
      <c r="A23" t="s">
        <v>19</v>
      </c>
      <c r="B23" t="s">
        <v>27</v>
      </c>
      <c r="C23" s="10"/>
      <c r="D23" s="10"/>
      <c r="E23" s="10">
        <v>118</v>
      </c>
      <c r="F23" s="10"/>
      <c r="G23" s="10">
        <f t="shared" si="0"/>
        <v>118</v>
      </c>
      <c r="H23">
        <f t="shared" si="1"/>
        <v>0.04</v>
      </c>
      <c r="I23" s="14">
        <f t="shared" si="2"/>
        <v>0</v>
      </c>
    </row>
    <row r="24" spans="1:9" x14ac:dyDescent="0.25">
      <c r="A24" t="s">
        <v>19</v>
      </c>
      <c r="B24" t="s">
        <v>29</v>
      </c>
      <c r="C24" s="10"/>
      <c r="D24" s="10"/>
      <c r="E24" s="10">
        <v>2320</v>
      </c>
      <c r="F24" s="10"/>
      <c r="G24" s="10">
        <f t="shared" si="0"/>
        <v>2320</v>
      </c>
      <c r="H24">
        <f t="shared" si="1"/>
        <v>0.8</v>
      </c>
      <c r="I24" s="14">
        <f t="shared" si="2"/>
        <v>5.0000000000000001E-3</v>
      </c>
    </row>
    <row r="25" spans="1:9" x14ac:dyDescent="0.25">
      <c r="A25" t="s">
        <v>19</v>
      </c>
      <c r="B25" t="s">
        <v>30</v>
      </c>
      <c r="C25" s="10"/>
      <c r="D25" s="10"/>
      <c r="E25" s="10">
        <v>300</v>
      </c>
      <c r="F25" s="10"/>
      <c r="G25" s="10">
        <f t="shared" si="0"/>
        <v>300</v>
      </c>
      <c r="H25">
        <f t="shared" si="1"/>
        <v>0.1</v>
      </c>
      <c r="I25" s="14">
        <f t="shared" si="2"/>
        <v>1E-3</v>
      </c>
    </row>
    <row r="26" spans="1:9" x14ac:dyDescent="0.25">
      <c r="A26" t="s">
        <v>19</v>
      </c>
      <c r="B26" t="s">
        <v>31</v>
      </c>
      <c r="C26" s="10"/>
      <c r="D26" s="10"/>
      <c r="E26" s="10">
        <v>180</v>
      </c>
      <c r="F26" s="10"/>
      <c r="G26" s="10">
        <f t="shared" si="0"/>
        <v>180</v>
      </c>
      <c r="H26">
        <f t="shared" si="1"/>
        <v>0.06</v>
      </c>
      <c r="I26" s="14">
        <f t="shared" si="2"/>
        <v>0</v>
      </c>
    </row>
    <row r="27" spans="1:9" x14ac:dyDescent="0.25">
      <c r="A27" t="s">
        <v>19</v>
      </c>
      <c r="B27" t="s">
        <v>32</v>
      </c>
      <c r="C27" s="10"/>
      <c r="D27" s="10"/>
      <c r="E27" s="10">
        <v>905</v>
      </c>
      <c r="F27" s="10"/>
      <c r="G27" s="10">
        <f t="shared" si="0"/>
        <v>905</v>
      </c>
      <c r="H27">
        <f t="shared" si="1"/>
        <v>0.31</v>
      </c>
      <c r="I27" s="14">
        <f t="shared" si="2"/>
        <v>2E-3</v>
      </c>
    </row>
    <row r="28" spans="1:9" x14ac:dyDescent="0.25">
      <c r="A28" t="s">
        <v>19</v>
      </c>
      <c r="B28" t="s">
        <v>42</v>
      </c>
      <c r="C28" s="10"/>
      <c r="D28" s="10">
        <v>164</v>
      </c>
      <c r="E28" s="10"/>
      <c r="F28" s="10"/>
      <c r="G28" s="10">
        <f t="shared" si="0"/>
        <v>164</v>
      </c>
      <c r="H28">
        <f t="shared" si="1"/>
        <v>0.06</v>
      </c>
      <c r="I28" s="14">
        <f t="shared" si="2"/>
        <v>0</v>
      </c>
    </row>
    <row r="29" spans="1:9" x14ac:dyDescent="0.25">
      <c r="A29" t="s">
        <v>19</v>
      </c>
      <c r="B29" t="s">
        <v>34</v>
      </c>
      <c r="C29" s="10"/>
      <c r="D29" s="10"/>
      <c r="E29" s="10">
        <v>1120</v>
      </c>
      <c r="F29" s="10"/>
      <c r="G29" s="10">
        <f t="shared" si="0"/>
        <v>1120</v>
      </c>
      <c r="H29">
        <f t="shared" si="1"/>
        <v>0.39</v>
      </c>
      <c r="I29" s="14">
        <f t="shared" si="2"/>
        <v>2E-3</v>
      </c>
    </row>
    <row r="30" spans="1:9" x14ac:dyDescent="0.25">
      <c r="A30" t="s">
        <v>19</v>
      </c>
      <c r="B30" t="s">
        <v>35</v>
      </c>
      <c r="C30" s="10"/>
      <c r="D30" s="10"/>
      <c r="E30" s="10">
        <v>580</v>
      </c>
      <c r="F30" s="10"/>
      <c r="G30" s="10">
        <f t="shared" si="0"/>
        <v>580</v>
      </c>
      <c r="H30">
        <f t="shared" si="1"/>
        <v>0.2</v>
      </c>
      <c r="I30" s="14">
        <f t="shared" si="2"/>
        <v>1E-3</v>
      </c>
    </row>
    <row r="31" spans="1:9" x14ac:dyDescent="0.25">
      <c r="A31" t="s">
        <v>19</v>
      </c>
      <c r="B31" t="s">
        <v>40</v>
      </c>
      <c r="C31" s="10"/>
      <c r="D31" s="10"/>
      <c r="E31" s="10">
        <v>3387</v>
      </c>
      <c r="F31" s="10"/>
      <c r="G31" s="10">
        <f t="shared" si="0"/>
        <v>3387</v>
      </c>
      <c r="H31">
        <f t="shared" si="1"/>
        <v>1.17</v>
      </c>
      <c r="I31" s="14">
        <f t="shared" si="2"/>
        <v>7.0000000000000001E-3</v>
      </c>
    </row>
    <row r="32" spans="1:9" x14ac:dyDescent="0.25">
      <c r="A32" t="s">
        <v>19</v>
      </c>
      <c r="B32" t="s">
        <v>36</v>
      </c>
      <c r="C32" s="10"/>
      <c r="D32" s="10"/>
      <c r="E32" s="10">
        <v>26000</v>
      </c>
      <c r="F32" s="10"/>
      <c r="G32" s="10">
        <f t="shared" si="0"/>
        <v>26000</v>
      </c>
      <c r="H32">
        <f t="shared" si="1"/>
        <v>9.01</v>
      </c>
      <c r="I32" s="14">
        <f t="shared" si="2"/>
        <v>5.5E-2</v>
      </c>
    </row>
    <row r="33" spans="1:9" x14ac:dyDescent="0.25">
      <c r="A33" t="s">
        <v>19</v>
      </c>
      <c r="B33" t="s">
        <v>37</v>
      </c>
      <c r="C33" s="10"/>
      <c r="D33" s="10"/>
      <c r="E33" s="10">
        <v>1880</v>
      </c>
      <c r="F33" s="10"/>
      <c r="G33" s="10">
        <f t="shared" si="0"/>
        <v>1880</v>
      </c>
      <c r="H33">
        <f t="shared" si="1"/>
        <v>0.65</v>
      </c>
      <c r="I33" s="14">
        <f t="shared" si="2"/>
        <v>4.0000000000000001E-3</v>
      </c>
    </row>
    <row r="34" spans="1:9" x14ac:dyDescent="0.25">
      <c r="A34" t="s">
        <v>19</v>
      </c>
      <c r="B34" t="s">
        <v>38</v>
      </c>
      <c r="C34" s="10"/>
      <c r="D34" s="10"/>
      <c r="E34" s="10">
        <v>8220</v>
      </c>
      <c r="F34" s="10"/>
      <c r="G34" s="10">
        <f t="shared" si="0"/>
        <v>8220</v>
      </c>
      <c r="H34">
        <f t="shared" si="1"/>
        <v>2.85</v>
      </c>
      <c r="I34" s="14">
        <f t="shared" si="2"/>
        <v>1.7000000000000001E-2</v>
      </c>
    </row>
    <row r="35" spans="1:9" x14ac:dyDescent="0.25">
      <c r="A35" t="s">
        <v>19</v>
      </c>
      <c r="B35" t="s">
        <v>39</v>
      </c>
      <c r="C35" s="10"/>
      <c r="D35" s="10"/>
      <c r="E35" s="10">
        <v>43280</v>
      </c>
      <c r="F35" s="10"/>
      <c r="G35" s="10">
        <f t="shared" si="0"/>
        <v>43280</v>
      </c>
      <c r="H35">
        <f t="shared" si="1"/>
        <v>14.99</v>
      </c>
      <c r="I35" s="14">
        <f t="shared" si="2"/>
        <v>9.0999999999999998E-2</v>
      </c>
    </row>
    <row r="36" spans="1:9" x14ac:dyDescent="0.25">
      <c r="A36" t="s">
        <v>19</v>
      </c>
      <c r="B36" t="s">
        <v>65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19</v>
      </c>
      <c r="B37" t="s">
        <v>70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t="s">
        <v>19</v>
      </c>
      <c r="B38" t="s">
        <v>33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t="s">
        <v>19</v>
      </c>
      <c r="B39" t="s">
        <v>28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19</v>
      </c>
      <c r="B40" t="s">
        <v>67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t="s">
        <v>19</v>
      </c>
      <c r="B41" t="s">
        <v>71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ROUND(G41/$G$46,3)</f>
        <v>0</v>
      </c>
    </row>
    <row r="42" spans="1:9" x14ac:dyDescent="0.25">
      <c r="A42" t="s">
        <v>19</v>
      </c>
      <c r="B42" t="s">
        <v>72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>ROUND(G42/$G$46,3)</f>
        <v>0</v>
      </c>
    </row>
    <row r="43" spans="1:9" x14ac:dyDescent="0.25">
      <c r="A43" t="s">
        <v>43</v>
      </c>
      <c r="B43" t="s">
        <v>44</v>
      </c>
      <c r="C43" s="10">
        <v>111660</v>
      </c>
      <c r="D43" s="10"/>
      <c r="E43" s="10"/>
      <c r="F43" s="10"/>
      <c r="G43" s="10">
        <f t="shared" si="0"/>
        <v>111660</v>
      </c>
      <c r="H43">
        <f t="shared" si="1"/>
        <v>38.68</v>
      </c>
      <c r="I43" s="14">
        <f>ROUND(G43/$G$46,3)</f>
        <v>0.23400000000000001</v>
      </c>
    </row>
    <row r="44" spans="1:9" x14ac:dyDescent="0.25">
      <c r="A44" t="s">
        <v>43</v>
      </c>
      <c r="B44" t="s">
        <v>45</v>
      </c>
      <c r="C44" s="10"/>
      <c r="D44" s="10"/>
      <c r="E44" s="10">
        <v>22180</v>
      </c>
      <c r="F44" s="10"/>
      <c r="G44" s="10">
        <f t="shared" si="0"/>
        <v>22180</v>
      </c>
      <c r="H44">
        <f t="shared" si="1"/>
        <v>7.68</v>
      </c>
      <c r="I44" s="14">
        <f>ROUND(G44/$G$46,3)</f>
        <v>4.7E-2</v>
      </c>
    </row>
    <row r="45" spans="1:9" x14ac:dyDescent="0.25">
      <c r="A45" t="s">
        <v>43</v>
      </c>
      <c r="B45" t="s">
        <v>46</v>
      </c>
      <c r="C45" s="10"/>
      <c r="D45" s="10"/>
      <c r="E45" s="10"/>
      <c r="F45" s="10"/>
      <c r="G45" s="10">
        <f t="shared" si="0"/>
        <v>0</v>
      </c>
      <c r="H45">
        <f t="shared" si="1"/>
        <v>0</v>
      </c>
      <c r="I45" s="14">
        <f>ROUND(G45/$G$46,3)</f>
        <v>0</v>
      </c>
    </row>
    <row r="46" spans="1:9" x14ac:dyDescent="0.25">
      <c r="A46" s="5" t="s">
        <v>253</v>
      </c>
      <c r="B46" s="5"/>
      <c r="C46" s="15">
        <f t="shared" ref="C46:H46" si="4">SUM(C8:C45)</f>
        <v>340020</v>
      </c>
      <c r="D46" s="15">
        <f t="shared" si="4"/>
        <v>164</v>
      </c>
      <c r="E46" s="15">
        <f t="shared" si="4"/>
        <v>135638</v>
      </c>
      <c r="F46" s="15">
        <f t="shared" si="4"/>
        <v>470</v>
      </c>
      <c r="G46" s="15">
        <f t="shared" si="4"/>
        <v>476292</v>
      </c>
      <c r="H46" s="5">
        <f t="shared" si="4"/>
        <v>164.96000000000004</v>
      </c>
    </row>
    <row r="47" spans="1:9" x14ac:dyDescent="0.25">
      <c r="A47" s="5" t="s">
        <v>14</v>
      </c>
      <c r="B47" s="5"/>
      <c r="C47" s="16">
        <f>ROUND(C46/G46,2)</f>
        <v>0.71</v>
      </c>
      <c r="D47" s="16">
        <f>ROUND(D46/G46,2)</f>
        <v>0</v>
      </c>
      <c r="E47" s="16">
        <f>ROUND(E46/G46,2)</f>
        <v>0.28000000000000003</v>
      </c>
      <c r="F47" s="16">
        <f>ROUND(F46/G46,2)</f>
        <v>0</v>
      </c>
      <c r="G47" s="5"/>
      <c r="H47" s="5"/>
    </row>
    <row r="48" spans="1:9" x14ac:dyDescent="0.25">
      <c r="A48" s="5" t="s">
        <v>47</v>
      </c>
      <c r="B48" s="5"/>
      <c r="C48" s="5"/>
      <c r="D48" s="5"/>
      <c r="E48" s="5"/>
      <c r="F48" s="5"/>
      <c r="G48" s="5"/>
      <c r="H48" s="5"/>
    </row>
    <row r="49" spans="1:8" x14ac:dyDescent="0.25">
      <c r="A49" s="5" t="s">
        <v>48</v>
      </c>
      <c r="B49" s="5"/>
      <c r="C49" s="15">
        <v>228360</v>
      </c>
      <c r="D49" s="15">
        <v>164</v>
      </c>
      <c r="E49" s="15">
        <v>113458</v>
      </c>
      <c r="F49" s="15">
        <v>0</v>
      </c>
      <c r="G49" s="15">
        <f>SUM(C49:F49)</f>
        <v>341982</v>
      </c>
      <c r="H49" s="5">
        <f>ROUND(G49/2887,2)</f>
        <v>118.46</v>
      </c>
    </row>
    <row r="50" spans="1:8" x14ac:dyDescent="0.25">
      <c r="A50" s="5" t="s">
        <v>49</v>
      </c>
      <c r="B50" s="5"/>
      <c r="C50" s="15">
        <v>111660</v>
      </c>
      <c r="D50" s="15">
        <v>0</v>
      </c>
      <c r="E50" s="15">
        <v>22180</v>
      </c>
      <c r="F50" s="15">
        <v>0</v>
      </c>
      <c r="G50" s="15">
        <f>SUM(C50:F50)</f>
        <v>133840</v>
      </c>
      <c r="H50" s="5">
        <f>ROUND(G50/2887,2)</f>
        <v>46.36</v>
      </c>
    </row>
    <row r="51" spans="1:8" x14ac:dyDescent="0.25">
      <c r="A51" s="5" t="s">
        <v>50</v>
      </c>
      <c r="B51" s="5"/>
      <c r="C51" s="15">
        <v>0</v>
      </c>
      <c r="D51" s="15">
        <v>0</v>
      </c>
      <c r="E51" s="15">
        <v>0</v>
      </c>
      <c r="F51" s="15">
        <v>470</v>
      </c>
      <c r="G51" s="15">
        <f>SUM(C51:F51)</f>
        <v>470</v>
      </c>
      <c r="H51" s="5">
        <f>ROUND(G51/2887,2)</f>
        <v>0.16</v>
      </c>
    </row>
    <row r="52" spans="1:8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5">
      <c r="A53" s="5"/>
      <c r="B53" s="5"/>
      <c r="C53" s="5" t="s">
        <v>2</v>
      </c>
      <c r="D53" s="5">
        <v>2022</v>
      </c>
      <c r="E53" s="5" t="s">
        <v>51</v>
      </c>
      <c r="F53" s="5"/>
      <c r="G53" s="5"/>
      <c r="H53" s="5"/>
    </row>
    <row r="54" spans="1:8" x14ac:dyDescent="0.25">
      <c r="A54" s="5" t="s">
        <v>52</v>
      </c>
      <c r="B54" s="5"/>
      <c r="C54" s="16">
        <v>0.75700000000000001</v>
      </c>
      <c r="D54" s="16">
        <v>0.75409999999999999</v>
      </c>
      <c r="E54" s="16">
        <v>0.77659999999999996</v>
      </c>
      <c r="F54" s="5"/>
      <c r="G54" s="5"/>
      <c r="H54" s="5"/>
    </row>
    <row r="55" spans="1:8" x14ac:dyDescent="0.25">
      <c r="A55" s="5" t="s">
        <v>53</v>
      </c>
      <c r="B55" s="5"/>
      <c r="C55" s="16">
        <v>0.74850000000000005</v>
      </c>
      <c r="D55" s="16">
        <v>0.74480000000000002</v>
      </c>
      <c r="E55" s="16">
        <v>0.75900000000000001</v>
      </c>
      <c r="F55" s="5"/>
      <c r="G55" s="5"/>
      <c r="H55" s="5"/>
    </row>
    <row r="56" spans="1:8" x14ac:dyDescent="0.25">
      <c r="A56" s="5"/>
      <c r="B56" s="5"/>
      <c r="C56" s="5"/>
      <c r="D56" s="5"/>
      <c r="E56" s="5"/>
      <c r="F56" s="5"/>
      <c r="G56" s="5"/>
      <c r="H56" s="5"/>
    </row>
    <row r="57" spans="1:8" x14ac:dyDescent="0.25">
      <c r="A57" s="3" t="s">
        <v>256</v>
      </c>
      <c r="B57" s="5"/>
      <c r="C57" s="5" t="s">
        <v>2</v>
      </c>
      <c r="D57" s="5" t="s">
        <v>73</v>
      </c>
      <c r="E57" s="5" t="s">
        <v>55</v>
      </c>
      <c r="F57" s="5" t="s">
        <v>257</v>
      </c>
      <c r="G57" s="5"/>
      <c r="H57" s="5"/>
    </row>
    <row r="58" spans="1:8" x14ac:dyDescent="0.25">
      <c r="A58" s="5" t="s">
        <v>56</v>
      </c>
      <c r="B58" s="5"/>
      <c r="C58" s="5"/>
      <c r="D58" s="5">
        <v>73.72</v>
      </c>
      <c r="E58" s="5">
        <v>81.5</v>
      </c>
      <c r="F58" s="5">
        <v>50.61</v>
      </c>
      <c r="G58" s="5"/>
      <c r="H58" s="5"/>
    </row>
    <row r="59" spans="1:8" x14ac:dyDescent="0.25">
      <c r="A59" s="5" t="s">
        <v>57</v>
      </c>
      <c r="B59" s="5"/>
      <c r="C59" s="5"/>
      <c r="D59" s="5">
        <v>51.9</v>
      </c>
      <c r="E59" s="5">
        <v>58.24</v>
      </c>
      <c r="F59" s="5">
        <v>57.37</v>
      </c>
      <c r="G59" s="5"/>
      <c r="H59" s="5"/>
    </row>
    <row r="60" spans="1:8" x14ac:dyDescent="0.25">
      <c r="A60" s="5" t="s">
        <v>58</v>
      </c>
      <c r="B60" s="5"/>
      <c r="C60" s="5"/>
      <c r="D60" s="5">
        <v>255.06</v>
      </c>
      <c r="E60" s="5">
        <v>261.52999999999997</v>
      </c>
      <c r="F60" s="5">
        <v>249.57</v>
      </c>
      <c r="G60" s="5"/>
      <c r="H60" s="5"/>
    </row>
    <row r="61" spans="1:8" x14ac:dyDescent="0.25">
      <c r="A61" s="5" t="s">
        <v>59</v>
      </c>
      <c r="B61" s="5"/>
      <c r="C61" s="5"/>
      <c r="D61" s="5">
        <v>93.17</v>
      </c>
      <c r="E61" s="5">
        <v>103.11</v>
      </c>
      <c r="F61" s="5">
        <v>71.400000000000006</v>
      </c>
      <c r="G61" s="5"/>
      <c r="H61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I49"/>
  <sheetViews>
    <sheetView topLeftCell="A18" workbookViewId="0">
      <selection activeCell="G46" sqref="G46:G49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8.855468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189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843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13640</v>
      </c>
      <c r="D9" s="10"/>
      <c r="E9" s="10">
        <v>1343.46</v>
      </c>
      <c r="F9" s="10"/>
      <c r="G9" s="10">
        <f t="shared" ref="G9:G33" si="0">SUM(C9:F9)</f>
        <v>14983.46</v>
      </c>
      <c r="H9">
        <f t="shared" ref="H9:H33" si="1">ROUND(G9/843,2)</f>
        <v>17.77</v>
      </c>
      <c r="I9" s="14">
        <f t="shared" ref="I9:I33" si="2">ROUND(G9/$G$34,3)</f>
        <v>0.104</v>
      </c>
    </row>
    <row r="10" spans="1:9" x14ac:dyDescent="0.25">
      <c r="A10" t="s">
        <v>19</v>
      </c>
      <c r="B10" t="s">
        <v>21</v>
      </c>
      <c r="C10" s="10">
        <v>20460</v>
      </c>
      <c r="D10" s="10"/>
      <c r="E10" s="10"/>
      <c r="F10" s="10"/>
      <c r="G10" s="10">
        <f t="shared" si="0"/>
        <v>20460</v>
      </c>
      <c r="H10">
        <f t="shared" si="1"/>
        <v>24.27</v>
      </c>
      <c r="I10" s="14">
        <f t="shared" si="2"/>
        <v>0.14299999999999999</v>
      </c>
    </row>
    <row r="11" spans="1:9" x14ac:dyDescent="0.25">
      <c r="A11" t="s">
        <v>19</v>
      </c>
      <c r="B11" t="s">
        <v>41</v>
      </c>
      <c r="C11" s="10"/>
      <c r="D11" s="10"/>
      <c r="E11" s="10">
        <v>38.75</v>
      </c>
      <c r="F11" s="10"/>
      <c r="G11" s="10">
        <f t="shared" si="0"/>
        <v>38.75</v>
      </c>
      <c r="H11">
        <f t="shared" si="1"/>
        <v>0.05</v>
      </c>
      <c r="I11" s="14">
        <f t="shared" si="2"/>
        <v>0</v>
      </c>
    </row>
    <row r="12" spans="1:9" x14ac:dyDescent="0.25">
      <c r="A12" t="s">
        <v>19</v>
      </c>
      <c r="B12" t="s">
        <v>23</v>
      </c>
      <c r="C12" s="10"/>
      <c r="D12" s="10"/>
      <c r="E12" s="10">
        <v>8840.82</v>
      </c>
      <c r="F12" s="10"/>
      <c r="G12" s="10">
        <f t="shared" si="0"/>
        <v>8840.82</v>
      </c>
      <c r="H12">
        <f t="shared" si="1"/>
        <v>10.49</v>
      </c>
      <c r="I12" s="14">
        <f t="shared" si="2"/>
        <v>6.2E-2</v>
      </c>
    </row>
    <row r="13" spans="1:9" x14ac:dyDescent="0.25">
      <c r="A13" t="s">
        <v>19</v>
      </c>
      <c r="B13" t="s">
        <v>24</v>
      </c>
      <c r="C13" s="10">
        <v>16220</v>
      </c>
      <c r="D13" s="10"/>
      <c r="E13" s="10">
        <v>1232.94</v>
      </c>
      <c r="F13" s="10"/>
      <c r="G13" s="10">
        <f t="shared" si="0"/>
        <v>17452.939999999999</v>
      </c>
      <c r="H13">
        <f t="shared" si="1"/>
        <v>20.7</v>
      </c>
      <c r="I13" s="14">
        <f t="shared" si="2"/>
        <v>0.122</v>
      </c>
    </row>
    <row r="14" spans="1:9" x14ac:dyDescent="0.25">
      <c r="A14" t="s">
        <v>19</v>
      </c>
      <c r="B14" t="s">
        <v>25</v>
      </c>
      <c r="C14" s="10">
        <v>16810</v>
      </c>
      <c r="D14" s="10"/>
      <c r="E14" s="10"/>
      <c r="F14" s="10"/>
      <c r="G14" s="10">
        <f t="shared" si="0"/>
        <v>16810</v>
      </c>
      <c r="H14">
        <f t="shared" si="1"/>
        <v>19.940000000000001</v>
      </c>
      <c r="I14" s="14">
        <f t="shared" si="2"/>
        <v>0.11700000000000001</v>
      </c>
    </row>
    <row r="15" spans="1:9" x14ac:dyDescent="0.25">
      <c r="A15" t="s">
        <v>19</v>
      </c>
      <c r="B15" t="s">
        <v>29</v>
      </c>
      <c r="C15" s="10"/>
      <c r="D15" s="10"/>
      <c r="E15" s="10">
        <v>202.5</v>
      </c>
      <c r="F15" s="10"/>
      <c r="G15" s="10">
        <f t="shared" si="0"/>
        <v>202.5</v>
      </c>
      <c r="H15">
        <f t="shared" si="1"/>
        <v>0.24</v>
      </c>
      <c r="I15" s="14">
        <f t="shared" si="2"/>
        <v>1E-3</v>
      </c>
    </row>
    <row r="16" spans="1:9" x14ac:dyDescent="0.25">
      <c r="A16" t="s">
        <v>19</v>
      </c>
      <c r="B16" t="s">
        <v>30</v>
      </c>
      <c r="C16" s="10"/>
      <c r="D16" s="10"/>
      <c r="E16" s="10">
        <v>61.55</v>
      </c>
      <c r="F16" s="10"/>
      <c r="G16" s="10">
        <f t="shared" si="0"/>
        <v>61.55</v>
      </c>
      <c r="H16">
        <f t="shared" si="1"/>
        <v>7.0000000000000007E-2</v>
      </c>
      <c r="I16" s="14">
        <f t="shared" si="2"/>
        <v>0</v>
      </c>
    </row>
    <row r="17" spans="1:9" x14ac:dyDescent="0.25">
      <c r="A17" t="s">
        <v>19</v>
      </c>
      <c r="B17" t="s">
        <v>33</v>
      </c>
      <c r="C17" s="10"/>
      <c r="D17" s="10"/>
      <c r="E17" s="10">
        <v>37.67</v>
      </c>
      <c r="F17" s="10"/>
      <c r="G17" s="10">
        <f t="shared" si="0"/>
        <v>37.67</v>
      </c>
      <c r="H17">
        <f t="shared" si="1"/>
        <v>0.04</v>
      </c>
      <c r="I17" s="14">
        <f t="shared" si="2"/>
        <v>0</v>
      </c>
    </row>
    <row r="18" spans="1:9" x14ac:dyDescent="0.25">
      <c r="A18" t="s">
        <v>19</v>
      </c>
      <c r="B18" t="s">
        <v>34</v>
      </c>
      <c r="C18" s="10"/>
      <c r="D18" s="10"/>
      <c r="E18" s="10">
        <v>340.21</v>
      </c>
      <c r="F18" s="10"/>
      <c r="G18" s="10">
        <f t="shared" si="0"/>
        <v>340.21</v>
      </c>
      <c r="H18">
        <f t="shared" si="1"/>
        <v>0.4</v>
      </c>
      <c r="I18" s="14">
        <f t="shared" si="2"/>
        <v>2E-3</v>
      </c>
    </row>
    <row r="19" spans="1:9" x14ac:dyDescent="0.25">
      <c r="A19" t="s">
        <v>19</v>
      </c>
      <c r="B19" t="s">
        <v>35</v>
      </c>
      <c r="C19" s="10"/>
      <c r="D19" s="10"/>
      <c r="E19" s="10">
        <v>70.97</v>
      </c>
      <c r="F19" s="10"/>
      <c r="G19" s="10">
        <f t="shared" si="0"/>
        <v>70.97</v>
      </c>
      <c r="H19">
        <f t="shared" si="1"/>
        <v>0.08</v>
      </c>
      <c r="I19" s="14">
        <f t="shared" si="2"/>
        <v>0</v>
      </c>
    </row>
    <row r="20" spans="1:9" x14ac:dyDescent="0.25">
      <c r="A20" t="s">
        <v>19</v>
      </c>
      <c r="B20" t="s">
        <v>36</v>
      </c>
      <c r="C20" s="10"/>
      <c r="D20" s="10"/>
      <c r="E20" s="10">
        <v>9172.73</v>
      </c>
      <c r="F20" s="10"/>
      <c r="G20" s="10">
        <f t="shared" si="0"/>
        <v>9172.73</v>
      </c>
      <c r="H20">
        <f t="shared" si="1"/>
        <v>10.88</v>
      </c>
      <c r="I20" s="14">
        <f t="shared" si="2"/>
        <v>6.4000000000000001E-2</v>
      </c>
    </row>
    <row r="21" spans="1:9" x14ac:dyDescent="0.25">
      <c r="A21" t="s">
        <v>19</v>
      </c>
      <c r="B21" t="s">
        <v>38</v>
      </c>
      <c r="C21" s="10"/>
      <c r="D21" s="10"/>
      <c r="E21" s="10">
        <v>4348.57</v>
      </c>
      <c r="F21" s="10"/>
      <c r="G21" s="10">
        <f t="shared" si="0"/>
        <v>4348.57</v>
      </c>
      <c r="H21">
        <f t="shared" si="1"/>
        <v>5.16</v>
      </c>
      <c r="I21" s="14">
        <f t="shared" si="2"/>
        <v>0.03</v>
      </c>
    </row>
    <row r="22" spans="1:9" x14ac:dyDescent="0.25">
      <c r="A22" t="s">
        <v>19</v>
      </c>
      <c r="B22" t="s">
        <v>39</v>
      </c>
      <c r="C22" s="10"/>
      <c r="D22" s="10"/>
      <c r="E22" s="10">
        <v>974.29</v>
      </c>
      <c r="F22" s="10"/>
      <c r="G22" s="10">
        <f t="shared" si="0"/>
        <v>974.29</v>
      </c>
      <c r="H22">
        <f t="shared" si="1"/>
        <v>1.1599999999999999</v>
      </c>
      <c r="I22" s="14">
        <f t="shared" si="2"/>
        <v>7.0000000000000001E-3</v>
      </c>
    </row>
    <row r="23" spans="1:9" x14ac:dyDescent="0.25">
      <c r="A23" t="s">
        <v>19</v>
      </c>
      <c r="B23" t="s">
        <v>28</v>
      </c>
      <c r="C23" s="10"/>
      <c r="D23" s="10"/>
      <c r="E23" s="10"/>
      <c r="F23" s="10"/>
      <c r="G23" s="10">
        <f t="shared" si="0"/>
        <v>0</v>
      </c>
      <c r="H23">
        <f t="shared" si="1"/>
        <v>0</v>
      </c>
      <c r="I23" s="14">
        <f t="shared" si="2"/>
        <v>0</v>
      </c>
    </row>
    <row r="24" spans="1:9" x14ac:dyDescent="0.25">
      <c r="A24" t="s">
        <v>19</v>
      </c>
      <c r="B24" t="s">
        <v>32</v>
      </c>
      <c r="C24" s="10"/>
      <c r="D24" s="10"/>
      <c r="E24" s="10"/>
      <c r="F24" s="10"/>
      <c r="G24" s="10">
        <f t="shared" si="0"/>
        <v>0</v>
      </c>
      <c r="H24">
        <f t="shared" si="1"/>
        <v>0</v>
      </c>
      <c r="I24" s="14">
        <f t="shared" si="2"/>
        <v>0</v>
      </c>
    </row>
    <row r="25" spans="1:9" x14ac:dyDescent="0.25">
      <c r="A25" t="s">
        <v>19</v>
      </c>
      <c r="B25" t="s">
        <v>71</v>
      </c>
      <c r="C25" s="10"/>
      <c r="D25" s="10"/>
      <c r="E25" s="10"/>
      <c r="F25" s="10"/>
      <c r="G25" s="10">
        <f t="shared" si="0"/>
        <v>0</v>
      </c>
      <c r="H25">
        <f t="shared" si="1"/>
        <v>0</v>
      </c>
      <c r="I25" s="14">
        <f t="shared" si="2"/>
        <v>0</v>
      </c>
    </row>
    <row r="26" spans="1:9" x14ac:dyDescent="0.25">
      <c r="A26" t="s">
        <v>19</v>
      </c>
      <c r="B26" t="s">
        <v>22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 s="14">
        <f t="shared" si="2"/>
        <v>0</v>
      </c>
    </row>
    <row r="27" spans="1:9" x14ac:dyDescent="0.25">
      <c r="A27" t="s">
        <v>19</v>
      </c>
      <c r="B27" t="s">
        <v>31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42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37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43</v>
      </c>
      <c r="B30" t="s">
        <v>44</v>
      </c>
      <c r="C30" s="10">
        <v>43390</v>
      </c>
      <c r="D30" s="10"/>
      <c r="E30" s="10"/>
      <c r="F30" s="10"/>
      <c r="G30" s="10">
        <f t="shared" si="0"/>
        <v>43390</v>
      </c>
      <c r="H30">
        <f t="shared" si="1"/>
        <v>51.47</v>
      </c>
      <c r="I30" s="14">
        <f t="shared" si="2"/>
        <v>0.30299999999999999</v>
      </c>
    </row>
    <row r="31" spans="1:9" x14ac:dyDescent="0.25">
      <c r="A31" t="s">
        <v>43</v>
      </c>
      <c r="B31" t="s">
        <v>45</v>
      </c>
      <c r="C31" s="10"/>
      <c r="D31" s="10"/>
      <c r="E31" s="10">
        <v>6217.94</v>
      </c>
      <c r="F31" s="10"/>
      <c r="G31" s="10">
        <f t="shared" si="0"/>
        <v>6217.94</v>
      </c>
      <c r="H31">
        <f t="shared" si="1"/>
        <v>7.38</v>
      </c>
      <c r="I31" s="14">
        <f t="shared" si="2"/>
        <v>4.2999999999999997E-2</v>
      </c>
    </row>
    <row r="32" spans="1:9" x14ac:dyDescent="0.25">
      <c r="A32" t="s">
        <v>43</v>
      </c>
      <c r="B32" t="s">
        <v>46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15</v>
      </c>
      <c r="B33" t="s">
        <v>18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s="3" t="s">
        <v>253</v>
      </c>
      <c r="B34" s="3"/>
      <c r="C34" s="8">
        <f t="shared" ref="C34:H34" si="3">SUM(C8:C33)</f>
        <v>110520</v>
      </c>
      <c r="D34" s="8">
        <f t="shared" si="3"/>
        <v>0</v>
      </c>
      <c r="E34" s="8">
        <f t="shared" si="3"/>
        <v>32882.400000000001</v>
      </c>
      <c r="F34" s="8">
        <f t="shared" si="3"/>
        <v>0</v>
      </c>
      <c r="G34" s="8">
        <f t="shared" si="3"/>
        <v>143402.40000000002</v>
      </c>
      <c r="H34" s="3">
        <f t="shared" si="3"/>
        <v>170.09999999999997</v>
      </c>
    </row>
    <row r="35" spans="1:9" x14ac:dyDescent="0.25">
      <c r="A35" s="3" t="s">
        <v>14</v>
      </c>
      <c r="B35" s="3"/>
      <c r="C35" s="13">
        <f>ROUND(C34/G34,2)</f>
        <v>0.77</v>
      </c>
      <c r="D35" s="13">
        <f>ROUND(D34/G34,2)</f>
        <v>0</v>
      </c>
      <c r="E35" s="13">
        <f>ROUND(E34/G34,2)</f>
        <v>0.23</v>
      </c>
      <c r="F35" s="13">
        <f>ROUND(F34/G34,2)</f>
        <v>0</v>
      </c>
      <c r="G35" s="3"/>
      <c r="H35" s="3"/>
    </row>
    <row r="36" spans="1:9" x14ac:dyDescent="0.25">
      <c r="A36" s="3" t="s">
        <v>47</v>
      </c>
      <c r="B36" s="3"/>
      <c r="C36" s="3"/>
      <c r="D36" s="3"/>
      <c r="E36" s="3"/>
      <c r="F36" s="3"/>
      <c r="G36" s="3"/>
      <c r="H36" s="3"/>
    </row>
    <row r="37" spans="1:9" x14ac:dyDescent="0.25">
      <c r="A37" s="3" t="s">
        <v>48</v>
      </c>
      <c r="B37" s="3"/>
      <c r="C37" s="8">
        <v>67130</v>
      </c>
      <c r="D37" s="8">
        <v>0</v>
      </c>
      <c r="E37" s="8">
        <v>26664.46</v>
      </c>
      <c r="F37" s="8">
        <v>0</v>
      </c>
      <c r="G37" s="8">
        <f>SUM(C37:F37)</f>
        <v>93794.459999999992</v>
      </c>
      <c r="H37" s="3">
        <f>ROUND(G37/843,2)</f>
        <v>111.26</v>
      </c>
    </row>
    <row r="38" spans="1:9" x14ac:dyDescent="0.25">
      <c r="A38" s="3" t="s">
        <v>49</v>
      </c>
      <c r="B38" s="3"/>
      <c r="C38" s="8">
        <v>43390</v>
      </c>
      <c r="D38" s="8">
        <v>0</v>
      </c>
      <c r="E38" s="8">
        <v>6217.94</v>
      </c>
      <c r="F38" s="8">
        <v>0</v>
      </c>
      <c r="G38" s="8">
        <f>SUM(C38:F38)</f>
        <v>49607.94</v>
      </c>
      <c r="H38" s="3">
        <f>ROUND(G38/843,2)</f>
        <v>58.85</v>
      </c>
    </row>
    <row r="39" spans="1:9" x14ac:dyDescent="0.25">
      <c r="A39" s="3" t="s">
        <v>50</v>
      </c>
      <c r="B39" s="3"/>
      <c r="C39" s="8">
        <v>0</v>
      </c>
      <c r="D39" s="8">
        <v>0</v>
      </c>
      <c r="E39" s="8">
        <v>0</v>
      </c>
      <c r="F39" s="8">
        <v>0</v>
      </c>
      <c r="G39" s="8">
        <f>SUM(C39:F39)</f>
        <v>0</v>
      </c>
      <c r="H39" s="3">
        <f>ROUND(G39/843,2)</f>
        <v>0</v>
      </c>
    </row>
    <row r="41" spans="1:9" x14ac:dyDescent="0.25">
      <c r="A41" s="3"/>
      <c r="B41" s="3"/>
      <c r="C41" s="3" t="s">
        <v>2</v>
      </c>
      <c r="D41" s="3">
        <v>2022</v>
      </c>
      <c r="E41" s="3" t="s">
        <v>51</v>
      </c>
    </row>
    <row r="42" spans="1:9" x14ac:dyDescent="0.25">
      <c r="A42" s="3" t="s">
        <v>52</v>
      </c>
      <c r="B42" s="3"/>
      <c r="C42" s="13">
        <v>0.67759999999999998</v>
      </c>
      <c r="D42" s="13">
        <v>0.71450000000000002</v>
      </c>
      <c r="E42" s="13">
        <v>0.77659999999999996</v>
      </c>
    </row>
    <row r="43" spans="1:9" x14ac:dyDescent="0.25">
      <c r="A43" s="3" t="s">
        <v>53</v>
      </c>
      <c r="B43" s="3"/>
      <c r="C43" s="13">
        <v>0.67759999999999998</v>
      </c>
      <c r="D43" s="13">
        <v>0.67600000000000005</v>
      </c>
      <c r="E43" s="13">
        <v>0.75900000000000001</v>
      </c>
    </row>
    <row r="45" spans="1:9" x14ac:dyDescent="0.25">
      <c r="A45" s="3" t="s">
        <v>256</v>
      </c>
      <c r="B45" s="3"/>
      <c r="C45" s="3" t="s">
        <v>2</v>
      </c>
      <c r="D45" s="3" t="s">
        <v>190</v>
      </c>
      <c r="E45" s="3" t="s">
        <v>55</v>
      </c>
      <c r="F45" s="3" t="s">
        <v>254</v>
      </c>
      <c r="G45" s="3"/>
    </row>
    <row r="46" spans="1:9" x14ac:dyDescent="0.25">
      <c r="A46" s="3" t="s">
        <v>56</v>
      </c>
      <c r="B46" s="3"/>
      <c r="C46" s="3"/>
      <c r="D46" s="3">
        <v>80.930000000000007</v>
      </c>
      <c r="E46" s="3">
        <v>81.5</v>
      </c>
      <c r="F46" s="3">
        <v>50.61</v>
      </c>
      <c r="G46" s="3"/>
    </row>
    <row r="47" spans="1:9" x14ac:dyDescent="0.25">
      <c r="A47" s="3" t="s">
        <v>57</v>
      </c>
      <c r="B47" s="3"/>
      <c r="C47" s="3"/>
      <c r="D47" s="3">
        <v>42.62</v>
      </c>
      <c r="E47" s="3">
        <v>58.24</v>
      </c>
      <c r="F47" s="3">
        <v>57.37</v>
      </c>
      <c r="G47" s="3"/>
    </row>
    <row r="48" spans="1:9" x14ac:dyDescent="0.25">
      <c r="A48" s="3" t="s">
        <v>58</v>
      </c>
      <c r="B48" s="3"/>
      <c r="C48" s="3"/>
      <c r="D48" s="3">
        <v>230.36</v>
      </c>
      <c r="E48" s="3">
        <v>261.52999999999997</v>
      </c>
      <c r="F48" s="3">
        <v>249.57</v>
      </c>
      <c r="G48" s="3"/>
    </row>
    <row r="49" spans="1:7" x14ac:dyDescent="0.25">
      <c r="A49" s="3" t="s">
        <v>59</v>
      </c>
      <c r="B49" s="3"/>
      <c r="C49" s="3"/>
      <c r="D49" s="3">
        <v>97.13</v>
      </c>
      <c r="E49" s="3">
        <v>103.11</v>
      </c>
      <c r="F49" s="3">
        <v>71.400000000000006</v>
      </c>
      <c r="G4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I57"/>
  <sheetViews>
    <sheetView topLeftCell="A27" workbookViewId="0">
      <selection activeCell="G54" sqref="G54:G57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7.28515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191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3913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25</v>
      </c>
      <c r="F9" s="10"/>
      <c r="G9" s="10">
        <f t="shared" ref="G9:G41" si="0">SUM(C9:F9)</f>
        <v>25</v>
      </c>
      <c r="H9">
        <f t="shared" ref="H9:H41" si="1">ROUND(G9/3913,2)</f>
        <v>0.01</v>
      </c>
      <c r="I9" s="14">
        <f t="shared" ref="I9:I40" si="2">ROUND(G9/$G$42,3)</f>
        <v>0</v>
      </c>
    </row>
    <row r="10" spans="1:9" x14ac:dyDescent="0.25">
      <c r="A10" t="s">
        <v>19</v>
      </c>
      <c r="B10" t="s">
        <v>20</v>
      </c>
      <c r="C10" s="10">
        <v>62900</v>
      </c>
      <c r="D10" s="10"/>
      <c r="E10" s="10">
        <v>2700</v>
      </c>
      <c r="F10" s="10"/>
      <c r="G10" s="10">
        <f t="shared" si="0"/>
        <v>65600</v>
      </c>
      <c r="H10">
        <f t="shared" si="1"/>
        <v>16.760000000000002</v>
      </c>
      <c r="I10" s="14">
        <f t="shared" si="2"/>
        <v>0.11799999999999999</v>
      </c>
    </row>
    <row r="11" spans="1:9" x14ac:dyDescent="0.25">
      <c r="A11" t="s">
        <v>19</v>
      </c>
      <c r="B11" t="s">
        <v>21</v>
      </c>
      <c r="C11" s="10">
        <v>74050</v>
      </c>
      <c r="D11" s="10"/>
      <c r="E11" s="10"/>
      <c r="F11" s="10"/>
      <c r="G11" s="10">
        <f t="shared" si="0"/>
        <v>74050</v>
      </c>
      <c r="H11">
        <f t="shared" si="1"/>
        <v>18.920000000000002</v>
      </c>
      <c r="I11" s="14">
        <f t="shared" si="2"/>
        <v>0.13300000000000001</v>
      </c>
    </row>
    <row r="12" spans="1:9" x14ac:dyDescent="0.25">
      <c r="A12" t="s">
        <v>19</v>
      </c>
      <c r="B12" t="s">
        <v>76</v>
      </c>
      <c r="C12" s="10"/>
      <c r="D12" s="10"/>
      <c r="E12" s="10">
        <v>125</v>
      </c>
      <c r="F12" s="10"/>
      <c r="G12" s="10">
        <f t="shared" si="0"/>
        <v>125</v>
      </c>
      <c r="H12">
        <f t="shared" si="1"/>
        <v>0.03</v>
      </c>
      <c r="I12" s="14">
        <f t="shared" si="2"/>
        <v>0</v>
      </c>
    </row>
    <row r="13" spans="1:9" x14ac:dyDescent="0.25">
      <c r="A13" t="s">
        <v>19</v>
      </c>
      <c r="B13" t="s">
        <v>41</v>
      </c>
      <c r="C13" s="10"/>
      <c r="D13" s="10"/>
      <c r="E13" s="10">
        <v>144</v>
      </c>
      <c r="F13" s="10"/>
      <c r="G13" s="10">
        <f t="shared" si="0"/>
        <v>144</v>
      </c>
      <c r="H13">
        <f t="shared" si="1"/>
        <v>0.04</v>
      </c>
      <c r="I13" s="14">
        <f t="shared" si="2"/>
        <v>0</v>
      </c>
    </row>
    <row r="14" spans="1:9" x14ac:dyDescent="0.25">
      <c r="A14" t="s">
        <v>19</v>
      </c>
      <c r="B14" t="s">
        <v>22</v>
      </c>
      <c r="C14" s="10"/>
      <c r="D14" s="10"/>
      <c r="E14" s="10">
        <v>2000</v>
      </c>
      <c r="F14" s="10"/>
      <c r="G14" s="10">
        <f t="shared" si="0"/>
        <v>2000</v>
      </c>
      <c r="H14">
        <f t="shared" si="1"/>
        <v>0.51</v>
      </c>
      <c r="I14" s="14">
        <f t="shared" si="2"/>
        <v>4.0000000000000001E-3</v>
      </c>
    </row>
    <row r="15" spans="1:9" x14ac:dyDescent="0.25">
      <c r="A15" t="s">
        <v>19</v>
      </c>
      <c r="B15" t="s">
        <v>23</v>
      </c>
      <c r="C15" s="10"/>
      <c r="D15" s="10"/>
      <c r="E15" s="10">
        <v>31960</v>
      </c>
      <c r="F15" s="10"/>
      <c r="G15" s="10">
        <f t="shared" si="0"/>
        <v>31960</v>
      </c>
      <c r="H15">
        <f t="shared" si="1"/>
        <v>8.17</v>
      </c>
      <c r="I15" s="14">
        <f t="shared" si="2"/>
        <v>5.7000000000000002E-2</v>
      </c>
    </row>
    <row r="16" spans="1:9" x14ac:dyDescent="0.25">
      <c r="A16" t="s">
        <v>19</v>
      </c>
      <c r="B16" t="s">
        <v>24</v>
      </c>
      <c r="C16" s="10">
        <v>77080</v>
      </c>
      <c r="D16" s="10"/>
      <c r="E16" s="10">
        <v>7440</v>
      </c>
      <c r="F16" s="10"/>
      <c r="G16" s="10">
        <f t="shared" si="0"/>
        <v>84520</v>
      </c>
      <c r="H16">
        <f t="shared" si="1"/>
        <v>21.6</v>
      </c>
      <c r="I16" s="14">
        <f t="shared" si="2"/>
        <v>0.152</v>
      </c>
    </row>
    <row r="17" spans="1:9" x14ac:dyDescent="0.25">
      <c r="A17" t="s">
        <v>19</v>
      </c>
      <c r="B17" t="s">
        <v>66</v>
      </c>
      <c r="C17" s="10"/>
      <c r="D17" s="10"/>
      <c r="E17" s="10">
        <v>1060</v>
      </c>
      <c r="F17" s="10"/>
      <c r="G17" s="10">
        <f t="shared" si="0"/>
        <v>1060</v>
      </c>
      <c r="H17">
        <f t="shared" si="1"/>
        <v>0.27</v>
      </c>
      <c r="I17" s="14">
        <f t="shared" si="2"/>
        <v>2E-3</v>
      </c>
    </row>
    <row r="18" spans="1:9" x14ac:dyDescent="0.25">
      <c r="A18" t="s">
        <v>19</v>
      </c>
      <c r="B18" t="s">
        <v>25</v>
      </c>
      <c r="C18" s="10">
        <v>65700</v>
      </c>
      <c r="D18" s="10"/>
      <c r="E18" s="10"/>
      <c r="F18" s="10">
        <v>20</v>
      </c>
      <c r="G18" s="10">
        <f t="shared" si="0"/>
        <v>65720</v>
      </c>
      <c r="H18">
        <f t="shared" si="1"/>
        <v>16.8</v>
      </c>
      <c r="I18" s="14">
        <f t="shared" si="2"/>
        <v>0.11799999999999999</v>
      </c>
    </row>
    <row r="19" spans="1:9" x14ac:dyDescent="0.25">
      <c r="A19" t="s">
        <v>19</v>
      </c>
      <c r="B19" t="s">
        <v>26</v>
      </c>
      <c r="C19" s="10"/>
      <c r="D19" s="10"/>
      <c r="E19" s="10">
        <v>508</v>
      </c>
      <c r="F19" s="10"/>
      <c r="G19" s="10">
        <f t="shared" si="0"/>
        <v>508</v>
      </c>
      <c r="H19">
        <f t="shared" si="1"/>
        <v>0.13</v>
      </c>
      <c r="I19" s="14">
        <f t="shared" si="2"/>
        <v>1E-3</v>
      </c>
    </row>
    <row r="20" spans="1:9" x14ac:dyDescent="0.25">
      <c r="A20" t="s">
        <v>19</v>
      </c>
      <c r="B20" t="s">
        <v>27</v>
      </c>
      <c r="C20" s="10"/>
      <c r="D20" s="10"/>
      <c r="E20" s="10">
        <v>355</v>
      </c>
      <c r="F20" s="10"/>
      <c r="G20" s="10">
        <f t="shared" si="0"/>
        <v>355</v>
      </c>
      <c r="H20">
        <f t="shared" si="1"/>
        <v>0.09</v>
      </c>
      <c r="I20" s="14">
        <f t="shared" si="2"/>
        <v>1E-3</v>
      </c>
    </row>
    <row r="21" spans="1:9" x14ac:dyDescent="0.25">
      <c r="A21" t="s">
        <v>19</v>
      </c>
      <c r="B21" t="s">
        <v>28</v>
      </c>
      <c r="C21" s="10"/>
      <c r="D21" s="10"/>
      <c r="E21" s="10">
        <v>110</v>
      </c>
      <c r="F21" s="10"/>
      <c r="G21" s="10">
        <f t="shared" si="0"/>
        <v>110</v>
      </c>
      <c r="H21">
        <f t="shared" si="1"/>
        <v>0.03</v>
      </c>
      <c r="I21" s="14">
        <f t="shared" si="2"/>
        <v>0</v>
      </c>
    </row>
    <row r="22" spans="1:9" x14ac:dyDescent="0.25">
      <c r="A22" t="s">
        <v>19</v>
      </c>
      <c r="B22" t="s">
        <v>29</v>
      </c>
      <c r="C22" s="10"/>
      <c r="D22" s="10"/>
      <c r="E22" s="10">
        <v>2920</v>
      </c>
      <c r="F22" s="10"/>
      <c r="G22" s="10">
        <f t="shared" si="0"/>
        <v>2920</v>
      </c>
      <c r="H22">
        <f t="shared" si="1"/>
        <v>0.75</v>
      </c>
      <c r="I22" s="14">
        <f t="shared" si="2"/>
        <v>5.0000000000000001E-3</v>
      </c>
    </row>
    <row r="23" spans="1:9" x14ac:dyDescent="0.25">
      <c r="A23" t="s">
        <v>19</v>
      </c>
      <c r="B23" t="s">
        <v>30</v>
      </c>
      <c r="C23" s="10"/>
      <c r="D23" s="10"/>
      <c r="E23" s="10">
        <v>430</v>
      </c>
      <c r="F23" s="10"/>
      <c r="G23" s="10">
        <f t="shared" si="0"/>
        <v>430</v>
      </c>
      <c r="H23">
        <f t="shared" si="1"/>
        <v>0.11</v>
      </c>
      <c r="I23" s="14">
        <f t="shared" si="2"/>
        <v>1E-3</v>
      </c>
    </row>
    <row r="24" spans="1:9" x14ac:dyDescent="0.25">
      <c r="A24" t="s">
        <v>19</v>
      </c>
      <c r="B24" t="s">
        <v>31</v>
      </c>
      <c r="C24" s="10"/>
      <c r="D24" s="10"/>
      <c r="E24" s="10">
        <v>480</v>
      </c>
      <c r="F24" s="10"/>
      <c r="G24" s="10">
        <f t="shared" si="0"/>
        <v>480</v>
      </c>
      <c r="H24">
        <f t="shared" si="1"/>
        <v>0.12</v>
      </c>
      <c r="I24" s="14">
        <f t="shared" si="2"/>
        <v>1E-3</v>
      </c>
    </row>
    <row r="25" spans="1:9" x14ac:dyDescent="0.25">
      <c r="A25" t="s">
        <v>19</v>
      </c>
      <c r="B25" t="s">
        <v>32</v>
      </c>
      <c r="C25" s="10"/>
      <c r="D25" s="10"/>
      <c r="E25" s="10">
        <v>445</v>
      </c>
      <c r="F25" s="10"/>
      <c r="G25" s="10">
        <f t="shared" si="0"/>
        <v>445</v>
      </c>
      <c r="H25">
        <f t="shared" si="1"/>
        <v>0.11</v>
      </c>
      <c r="I25" s="14">
        <f t="shared" si="2"/>
        <v>1E-3</v>
      </c>
    </row>
    <row r="26" spans="1:9" x14ac:dyDescent="0.25">
      <c r="A26" t="s">
        <v>19</v>
      </c>
      <c r="B26" t="s">
        <v>42</v>
      </c>
      <c r="C26" s="10"/>
      <c r="D26" s="10">
        <v>221</v>
      </c>
      <c r="E26" s="10"/>
      <c r="F26" s="10"/>
      <c r="G26" s="10">
        <f t="shared" si="0"/>
        <v>221</v>
      </c>
      <c r="H26">
        <f t="shared" si="1"/>
        <v>0.06</v>
      </c>
      <c r="I26" s="14">
        <f t="shared" si="2"/>
        <v>0</v>
      </c>
    </row>
    <row r="27" spans="1:9" x14ac:dyDescent="0.25">
      <c r="A27" t="s">
        <v>19</v>
      </c>
      <c r="B27" t="s">
        <v>67</v>
      </c>
      <c r="C27" s="10"/>
      <c r="D27" s="10"/>
      <c r="E27" s="10">
        <v>330</v>
      </c>
      <c r="F27" s="10"/>
      <c r="G27" s="10">
        <f t="shared" si="0"/>
        <v>330</v>
      </c>
      <c r="H27">
        <f t="shared" si="1"/>
        <v>0.08</v>
      </c>
      <c r="I27" s="14">
        <f t="shared" si="2"/>
        <v>1E-3</v>
      </c>
    </row>
    <row r="28" spans="1:9" x14ac:dyDescent="0.25">
      <c r="A28" t="s">
        <v>19</v>
      </c>
      <c r="B28" t="s">
        <v>33</v>
      </c>
      <c r="C28" s="10"/>
      <c r="D28" s="10"/>
      <c r="E28" s="10">
        <v>336</v>
      </c>
      <c r="F28" s="10"/>
      <c r="G28" s="10">
        <f t="shared" si="0"/>
        <v>336</v>
      </c>
      <c r="H28">
        <f t="shared" si="1"/>
        <v>0.09</v>
      </c>
      <c r="I28" s="14">
        <f t="shared" si="2"/>
        <v>1E-3</v>
      </c>
    </row>
    <row r="29" spans="1:9" x14ac:dyDescent="0.25">
      <c r="A29" t="s">
        <v>19</v>
      </c>
      <c r="B29" t="s">
        <v>34</v>
      </c>
      <c r="C29" s="10"/>
      <c r="D29" s="10"/>
      <c r="E29" s="10">
        <v>1216</v>
      </c>
      <c r="F29" s="10"/>
      <c r="G29" s="10">
        <f t="shared" si="0"/>
        <v>1216</v>
      </c>
      <c r="H29">
        <f t="shared" si="1"/>
        <v>0.31</v>
      </c>
      <c r="I29" s="14">
        <f t="shared" si="2"/>
        <v>2E-3</v>
      </c>
    </row>
    <row r="30" spans="1:9" x14ac:dyDescent="0.25">
      <c r="A30" t="s">
        <v>19</v>
      </c>
      <c r="B30" t="s">
        <v>40</v>
      </c>
      <c r="C30" s="10"/>
      <c r="D30" s="10"/>
      <c r="E30" s="10">
        <v>7177</v>
      </c>
      <c r="F30" s="10"/>
      <c r="G30" s="10">
        <f t="shared" si="0"/>
        <v>7177</v>
      </c>
      <c r="H30">
        <f t="shared" si="1"/>
        <v>1.83</v>
      </c>
      <c r="I30" s="14">
        <f t="shared" si="2"/>
        <v>1.2999999999999999E-2</v>
      </c>
    </row>
    <row r="31" spans="1:9" x14ac:dyDescent="0.25">
      <c r="A31" t="s">
        <v>19</v>
      </c>
      <c r="B31" t="s">
        <v>35</v>
      </c>
      <c r="C31" s="10"/>
      <c r="D31" s="10"/>
      <c r="E31" s="10">
        <v>1660</v>
      </c>
      <c r="F31" s="10"/>
      <c r="G31" s="10">
        <f t="shared" si="0"/>
        <v>1660</v>
      </c>
      <c r="H31">
        <f t="shared" si="1"/>
        <v>0.42</v>
      </c>
      <c r="I31" s="14">
        <f t="shared" si="2"/>
        <v>3.0000000000000001E-3</v>
      </c>
    </row>
    <row r="32" spans="1:9" x14ac:dyDescent="0.25">
      <c r="A32" t="s">
        <v>19</v>
      </c>
      <c r="B32" t="s">
        <v>36</v>
      </c>
      <c r="C32" s="10"/>
      <c r="D32" s="10"/>
      <c r="E32" s="10">
        <v>39080</v>
      </c>
      <c r="F32" s="10"/>
      <c r="G32" s="10">
        <f t="shared" si="0"/>
        <v>39080</v>
      </c>
      <c r="H32">
        <f t="shared" si="1"/>
        <v>9.99</v>
      </c>
      <c r="I32" s="14">
        <f t="shared" si="2"/>
        <v>7.0000000000000007E-2</v>
      </c>
    </row>
    <row r="33" spans="1:9" x14ac:dyDescent="0.25">
      <c r="A33" t="s">
        <v>19</v>
      </c>
      <c r="B33" t="s">
        <v>37</v>
      </c>
      <c r="C33" s="10"/>
      <c r="D33" s="10"/>
      <c r="E33" s="10">
        <v>2480</v>
      </c>
      <c r="F33" s="10"/>
      <c r="G33" s="10">
        <f t="shared" si="0"/>
        <v>2480</v>
      </c>
      <c r="H33">
        <f t="shared" si="1"/>
        <v>0.63</v>
      </c>
      <c r="I33" s="14">
        <f t="shared" si="2"/>
        <v>4.0000000000000001E-3</v>
      </c>
    </row>
    <row r="34" spans="1:9" x14ac:dyDescent="0.25">
      <c r="A34" t="s">
        <v>19</v>
      </c>
      <c r="B34" t="s">
        <v>38</v>
      </c>
      <c r="C34" s="10"/>
      <c r="D34" s="10"/>
      <c r="E34" s="10">
        <v>8330</v>
      </c>
      <c r="F34" s="10"/>
      <c r="G34" s="10">
        <f t="shared" si="0"/>
        <v>8330</v>
      </c>
      <c r="H34">
        <f t="shared" si="1"/>
        <v>2.13</v>
      </c>
      <c r="I34" s="14">
        <f t="shared" si="2"/>
        <v>1.4999999999999999E-2</v>
      </c>
    </row>
    <row r="35" spans="1:9" x14ac:dyDescent="0.25">
      <c r="A35" t="s">
        <v>19</v>
      </c>
      <c r="B35" t="s">
        <v>39</v>
      </c>
      <c r="C35" s="10"/>
      <c r="D35" s="10"/>
      <c r="E35" s="10">
        <v>41600</v>
      </c>
      <c r="F35" s="10">
        <v>3400</v>
      </c>
      <c r="G35" s="10">
        <f t="shared" si="0"/>
        <v>45000</v>
      </c>
      <c r="H35">
        <f t="shared" si="1"/>
        <v>11.5</v>
      </c>
      <c r="I35" s="14">
        <f t="shared" si="2"/>
        <v>8.1000000000000003E-2</v>
      </c>
    </row>
    <row r="36" spans="1:9" x14ac:dyDescent="0.25">
      <c r="A36" t="s">
        <v>19</v>
      </c>
      <c r="B36" t="s">
        <v>72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43</v>
      </c>
      <c r="B37" t="s">
        <v>44</v>
      </c>
      <c r="C37" s="10">
        <v>96100</v>
      </c>
      <c r="D37" s="10"/>
      <c r="E37" s="10"/>
      <c r="F37" s="10">
        <v>780</v>
      </c>
      <c r="G37" s="10">
        <f t="shared" si="0"/>
        <v>96880</v>
      </c>
      <c r="H37">
        <f t="shared" si="1"/>
        <v>24.76</v>
      </c>
      <c r="I37" s="14">
        <f t="shared" si="2"/>
        <v>0.17399999999999999</v>
      </c>
    </row>
    <row r="38" spans="1:9" x14ac:dyDescent="0.25">
      <c r="A38" t="s">
        <v>43</v>
      </c>
      <c r="B38" t="s">
        <v>45</v>
      </c>
      <c r="C38" s="10"/>
      <c r="D38" s="10"/>
      <c r="E38" s="10">
        <v>23510</v>
      </c>
      <c r="F38" s="10"/>
      <c r="G38" s="10">
        <f t="shared" si="0"/>
        <v>23510</v>
      </c>
      <c r="H38">
        <f t="shared" si="1"/>
        <v>6.01</v>
      </c>
      <c r="I38" s="14">
        <f t="shared" si="2"/>
        <v>4.2000000000000003E-2</v>
      </c>
    </row>
    <row r="39" spans="1:9" x14ac:dyDescent="0.25">
      <c r="A39" t="s">
        <v>43</v>
      </c>
      <c r="B39" t="s">
        <v>46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15</v>
      </c>
      <c r="B40" t="s">
        <v>17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t="s">
        <v>15</v>
      </c>
      <c r="B41" t="s">
        <v>18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ROUND(G41/$G$42,3)</f>
        <v>0</v>
      </c>
    </row>
    <row r="42" spans="1:9" x14ac:dyDescent="0.25">
      <c r="A42" s="3" t="s">
        <v>253</v>
      </c>
      <c r="B42" s="3"/>
      <c r="C42" s="8">
        <f t="shared" ref="C42:H42" si="4">SUM(C8:C41)</f>
        <v>375830</v>
      </c>
      <c r="D42" s="8">
        <f t="shared" si="4"/>
        <v>221</v>
      </c>
      <c r="E42" s="8">
        <f t="shared" si="4"/>
        <v>176421</v>
      </c>
      <c r="F42" s="8">
        <f t="shared" si="4"/>
        <v>4200</v>
      </c>
      <c r="G42" s="8">
        <f t="shared" si="4"/>
        <v>556672</v>
      </c>
      <c r="H42" s="3">
        <f t="shared" si="4"/>
        <v>142.26</v>
      </c>
    </row>
    <row r="43" spans="1:9" x14ac:dyDescent="0.25">
      <c r="A43" s="3" t="s">
        <v>14</v>
      </c>
      <c r="B43" s="3"/>
      <c r="C43" s="13">
        <f>ROUND(C42/G42,2)</f>
        <v>0.68</v>
      </c>
      <c r="D43" s="13">
        <f>ROUND(D42/G42,2)</f>
        <v>0</v>
      </c>
      <c r="E43" s="13">
        <f>ROUND(E42/G42,2)</f>
        <v>0.32</v>
      </c>
      <c r="F43" s="13">
        <f>ROUND(F42/G42,2)</f>
        <v>0.01</v>
      </c>
      <c r="G43" s="3"/>
      <c r="H43" s="3"/>
    </row>
    <row r="44" spans="1:9" x14ac:dyDescent="0.25">
      <c r="A44" s="3" t="s">
        <v>47</v>
      </c>
      <c r="B44" s="3"/>
      <c r="C44" s="3"/>
      <c r="D44" s="3"/>
      <c r="E44" s="3"/>
      <c r="F44" s="3"/>
      <c r="G44" s="3"/>
      <c r="H44" s="3"/>
    </row>
    <row r="45" spans="1:9" x14ac:dyDescent="0.25">
      <c r="A45" s="3" t="s">
        <v>48</v>
      </c>
      <c r="B45" s="3"/>
      <c r="C45" s="8">
        <v>279730</v>
      </c>
      <c r="D45" s="8">
        <v>221</v>
      </c>
      <c r="E45" s="8">
        <v>152911</v>
      </c>
      <c r="F45" s="8">
        <v>3420</v>
      </c>
      <c r="G45" s="8">
        <f>SUM(C45:F45)</f>
        <v>436282</v>
      </c>
      <c r="H45" s="3">
        <f>ROUND(G45/3913,2)</f>
        <v>111.5</v>
      </c>
    </row>
    <row r="46" spans="1:9" x14ac:dyDescent="0.25">
      <c r="A46" s="3" t="s">
        <v>49</v>
      </c>
      <c r="B46" s="3"/>
      <c r="C46" s="8">
        <v>96100</v>
      </c>
      <c r="D46" s="8">
        <v>0</v>
      </c>
      <c r="E46" s="8">
        <v>23510</v>
      </c>
      <c r="F46" s="8">
        <v>780</v>
      </c>
      <c r="G46" s="8">
        <f>SUM(C46:F46)</f>
        <v>120390</v>
      </c>
      <c r="H46" s="3">
        <f>ROUND(G46/3913,2)</f>
        <v>30.77</v>
      </c>
    </row>
    <row r="47" spans="1:9" x14ac:dyDescent="0.25">
      <c r="A47" s="3" t="s">
        <v>50</v>
      </c>
      <c r="B47" s="3"/>
      <c r="C47" s="8">
        <v>0</v>
      </c>
      <c r="D47" s="8">
        <v>0</v>
      </c>
      <c r="E47" s="8">
        <v>0</v>
      </c>
      <c r="F47" s="8">
        <v>0</v>
      </c>
      <c r="G47" s="8">
        <f>SUM(C47:F47)</f>
        <v>0</v>
      </c>
      <c r="H47" s="3">
        <f>ROUND(G47/3913,2)</f>
        <v>0</v>
      </c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 t="s">
        <v>2</v>
      </c>
      <c r="D49" s="3">
        <v>2022</v>
      </c>
      <c r="E49" s="3" t="s">
        <v>51</v>
      </c>
      <c r="F49" s="3"/>
      <c r="G49" s="3"/>
      <c r="H49" s="3"/>
    </row>
    <row r="50" spans="1:8" x14ac:dyDescent="0.25">
      <c r="A50" s="3" t="s">
        <v>52</v>
      </c>
      <c r="B50" s="3"/>
      <c r="C50" s="13">
        <v>0.81469999999999998</v>
      </c>
      <c r="D50" s="13">
        <v>0.81440000000000001</v>
      </c>
      <c r="E50" s="13">
        <v>0.77659999999999996</v>
      </c>
      <c r="F50" s="3"/>
      <c r="G50" s="3"/>
      <c r="H50" s="3"/>
    </row>
    <row r="51" spans="1:8" x14ac:dyDescent="0.25">
      <c r="A51" s="3" t="s">
        <v>53</v>
      </c>
      <c r="B51" s="3"/>
      <c r="C51" s="13">
        <v>0.79849999999999999</v>
      </c>
      <c r="D51" s="13">
        <v>0.79930000000000001</v>
      </c>
      <c r="E51" s="13">
        <v>0.75900000000000001</v>
      </c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 t="s">
        <v>256</v>
      </c>
      <c r="B53" s="3"/>
      <c r="C53" s="3" t="s">
        <v>2</v>
      </c>
      <c r="D53" s="3" t="s">
        <v>192</v>
      </c>
      <c r="E53" s="3" t="s">
        <v>55</v>
      </c>
      <c r="F53" s="3" t="s">
        <v>254</v>
      </c>
      <c r="G53" s="3"/>
      <c r="H53" s="3"/>
    </row>
    <row r="54" spans="1:8" x14ac:dyDescent="0.25">
      <c r="A54" s="3" t="s">
        <v>56</v>
      </c>
      <c r="B54" s="3"/>
      <c r="C54" s="3"/>
      <c r="D54" s="3">
        <v>44.86</v>
      </c>
      <c r="E54" s="3">
        <v>81.5</v>
      </c>
      <c r="F54" s="3">
        <v>50.61</v>
      </c>
      <c r="G54" s="3"/>
      <c r="H54" s="3"/>
    </row>
    <row r="55" spans="1:8" x14ac:dyDescent="0.25">
      <c r="A55" s="3" t="s">
        <v>57</v>
      </c>
      <c r="B55" s="3"/>
      <c r="C55" s="3"/>
      <c r="D55" s="3">
        <v>29.57</v>
      </c>
      <c r="E55" s="3">
        <v>58.24</v>
      </c>
      <c r="F55" s="3">
        <v>57.37</v>
      </c>
      <c r="G55" s="3"/>
      <c r="H55" s="3"/>
    </row>
    <row r="56" spans="1:8" x14ac:dyDescent="0.25">
      <c r="A56" s="3" t="s">
        <v>58</v>
      </c>
      <c r="B56" s="3"/>
      <c r="C56" s="3"/>
      <c r="D56" s="3">
        <v>202.58</v>
      </c>
      <c r="E56" s="3">
        <v>261.52999999999997</v>
      </c>
      <c r="F56" s="3">
        <v>249.57</v>
      </c>
      <c r="G56" s="3"/>
      <c r="H56" s="3"/>
    </row>
    <row r="57" spans="1:8" x14ac:dyDescent="0.25">
      <c r="A57" s="3" t="s">
        <v>59</v>
      </c>
      <c r="B57" s="3"/>
      <c r="C57" s="3"/>
      <c r="D57" s="3">
        <v>62.56</v>
      </c>
      <c r="E57" s="3">
        <v>103.11</v>
      </c>
      <c r="F57" s="3">
        <v>71.400000000000006</v>
      </c>
      <c r="G57" s="3"/>
      <c r="H5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I48"/>
  <sheetViews>
    <sheetView topLeftCell="A21" workbookViewId="0">
      <selection activeCell="G45" sqref="G45:G48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1.140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193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247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3840</v>
      </c>
      <c r="D9" s="10"/>
      <c r="E9" s="10">
        <v>175.13</v>
      </c>
      <c r="F9" s="10"/>
      <c r="G9" s="10">
        <f t="shared" ref="G9:G32" si="0">SUM(C9:F9)</f>
        <v>4015.13</v>
      </c>
      <c r="H9">
        <f t="shared" ref="H9:H32" si="1">ROUND(G9/247,2)</f>
        <v>16.260000000000002</v>
      </c>
      <c r="I9" s="14">
        <f t="shared" ref="I9:I32" si="2">ROUND(G9/$G$33,3)</f>
        <v>8.6999999999999994E-2</v>
      </c>
    </row>
    <row r="10" spans="1:9" x14ac:dyDescent="0.25">
      <c r="A10" t="s">
        <v>19</v>
      </c>
      <c r="B10" t="s">
        <v>21</v>
      </c>
      <c r="C10" s="10">
        <v>4470</v>
      </c>
      <c r="D10" s="10"/>
      <c r="E10" s="10"/>
      <c r="F10" s="10"/>
      <c r="G10" s="10">
        <f t="shared" si="0"/>
        <v>4470</v>
      </c>
      <c r="H10">
        <f t="shared" si="1"/>
        <v>18.100000000000001</v>
      </c>
      <c r="I10" s="14">
        <f t="shared" si="2"/>
        <v>9.7000000000000003E-2</v>
      </c>
    </row>
    <row r="11" spans="1:9" x14ac:dyDescent="0.25">
      <c r="A11" t="s">
        <v>19</v>
      </c>
      <c r="B11" t="s">
        <v>23</v>
      </c>
      <c r="C11" s="10"/>
      <c r="D11" s="10"/>
      <c r="E11" s="10">
        <v>2949.76</v>
      </c>
      <c r="F11" s="10"/>
      <c r="G11" s="10">
        <f t="shared" si="0"/>
        <v>2949.76</v>
      </c>
      <c r="H11">
        <f t="shared" si="1"/>
        <v>11.94</v>
      </c>
      <c r="I11" s="14">
        <f t="shared" si="2"/>
        <v>6.4000000000000001E-2</v>
      </c>
    </row>
    <row r="12" spans="1:9" x14ac:dyDescent="0.25">
      <c r="A12" t="s">
        <v>19</v>
      </c>
      <c r="B12" t="s">
        <v>24</v>
      </c>
      <c r="C12" s="10">
        <v>6140</v>
      </c>
      <c r="D12" s="10"/>
      <c r="E12" s="10">
        <v>614.76</v>
      </c>
      <c r="F12" s="10"/>
      <c r="G12" s="10">
        <f t="shared" si="0"/>
        <v>6754.76</v>
      </c>
      <c r="H12">
        <f t="shared" si="1"/>
        <v>27.35</v>
      </c>
      <c r="I12" s="14">
        <f t="shared" si="2"/>
        <v>0.14599999999999999</v>
      </c>
    </row>
    <row r="13" spans="1:9" x14ac:dyDescent="0.25">
      <c r="A13" t="s">
        <v>19</v>
      </c>
      <c r="B13" t="s">
        <v>25</v>
      </c>
      <c r="C13" s="10">
        <v>6490</v>
      </c>
      <c r="D13" s="10"/>
      <c r="E13" s="10"/>
      <c r="F13" s="10"/>
      <c r="G13" s="10">
        <f t="shared" si="0"/>
        <v>6490</v>
      </c>
      <c r="H13">
        <f t="shared" si="1"/>
        <v>26.28</v>
      </c>
      <c r="I13" s="14">
        <f t="shared" si="2"/>
        <v>0.14000000000000001</v>
      </c>
    </row>
    <row r="14" spans="1:9" x14ac:dyDescent="0.25">
      <c r="A14" t="s">
        <v>19</v>
      </c>
      <c r="B14" t="s">
        <v>29</v>
      </c>
      <c r="C14" s="10"/>
      <c r="D14" s="10"/>
      <c r="E14" s="10">
        <v>425</v>
      </c>
      <c r="F14" s="10"/>
      <c r="G14" s="10">
        <f t="shared" si="0"/>
        <v>425</v>
      </c>
      <c r="H14">
        <f t="shared" si="1"/>
        <v>1.72</v>
      </c>
      <c r="I14" s="14">
        <f t="shared" si="2"/>
        <v>8.9999999999999993E-3</v>
      </c>
    </row>
    <row r="15" spans="1:9" x14ac:dyDescent="0.25">
      <c r="A15" t="s">
        <v>19</v>
      </c>
      <c r="B15" t="s">
        <v>30</v>
      </c>
      <c r="C15" s="10"/>
      <c r="D15" s="10"/>
      <c r="E15" s="10">
        <v>26.83</v>
      </c>
      <c r="F15" s="10"/>
      <c r="G15" s="10">
        <f t="shared" si="0"/>
        <v>26.83</v>
      </c>
      <c r="H15">
        <f t="shared" si="1"/>
        <v>0.11</v>
      </c>
      <c r="I15" s="14">
        <f t="shared" si="2"/>
        <v>1E-3</v>
      </c>
    </row>
    <row r="16" spans="1:9" x14ac:dyDescent="0.25">
      <c r="A16" t="s">
        <v>19</v>
      </c>
      <c r="B16" t="s">
        <v>34</v>
      </c>
      <c r="C16" s="10"/>
      <c r="D16" s="10"/>
      <c r="E16" s="10">
        <v>328.12</v>
      </c>
      <c r="F16" s="10"/>
      <c r="G16" s="10">
        <f t="shared" si="0"/>
        <v>328.12</v>
      </c>
      <c r="H16">
        <f t="shared" si="1"/>
        <v>1.33</v>
      </c>
      <c r="I16" s="14">
        <f t="shared" si="2"/>
        <v>7.0000000000000001E-3</v>
      </c>
    </row>
    <row r="17" spans="1:9" x14ac:dyDescent="0.25">
      <c r="A17" t="s">
        <v>19</v>
      </c>
      <c r="B17" t="s">
        <v>35</v>
      </c>
      <c r="C17" s="10"/>
      <c r="D17" s="10"/>
      <c r="E17" s="10">
        <v>58.02</v>
      </c>
      <c r="F17" s="10"/>
      <c r="G17" s="10">
        <f t="shared" si="0"/>
        <v>58.02</v>
      </c>
      <c r="H17">
        <f t="shared" si="1"/>
        <v>0.23</v>
      </c>
      <c r="I17" s="14">
        <f t="shared" si="2"/>
        <v>1E-3</v>
      </c>
    </row>
    <row r="18" spans="1:9" x14ac:dyDescent="0.25">
      <c r="A18" t="s">
        <v>19</v>
      </c>
      <c r="B18" t="s">
        <v>36</v>
      </c>
      <c r="C18" s="10"/>
      <c r="D18" s="10"/>
      <c r="E18" s="10">
        <v>3846.28</v>
      </c>
      <c r="F18" s="10"/>
      <c r="G18" s="10">
        <f t="shared" si="0"/>
        <v>3846.28</v>
      </c>
      <c r="H18">
        <f t="shared" si="1"/>
        <v>15.57</v>
      </c>
      <c r="I18" s="14">
        <f t="shared" si="2"/>
        <v>8.3000000000000004E-2</v>
      </c>
    </row>
    <row r="19" spans="1:9" x14ac:dyDescent="0.25">
      <c r="A19" t="s">
        <v>19</v>
      </c>
      <c r="B19" t="s">
        <v>38</v>
      </c>
      <c r="C19" s="10"/>
      <c r="D19" s="10"/>
      <c r="E19" s="10">
        <v>1368.72</v>
      </c>
      <c r="F19" s="10"/>
      <c r="G19" s="10">
        <f t="shared" si="0"/>
        <v>1368.72</v>
      </c>
      <c r="H19">
        <f t="shared" si="1"/>
        <v>5.54</v>
      </c>
      <c r="I19" s="14">
        <f t="shared" si="2"/>
        <v>0.03</v>
      </c>
    </row>
    <row r="20" spans="1:9" x14ac:dyDescent="0.25">
      <c r="A20" t="s">
        <v>19</v>
      </c>
      <c r="B20" t="s">
        <v>39</v>
      </c>
      <c r="C20" s="10"/>
      <c r="D20" s="10"/>
      <c r="E20" s="10">
        <v>235.95</v>
      </c>
      <c r="F20" s="10"/>
      <c r="G20" s="10">
        <f t="shared" si="0"/>
        <v>235.95</v>
      </c>
      <c r="H20">
        <f t="shared" si="1"/>
        <v>0.96</v>
      </c>
      <c r="I20" s="14">
        <f t="shared" si="2"/>
        <v>5.0000000000000001E-3</v>
      </c>
    </row>
    <row r="21" spans="1:9" x14ac:dyDescent="0.25">
      <c r="A21" t="s">
        <v>19</v>
      </c>
      <c r="B21" t="s">
        <v>31</v>
      </c>
      <c r="C21" s="10"/>
      <c r="D21" s="10"/>
      <c r="E21" s="10"/>
      <c r="F21" s="10"/>
      <c r="G21" s="10">
        <f t="shared" si="0"/>
        <v>0</v>
      </c>
      <c r="H21">
        <f t="shared" si="1"/>
        <v>0</v>
      </c>
      <c r="I21" s="14">
        <f t="shared" si="2"/>
        <v>0</v>
      </c>
    </row>
    <row r="22" spans="1:9" x14ac:dyDescent="0.25">
      <c r="A22" t="s">
        <v>19</v>
      </c>
      <c r="B22" t="s">
        <v>32</v>
      </c>
      <c r="C22" s="10"/>
      <c r="D22" s="10"/>
      <c r="E22" s="10"/>
      <c r="F22" s="10"/>
      <c r="G22" s="10">
        <f t="shared" si="0"/>
        <v>0</v>
      </c>
      <c r="H22">
        <f t="shared" si="1"/>
        <v>0</v>
      </c>
      <c r="I22" s="14">
        <f t="shared" si="2"/>
        <v>0</v>
      </c>
    </row>
    <row r="23" spans="1:9" x14ac:dyDescent="0.25">
      <c r="A23" t="s">
        <v>19</v>
      </c>
      <c r="B23" t="s">
        <v>41</v>
      </c>
      <c r="C23" s="10"/>
      <c r="D23" s="10"/>
      <c r="E23" s="10"/>
      <c r="F23" s="10"/>
      <c r="G23" s="10">
        <f t="shared" si="0"/>
        <v>0</v>
      </c>
      <c r="H23">
        <f t="shared" si="1"/>
        <v>0</v>
      </c>
      <c r="I23" s="14">
        <f t="shared" si="2"/>
        <v>0</v>
      </c>
    </row>
    <row r="24" spans="1:9" x14ac:dyDescent="0.25">
      <c r="A24" t="s">
        <v>19</v>
      </c>
      <c r="B24" t="s">
        <v>22</v>
      </c>
      <c r="C24" s="10"/>
      <c r="D24" s="10"/>
      <c r="E24" s="10"/>
      <c r="F24" s="10"/>
      <c r="G24" s="10">
        <f t="shared" si="0"/>
        <v>0</v>
      </c>
      <c r="H24">
        <f t="shared" si="1"/>
        <v>0</v>
      </c>
      <c r="I24" s="14">
        <f t="shared" si="2"/>
        <v>0</v>
      </c>
    </row>
    <row r="25" spans="1:9" x14ac:dyDescent="0.25">
      <c r="A25" t="s">
        <v>19</v>
      </c>
      <c r="B25" t="s">
        <v>28</v>
      </c>
      <c r="C25" s="10"/>
      <c r="D25" s="10"/>
      <c r="E25" s="10"/>
      <c r="F25" s="10"/>
      <c r="G25" s="10">
        <f t="shared" si="0"/>
        <v>0</v>
      </c>
      <c r="H25">
        <f t="shared" si="1"/>
        <v>0</v>
      </c>
      <c r="I25" s="14">
        <f t="shared" si="2"/>
        <v>0</v>
      </c>
    </row>
    <row r="26" spans="1:9" x14ac:dyDescent="0.25">
      <c r="A26" t="s">
        <v>19</v>
      </c>
      <c r="B26" t="s">
        <v>42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 s="14">
        <f t="shared" si="2"/>
        <v>0</v>
      </c>
    </row>
    <row r="27" spans="1:9" x14ac:dyDescent="0.25">
      <c r="A27" t="s">
        <v>19</v>
      </c>
      <c r="B27" t="s">
        <v>33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37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43</v>
      </c>
      <c r="B29" t="s">
        <v>44</v>
      </c>
      <c r="C29" s="10">
        <v>13200</v>
      </c>
      <c r="D29" s="10"/>
      <c r="E29" s="10"/>
      <c r="F29" s="10"/>
      <c r="G29" s="10">
        <f t="shared" si="0"/>
        <v>13200</v>
      </c>
      <c r="H29">
        <f t="shared" si="1"/>
        <v>53.44</v>
      </c>
      <c r="I29" s="14">
        <f t="shared" si="2"/>
        <v>0.28599999999999998</v>
      </c>
    </row>
    <row r="30" spans="1:9" x14ac:dyDescent="0.25">
      <c r="A30" t="s">
        <v>43</v>
      </c>
      <c r="B30" t="s">
        <v>45</v>
      </c>
      <c r="C30" s="10"/>
      <c r="D30" s="10"/>
      <c r="E30" s="10">
        <v>2038.72</v>
      </c>
      <c r="F30" s="10"/>
      <c r="G30" s="10">
        <f t="shared" si="0"/>
        <v>2038.72</v>
      </c>
      <c r="H30">
        <f t="shared" si="1"/>
        <v>8.25</v>
      </c>
      <c r="I30" s="14">
        <f t="shared" si="2"/>
        <v>4.3999999999999997E-2</v>
      </c>
    </row>
    <row r="31" spans="1:9" x14ac:dyDescent="0.25">
      <c r="A31" t="s">
        <v>43</v>
      </c>
      <c r="B31" t="s">
        <v>46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15</v>
      </c>
      <c r="B32" t="s">
        <v>18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8" x14ac:dyDescent="0.25">
      <c r="A33" s="3" t="s">
        <v>253</v>
      </c>
      <c r="B33" s="3"/>
      <c r="C33" s="8">
        <f t="shared" ref="C33:H33" si="3">SUM(C8:C32)</f>
        <v>34140</v>
      </c>
      <c r="D33" s="8">
        <f t="shared" si="3"/>
        <v>0</v>
      </c>
      <c r="E33" s="8">
        <f t="shared" si="3"/>
        <v>12067.29</v>
      </c>
      <c r="F33" s="8">
        <f t="shared" si="3"/>
        <v>0</v>
      </c>
      <c r="G33" s="8">
        <f t="shared" si="3"/>
        <v>46207.290000000008</v>
      </c>
      <c r="H33" s="3">
        <f t="shared" si="3"/>
        <v>187.08</v>
      </c>
    </row>
    <row r="34" spans="1:8" x14ac:dyDescent="0.25">
      <c r="A34" s="3" t="s">
        <v>14</v>
      </c>
      <c r="B34" s="3"/>
      <c r="C34" s="13">
        <f>ROUND(C33/G33,2)</f>
        <v>0.74</v>
      </c>
      <c r="D34" s="13">
        <f>ROUND(D33/G33,2)</f>
        <v>0</v>
      </c>
      <c r="E34" s="13">
        <f>ROUND(E33/G33,2)</f>
        <v>0.26</v>
      </c>
      <c r="F34" s="13">
        <f>ROUND(F33/G33,2)</f>
        <v>0</v>
      </c>
      <c r="G34" s="3"/>
      <c r="H34" s="3"/>
    </row>
    <row r="35" spans="1:8" x14ac:dyDescent="0.25">
      <c r="A35" s="3" t="s">
        <v>47</v>
      </c>
      <c r="B35" s="3"/>
      <c r="C35" s="3"/>
      <c r="D35" s="3"/>
      <c r="E35" s="3"/>
      <c r="F35" s="3"/>
      <c r="G35" s="3"/>
      <c r="H35" s="3"/>
    </row>
    <row r="36" spans="1:8" x14ac:dyDescent="0.25">
      <c r="A36" s="3" t="s">
        <v>48</v>
      </c>
      <c r="B36" s="3"/>
      <c r="C36" s="8">
        <v>20940</v>
      </c>
      <c r="D36" s="8">
        <v>0</v>
      </c>
      <c r="E36" s="8">
        <v>10028.57</v>
      </c>
      <c r="F36" s="8">
        <v>0</v>
      </c>
      <c r="G36" s="8">
        <f>SUM(C36:F36)</f>
        <v>30968.57</v>
      </c>
      <c r="H36" s="3">
        <f>ROUND(G36/247,2)</f>
        <v>125.38</v>
      </c>
    </row>
    <row r="37" spans="1:8" x14ac:dyDescent="0.25">
      <c r="A37" s="3" t="s">
        <v>49</v>
      </c>
      <c r="B37" s="3"/>
      <c r="C37" s="8">
        <v>13200</v>
      </c>
      <c r="D37" s="8">
        <v>0</v>
      </c>
      <c r="E37" s="8">
        <v>2038.72</v>
      </c>
      <c r="F37" s="8">
        <v>0</v>
      </c>
      <c r="G37" s="8">
        <f>SUM(C37:F37)</f>
        <v>15238.72</v>
      </c>
      <c r="H37" s="3">
        <f>ROUND(G37/247,2)</f>
        <v>61.7</v>
      </c>
    </row>
    <row r="38" spans="1:8" x14ac:dyDescent="0.25">
      <c r="A38" s="3" t="s">
        <v>50</v>
      </c>
      <c r="B38" s="3"/>
      <c r="C38" s="8">
        <v>0</v>
      </c>
      <c r="D38" s="8">
        <v>0</v>
      </c>
      <c r="E38" s="8">
        <v>0</v>
      </c>
      <c r="F38" s="8">
        <v>0</v>
      </c>
      <c r="G38" s="8">
        <f>SUM(C38:F38)</f>
        <v>0</v>
      </c>
      <c r="H38" s="3">
        <f>ROUND(G38/247,2)</f>
        <v>0</v>
      </c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 t="s">
        <v>2</v>
      </c>
      <c r="D40" s="3">
        <v>2022</v>
      </c>
      <c r="E40" s="3" t="s">
        <v>51</v>
      </c>
      <c r="F40" s="3"/>
      <c r="G40" s="3"/>
      <c r="H40" s="3"/>
    </row>
    <row r="41" spans="1:8" x14ac:dyDescent="0.25">
      <c r="A41" s="3" t="s">
        <v>52</v>
      </c>
      <c r="B41" s="3"/>
      <c r="C41" s="13">
        <v>0.69489999999999996</v>
      </c>
      <c r="D41" s="13">
        <v>0.69569999999999999</v>
      </c>
      <c r="E41" s="13">
        <v>0.77659999999999996</v>
      </c>
      <c r="F41" s="3"/>
      <c r="G41" s="3"/>
      <c r="H41" s="3"/>
    </row>
    <row r="42" spans="1:8" x14ac:dyDescent="0.25">
      <c r="A42" s="3" t="s">
        <v>53</v>
      </c>
      <c r="B42" s="3"/>
      <c r="C42" s="13">
        <v>0.69489999999999996</v>
      </c>
      <c r="D42" s="13">
        <v>0.65469999999999995</v>
      </c>
      <c r="E42" s="13">
        <v>0.75900000000000001</v>
      </c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 t="s">
        <v>256</v>
      </c>
      <c r="B44" s="3"/>
      <c r="C44" s="3" t="s">
        <v>2</v>
      </c>
      <c r="D44" s="3" t="s">
        <v>194</v>
      </c>
      <c r="E44" s="3" t="s">
        <v>55</v>
      </c>
      <c r="F44" s="3" t="s">
        <v>254</v>
      </c>
      <c r="G44" s="3"/>
      <c r="H44" s="3"/>
    </row>
    <row r="45" spans="1:8" x14ac:dyDescent="0.25">
      <c r="A45" s="3" t="s">
        <v>56</v>
      </c>
      <c r="B45" s="3"/>
      <c r="C45" s="3"/>
      <c r="D45" s="3">
        <v>100.24</v>
      </c>
      <c r="E45" s="3">
        <v>81.5</v>
      </c>
      <c r="F45" s="3">
        <v>50.61</v>
      </c>
      <c r="G45" s="3"/>
      <c r="H45" s="3"/>
    </row>
    <row r="46" spans="1:8" x14ac:dyDescent="0.25">
      <c r="A46" s="3" t="s">
        <v>57</v>
      </c>
      <c r="B46" s="3"/>
      <c r="C46" s="3"/>
      <c r="D46" s="3">
        <v>70.150000000000006</v>
      </c>
      <c r="E46" s="3">
        <v>58.24</v>
      </c>
      <c r="F46" s="3">
        <v>57.37</v>
      </c>
      <c r="G46" s="3"/>
      <c r="H46" s="3"/>
    </row>
    <row r="47" spans="1:8" x14ac:dyDescent="0.25">
      <c r="A47" s="3" t="s">
        <v>58</v>
      </c>
      <c r="B47" s="3"/>
      <c r="C47" s="3"/>
      <c r="D47" s="3">
        <v>266.18</v>
      </c>
      <c r="E47" s="3">
        <v>261.52999999999997</v>
      </c>
      <c r="F47" s="3">
        <v>249.57</v>
      </c>
      <c r="G47" s="3"/>
      <c r="H47" s="3"/>
    </row>
    <row r="48" spans="1:8" x14ac:dyDescent="0.25">
      <c r="A48" s="3" t="s">
        <v>59</v>
      </c>
      <c r="B48" s="3"/>
      <c r="C48" s="3"/>
      <c r="D48" s="3">
        <v>115.61</v>
      </c>
      <c r="E48" s="3">
        <v>103.11</v>
      </c>
      <c r="F48" s="3">
        <v>71.400000000000006</v>
      </c>
      <c r="G48" s="3"/>
      <c r="H4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I55"/>
  <sheetViews>
    <sheetView topLeftCell="A24" workbookViewId="0">
      <selection activeCell="G52" sqref="G52:G55"/>
    </sheetView>
  </sheetViews>
  <sheetFormatPr defaultRowHeight="15" x14ac:dyDescent="0.25"/>
  <cols>
    <col min="1" max="1" width="52.85546875" bestFit="1" customWidth="1"/>
    <col min="2" max="2" width="39.42578125" bestFit="1" customWidth="1"/>
    <col min="3" max="3" width="12.5703125" bestFit="1" customWidth="1"/>
    <col min="4" max="4" width="23.28515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195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2803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20</v>
      </c>
      <c r="F9" s="10"/>
      <c r="G9" s="10">
        <f t="shared" ref="G9:G39" si="0">SUM(C9:F9)</f>
        <v>20</v>
      </c>
      <c r="H9">
        <f t="shared" ref="H9:H39" si="1">ROUND(G9/2803,2)</f>
        <v>0.01</v>
      </c>
      <c r="I9" s="14">
        <f t="shared" ref="I9:I39" si="2">ROUND(G9/$G$40,3)</f>
        <v>0</v>
      </c>
    </row>
    <row r="10" spans="1:9" x14ac:dyDescent="0.25">
      <c r="A10" t="s">
        <v>19</v>
      </c>
      <c r="B10" t="s">
        <v>20</v>
      </c>
      <c r="C10" s="10">
        <v>40960</v>
      </c>
      <c r="D10" s="10"/>
      <c r="E10" s="10"/>
      <c r="F10" s="10"/>
      <c r="G10" s="10">
        <f t="shared" si="0"/>
        <v>40960</v>
      </c>
      <c r="H10">
        <f t="shared" si="1"/>
        <v>14.61</v>
      </c>
      <c r="I10" s="14">
        <f t="shared" si="2"/>
        <v>7.9000000000000001E-2</v>
      </c>
    </row>
    <row r="11" spans="1:9" x14ac:dyDescent="0.25">
      <c r="A11" t="s">
        <v>19</v>
      </c>
      <c r="B11" t="s">
        <v>21</v>
      </c>
      <c r="C11" s="10">
        <v>52410</v>
      </c>
      <c r="D11" s="10"/>
      <c r="E11" s="10"/>
      <c r="F11" s="10"/>
      <c r="G11" s="10">
        <f t="shared" si="0"/>
        <v>52410</v>
      </c>
      <c r="H11">
        <f t="shared" si="1"/>
        <v>18.7</v>
      </c>
      <c r="I11" s="14">
        <f t="shared" si="2"/>
        <v>0.10199999999999999</v>
      </c>
    </row>
    <row r="12" spans="1:9" x14ac:dyDescent="0.25">
      <c r="A12" t="s">
        <v>19</v>
      </c>
      <c r="B12" t="s">
        <v>76</v>
      </c>
      <c r="C12" s="10"/>
      <c r="D12" s="10"/>
      <c r="E12" s="10">
        <v>24</v>
      </c>
      <c r="F12" s="10"/>
      <c r="G12" s="10">
        <f t="shared" si="0"/>
        <v>24</v>
      </c>
      <c r="H12">
        <f t="shared" si="1"/>
        <v>0.01</v>
      </c>
      <c r="I12" s="14">
        <f t="shared" si="2"/>
        <v>0</v>
      </c>
    </row>
    <row r="13" spans="1:9" x14ac:dyDescent="0.25">
      <c r="A13" t="s">
        <v>19</v>
      </c>
      <c r="B13" t="s">
        <v>41</v>
      </c>
      <c r="C13" s="10"/>
      <c r="D13" s="10"/>
      <c r="E13" s="10">
        <v>74</v>
      </c>
      <c r="F13" s="10"/>
      <c r="G13" s="10">
        <f t="shared" si="0"/>
        <v>74</v>
      </c>
      <c r="H13">
        <f t="shared" si="1"/>
        <v>0.03</v>
      </c>
      <c r="I13" s="14">
        <f t="shared" si="2"/>
        <v>0</v>
      </c>
    </row>
    <row r="14" spans="1:9" x14ac:dyDescent="0.25">
      <c r="A14" t="s">
        <v>19</v>
      </c>
      <c r="B14" t="s">
        <v>22</v>
      </c>
      <c r="C14" s="10"/>
      <c r="D14" s="10"/>
      <c r="E14" s="10">
        <v>800</v>
      </c>
      <c r="F14" s="10"/>
      <c r="G14" s="10">
        <f t="shared" si="0"/>
        <v>800</v>
      </c>
      <c r="H14">
        <f t="shared" si="1"/>
        <v>0.28999999999999998</v>
      </c>
      <c r="I14" s="14">
        <f t="shared" si="2"/>
        <v>2E-3</v>
      </c>
    </row>
    <row r="15" spans="1:9" x14ac:dyDescent="0.25">
      <c r="A15" t="s">
        <v>19</v>
      </c>
      <c r="B15" t="s">
        <v>23</v>
      </c>
      <c r="C15" s="10"/>
      <c r="D15" s="10"/>
      <c r="E15" s="10">
        <v>25590</v>
      </c>
      <c r="F15" s="10"/>
      <c r="G15" s="10">
        <f t="shared" si="0"/>
        <v>25590</v>
      </c>
      <c r="H15">
        <f t="shared" si="1"/>
        <v>9.1300000000000008</v>
      </c>
      <c r="I15" s="14">
        <f t="shared" si="2"/>
        <v>0.05</v>
      </c>
    </row>
    <row r="16" spans="1:9" x14ac:dyDescent="0.25">
      <c r="A16" t="s">
        <v>19</v>
      </c>
      <c r="B16" t="s">
        <v>24</v>
      </c>
      <c r="C16" s="10">
        <v>52510</v>
      </c>
      <c r="D16" s="10"/>
      <c r="E16" s="10"/>
      <c r="F16" s="10"/>
      <c r="G16" s="10">
        <f t="shared" si="0"/>
        <v>52510</v>
      </c>
      <c r="H16">
        <f t="shared" si="1"/>
        <v>18.73</v>
      </c>
      <c r="I16" s="14">
        <f t="shared" si="2"/>
        <v>0.10199999999999999</v>
      </c>
    </row>
    <row r="17" spans="1:9" x14ac:dyDescent="0.25">
      <c r="A17" t="s">
        <v>19</v>
      </c>
      <c r="B17" t="s">
        <v>66</v>
      </c>
      <c r="C17" s="10"/>
      <c r="D17" s="10"/>
      <c r="E17" s="10">
        <v>1725</v>
      </c>
      <c r="F17" s="10"/>
      <c r="G17" s="10">
        <f t="shared" si="0"/>
        <v>1725</v>
      </c>
      <c r="H17">
        <f t="shared" si="1"/>
        <v>0.62</v>
      </c>
      <c r="I17" s="14">
        <f t="shared" si="2"/>
        <v>3.0000000000000001E-3</v>
      </c>
    </row>
    <row r="18" spans="1:9" x14ac:dyDescent="0.25">
      <c r="A18" t="s">
        <v>19</v>
      </c>
      <c r="B18" t="s">
        <v>25</v>
      </c>
      <c r="C18" s="10">
        <v>100750</v>
      </c>
      <c r="D18" s="10"/>
      <c r="E18" s="10"/>
      <c r="F18" s="10">
        <v>230</v>
      </c>
      <c r="G18" s="10">
        <f t="shared" si="0"/>
        <v>100980</v>
      </c>
      <c r="H18">
        <f t="shared" si="1"/>
        <v>36.03</v>
      </c>
      <c r="I18" s="14">
        <f t="shared" si="2"/>
        <v>0.19600000000000001</v>
      </c>
    </row>
    <row r="19" spans="1:9" x14ac:dyDescent="0.25">
      <c r="A19" t="s">
        <v>19</v>
      </c>
      <c r="B19" t="s">
        <v>26</v>
      </c>
      <c r="C19" s="10"/>
      <c r="D19" s="10"/>
      <c r="E19" s="10">
        <v>482</v>
      </c>
      <c r="F19" s="10"/>
      <c r="G19" s="10">
        <f t="shared" si="0"/>
        <v>482</v>
      </c>
      <c r="H19">
        <f t="shared" si="1"/>
        <v>0.17</v>
      </c>
      <c r="I19" s="14">
        <f t="shared" si="2"/>
        <v>1E-3</v>
      </c>
    </row>
    <row r="20" spans="1:9" x14ac:dyDescent="0.25">
      <c r="A20" t="s">
        <v>19</v>
      </c>
      <c r="B20" t="s">
        <v>27</v>
      </c>
      <c r="C20" s="10"/>
      <c r="D20" s="10"/>
      <c r="E20" s="10">
        <v>169</v>
      </c>
      <c r="F20" s="10"/>
      <c r="G20" s="10">
        <f t="shared" si="0"/>
        <v>169</v>
      </c>
      <c r="H20">
        <f t="shared" si="1"/>
        <v>0.06</v>
      </c>
      <c r="I20" s="14">
        <f t="shared" si="2"/>
        <v>0</v>
      </c>
    </row>
    <row r="21" spans="1:9" x14ac:dyDescent="0.25">
      <c r="A21" t="s">
        <v>19</v>
      </c>
      <c r="B21" t="s">
        <v>28</v>
      </c>
      <c r="C21" s="10"/>
      <c r="D21" s="10"/>
      <c r="E21" s="10">
        <v>110</v>
      </c>
      <c r="F21" s="10"/>
      <c r="G21" s="10">
        <f t="shared" si="0"/>
        <v>110</v>
      </c>
      <c r="H21">
        <f t="shared" si="1"/>
        <v>0.04</v>
      </c>
      <c r="I21" s="14">
        <f t="shared" si="2"/>
        <v>0</v>
      </c>
    </row>
    <row r="22" spans="1:9" x14ac:dyDescent="0.25">
      <c r="A22" t="s">
        <v>19</v>
      </c>
      <c r="B22" t="s">
        <v>29</v>
      </c>
      <c r="C22" s="10"/>
      <c r="D22" s="10"/>
      <c r="E22" s="10">
        <v>2410</v>
      </c>
      <c r="F22" s="10"/>
      <c r="G22" s="10">
        <f t="shared" si="0"/>
        <v>2410</v>
      </c>
      <c r="H22">
        <f t="shared" si="1"/>
        <v>0.86</v>
      </c>
      <c r="I22" s="14">
        <f t="shared" si="2"/>
        <v>5.0000000000000001E-3</v>
      </c>
    </row>
    <row r="23" spans="1:9" x14ac:dyDescent="0.25">
      <c r="A23" t="s">
        <v>19</v>
      </c>
      <c r="B23" t="s">
        <v>30</v>
      </c>
      <c r="C23" s="10"/>
      <c r="D23" s="10"/>
      <c r="E23" s="10">
        <v>280</v>
      </c>
      <c r="F23" s="10"/>
      <c r="G23" s="10">
        <f t="shared" si="0"/>
        <v>280</v>
      </c>
      <c r="H23">
        <f t="shared" si="1"/>
        <v>0.1</v>
      </c>
      <c r="I23" s="14">
        <f t="shared" si="2"/>
        <v>1E-3</v>
      </c>
    </row>
    <row r="24" spans="1:9" x14ac:dyDescent="0.25">
      <c r="A24" t="s">
        <v>19</v>
      </c>
      <c r="B24" t="s">
        <v>32</v>
      </c>
      <c r="C24" s="10"/>
      <c r="D24" s="10"/>
      <c r="E24" s="10">
        <v>735</v>
      </c>
      <c r="F24" s="10"/>
      <c r="G24" s="10">
        <f t="shared" si="0"/>
        <v>735</v>
      </c>
      <c r="H24">
        <f t="shared" si="1"/>
        <v>0.26</v>
      </c>
      <c r="I24" s="14">
        <f t="shared" si="2"/>
        <v>1E-3</v>
      </c>
    </row>
    <row r="25" spans="1:9" x14ac:dyDescent="0.25">
      <c r="A25" t="s">
        <v>19</v>
      </c>
      <c r="B25" t="s">
        <v>42</v>
      </c>
      <c r="C25" s="10"/>
      <c r="D25" s="10">
        <v>120</v>
      </c>
      <c r="E25" s="10"/>
      <c r="F25" s="10"/>
      <c r="G25" s="10">
        <f t="shared" si="0"/>
        <v>120</v>
      </c>
      <c r="H25">
        <f t="shared" si="1"/>
        <v>0.04</v>
      </c>
      <c r="I25" s="14">
        <f t="shared" si="2"/>
        <v>0</v>
      </c>
    </row>
    <row r="26" spans="1:9" x14ac:dyDescent="0.25">
      <c r="A26" t="s">
        <v>19</v>
      </c>
      <c r="B26" t="s">
        <v>33</v>
      </c>
      <c r="C26" s="10"/>
      <c r="D26" s="10">
        <v>160</v>
      </c>
      <c r="E26" s="10"/>
      <c r="F26" s="10"/>
      <c r="G26" s="10">
        <f t="shared" si="0"/>
        <v>160</v>
      </c>
      <c r="H26">
        <f t="shared" si="1"/>
        <v>0.06</v>
      </c>
      <c r="I26" s="14">
        <f t="shared" si="2"/>
        <v>0</v>
      </c>
    </row>
    <row r="27" spans="1:9" x14ac:dyDescent="0.25">
      <c r="A27" t="s">
        <v>19</v>
      </c>
      <c r="B27" t="s">
        <v>34</v>
      </c>
      <c r="C27" s="10"/>
      <c r="D27" s="10"/>
      <c r="E27" s="10">
        <v>1922</v>
      </c>
      <c r="F27" s="10"/>
      <c r="G27" s="10">
        <f t="shared" si="0"/>
        <v>1922</v>
      </c>
      <c r="H27">
        <f t="shared" si="1"/>
        <v>0.69</v>
      </c>
      <c r="I27" s="14">
        <f t="shared" si="2"/>
        <v>4.0000000000000001E-3</v>
      </c>
    </row>
    <row r="28" spans="1:9" x14ac:dyDescent="0.25">
      <c r="A28" t="s">
        <v>19</v>
      </c>
      <c r="B28" t="s">
        <v>35</v>
      </c>
      <c r="C28" s="10"/>
      <c r="D28" s="10"/>
      <c r="E28" s="10">
        <v>510</v>
      </c>
      <c r="F28" s="10"/>
      <c r="G28" s="10">
        <f t="shared" si="0"/>
        <v>510</v>
      </c>
      <c r="H28">
        <f t="shared" si="1"/>
        <v>0.18</v>
      </c>
      <c r="I28" s="14">
        <f t="shared" si="2"/>
        <v>1E-3</v>
      </c>
    </row>
    <row r="29" spans="1:9" x14ac:dyDescent="0.25">
      <c r="A29" t="s">
        <v>19</v>
      </c>
      <c r="B29" t="s">
        <v>40</v>
      </c>
      <c r="C29" s="10"/>
      <c r="D29" s="10"/>
      <c r="E29" s="10">
        <v>6225</v>
      </c>
      <c r="F29" s="10"/>
      <c r="G29" s="10">
        <f t="shared" si="0"/>
        <v>6225</v>
      </c>
      <c r="H29">
        <f t="shared" si="1"/>
        <v>2.2200000000000002</v>
      </c>
      <c r="I29" s="14">
        <f t="shared" si="2"/>
        <v>1.2E-2</v>
      </c>
    </row>
    <row r="30" spans="1:9" x14ac:dyDescent="0.25">
      <c r="A30" t="s">
        <v>19</v>
      </c>
      <c r="B30" t="s">
        <v>36</v>
      </c>
      <c r="C30" s="10"/>
      <c r="D30" s="10"/>
      <c r="E30" s="10">
        <v>34110</v>
      </c>
      <c r="F30" s="10"/>
      <c r="G30" s="10">
        <f t="shared" si="0"/>
        <v>34110</v>
      </c>
      <c r="H30">
        <f t="shared" si="1"/>
        <v>12.17</v>
      </c>
      <c r="I30" s="14">
        <f t="shared" si="2"/>
        <v>6.6000000000000003E-2</v>
      </c>
    </row>
    <row r="31" spans="1:9" x14ac:dyDescent="0.25">
      <c r="A31" t="s">
        <v>19</v>
      </c>
      <c r="B31" t="s">
        <v>38</v>
      </c>
      <c r="C31" s="10"/>
      <c r="D31" s="10"/>
      <c r="E31" s="10">
        <v>11310</v>
      </c>
      <c r="F31" s="10"/>
      <c r="G31" s="10">
        <f t="shared" si="0"/>
        <v>11310</v>
      </c>
      <c r="H31">
        <f t="shared" si="1"/>
        <v>4.03</v>
      </c>
      <c r="I31" s="14">
        <f t="shared" si="2"/>
        <v>2.1999999999999999E-2</v>
      </c>
    </row>
    <row r="32" spans="1:9" x14ac:dyDescent="0.25">
      <c r="A32" t="s">
        <v>19</v>
      </c>
      <c r="B32" t="s">
        <v>39</v>
      </c>
      <c r="C32" s="10"/>
      <c r="D32" s="10"/>
      <c r="E32" s="10">
        <v>40700</v>
      </c>
      <c r="F32" s="10"/>
      <c r="G32" s="10">
        <f t="shared" si="0"/>
        <v>40700</v>
      </c>
      <c r="H32">
        <f t="shared" si="1"/>
        <v>14.52</v>
      </c>
      <c r="I32" s="14">
        <f t="shared" si="2"/>
        <v>7.9000000000000001E-2</v>
      </c>
    </row>
    <row r="33" spans="1:9" x14ac:dyDescent="0.25">
      <c r="A33" t="s">
        <v>19</v>
      </c>
      <c r="B33" t="s">
        <v>67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43</v>
      </c>
      <c r="B34" t="s">
        <v>44</v>
      </c>
      <c r="C34" s="10">
        <v>105500</v>
      </c>
      <c r="D34" s="10"/>
      <c r="E34" s="10"/>
      <c r="F34" s="10"/>
      <c r="G34" s="10">
        <f t="shared" si="0"/>
        <v>105500</v>
      </c>
      <c r="H34">
        <f t="shared" si="1"/>
        <v>37.64</v>
      </c>
      <c r="I34" s="14">
        <f t="shared" si="2"/>
        <v>0.20399999999999999</v>
      </c>
    </row>
    <row r="35" spans="1:9" x14ac:dyDescent="0.25">
      <c r="A35" t="s">
        <v>43</v>
      </c>
      <c r="B35" t="s">
        <v>45</v>
      </c>
      <c r="C35" s="10"/>
      <c r="D35" s="10"/>
      <c r="E35" s="10">
        <v>36200</v>
      </c>
      <c r="F35" s="10"/>
      <c r="G35" s="10">
        <f t="shared" si="0"/>
        <v>36200</v>
      </c>
      <c r="H35">
        <f t="shared" si="1"/>
        <v>12.91</v>
      </c>
      <c r="I35" s="14">
        <f t="shared" si="2"/>
        <v>7.0000000000000007E-2</v>
      </c>
    </row>
    <row r="36" spans="1:9" x14ac:dyDescent="0.25">
      <c r="A36" t="s">
        <v>43</v>
      </c>
      <c r="B36" t="s">
        <v>46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4">
        <f t="shared" si="2"/>
        <v>0</v>
      </c>
    </row>
    <row r="37" spans="1:9" x14ac:dyDescent="0.25">
      <c r="A37" t="s">
        <v>15</v>
      </c>
      <c r="B37" t="s">
        <v>123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t="s">
        <v>15</v>
      </c>
      <c r="B38" t="s">
        <v>18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t="s">
        <v>15</v>
      </c>
      <c r="B39" t="s">
        <v>17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s="3" t="s">
        <v>253</v>
      </c>
      <c r="B40" s="3"/>
      <c r="C40" s="8">
        <f t="shared" ref="C40:H40" si="3">SUM(C8:C39)</f>
        <v>352130</v>
      </c>
      <c r="D40" s="8">
        <f t="shared" si="3"/>
        <v>280</v>
      </c>
      <c r="E40" s="8">
        <f t="shared" si="3"/>
        <v>163396</v>
      </c>
      <c r="F40" s="8">
        <f t="shared" si="3"/>
        <v>230</v>
      </c>
      <c r="G40" s="8">
        <f t="shared" si="3"/>
        <v>516036</v>
      </c>
      <c r="H40" s="3">
        <f t="shared" si="3"/>
        <v>184.11000000000004</v>
      </c>
    </row>
    <row r="41" spans="1:9" x14ac:dyDescent="0.25">
      <c r="A41" s="3" t="s">
        <v>14</v>
      </c>
      <c r="B41" s="3"/>
      <c r="C41" s="13">
        <f>ROUND(C40/G40,2)</f>
        <v>0.68</v>
      </c>
      <c r="D41" s="13">
        <f>ROUND(D40/G40,2)</f>
        <v>0</v>
      </c>
      <c r="E41" s="13">
        <f>ROUND(E40/G40,2)</f>
        <v>0.32</v>
      </c>
      <c r="F41" s="13">
        <f>ROUND(F40/G40,2)</f>
        <v>0</v>
      </c>
      <c r="G41" s="3"/>
      <c r="H41" s="3"/>
    </row>
    <row r="42" spans="1:9" x14ac:dyDescent="0.25">
      <c r="A42" s="3" t="s">
        <v>47</v>
      </c>
      <c r="B42" s="3"/>
      <c r="C42" s="3"/>
      <c r="D42" s="3"/>
      <c r="E42" s="3"/>
      <c r="F42" s="3"/>
      <c r="G42" s="3"/>
      <c r="H42" s="3"/>
    </row>
    <row r="43" spans="1:9" x14ac:dyDescent="0.25">
      <c r="A43" s="3" t="s">
        <v>48</v>
      </c>
      <c r="B43" s="3"/>
      <c r="C43" s="8">
        <v>246630</v>
      </c>
      <c r="D43" s="8">
        <v>280</v>
      </c>
      <c r="E43" s="8">
        <v>127196</v>
      </c>
      <c r="F43" s="8">
        <v>230</v>
      </c>
      <c r="G43" s="8">
        <f>SUM(C43:F43)</f>
        <v>374336</v>
      </c>
      <c r="H43" s="3">
        <f>ROUND(G43/2803,2)</f>
        <v>133.55000000000001</v>
      </c>
    </row>
    <row r="44" spans="1:9" x14ac:dyDescent="0.25">
      <c r="A44" s="3" t="s">
        <v>49</v>
      </c>
      <c r="B44" s="3"/>
      <c r="C44" s="8">
        <v>105500</v>
      </c>
      <c r="D44" s="8">
        <v>0</v>
      </c>
      <c r="E44" s="8">
        <v>36200</v>
      </c>
      <c r="F44" s="8">
        <v>0</v>
      </c>
      <c r="G44" s="8">
        <f>SUM(C44:F44)</f>
        <v>141700</v>
      </c>
      <c r="H44" s="3">
        <f>ROUND(G44/2803,2)</f>
        <v>50.55</v>
      </c>
    </row>
    <row r="45" spans="1:9" x14ac:dyDescent="0.25">
      <c r="A45" s="3" t="s">
        <v>50</v>
      </c>
      <c r="B45" s="3"/>
      <c r="C45" s="8">
        <v>0</v>
      </c>
      <c r="D45" s="8">
        <v>0</v>
      </c>
      <c r="E45" s="8">
        <v>0</v>
      </c>
      <c r="F45" s="8">
        <v>0</v>
      </c>
      <c r="G45" s="8">
        <f>SUM(C45:F45)</f>
        <v>0</v>
      </c>
      <c r="H45" s="3">
        <f>ROUND(G45/2803,2)</f>
        <v>0</v>
      </c>
    </row>
    <row r="46" spans="1:9" x14ac:dyDescent="0.25">
      <c r="A46" s="3"/>
      <c r="B46" s="3"/>
      <c r="C46" s="3"/>
      <c r="D46" s="3"/>
      <c r="E46" s="3"/>
      <c r="F46" s="3"/>
      <c r="G46" s="3"/>
      <c r="H46" s="3"/>
    </row>
    <row r="47" spans="1:9" x14ac:dyDescent="0.25">
      <c r="A47" s="3"/>
      <c r="B47" s="3"/>
      <c r="C47" s="3" t="s">
        <v>2</v>
      </c>
      <c r="D47" s="3">
        <v>2022</v>
      </c>
      <c r="E47" s="3" t="s">
        <v>51</v>
      </c>
      <c r="F47" s="3"/>
      <c r="G47" s="3"/>
      <c r="H47" s="3"/>
    </row>
    <row r="48" spans="1:9" x14ac:dyDescent="0.25">
      <c r="A48" s="3" t="s">
        <v>52</v>
      </c>
      <c r="B48" s="3"/>
      <c r="C48" s="13">
        <v>0.78449999999999998</v>
      </c>
      <c r="D48" s="13">
        <v>0.78210000000000002</v>
      </c>
      <c r="E48" s="13">
        <v>0.77659999999999996</v>
      </c>
      <c r="F48" s="3"/>
      <c r="G48" s="3"/>
      <c r="H48" s="3"/>
    </row>
    <row r="49" spans="1:8" x14ac:dyDescent="0.25">
      <c r="A49" s="3" t="s">
        <v>53</v>
      </c>
      <c r="B49" s="3"/>
      <c r="C49" s="13">
        <v>0.77659999999999996</v>
      </c>
      <c r="D49" s="13">
        <v>0.7722</v>
      </c>
      <c r="E49" s="13">
        <v>0.75900000000000001</v>
      </c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 t="s">
        <v>256</v>
      </c>
      <c r="B51" s="3"/>
      <c r="C51" s="3" t="s">
        <v>2</v>
      </c>
      <c r="D51" s="3" t="s">
        <v>196</v>
      </c>
      <c r="E51" s="3" t="s">
        <v>55</v>
      </c>
      <c r="F51" s="3" t="s">
        <v>254</v>
      </c>
      <c r="G51" s="3"/>
      <c r="H51" s="3"/>
    </row>
    <row r="52" spans="1:8" x14ac:dyDescent="0.25">
      <c r="A52" s="3" t="s">
        <v>56</v>
      </c>
      <c r="B52" s="3"/>
      <c r="C52" s="3"/>
      <c r="D52" s="3">
        <v>68.62</v>
      </c>
      <c r="E52" s="3">
        <v>81.5</v>
      </c>
      <c r="F52" s="3">
        <v>50.61</v>
      </c>
      <c r="G52" s="3"/>
      <c r="H52" s="3"/>
    </row>
    <row r="53" spans="1:8" x14ac:dyDescent="0.25">
      <c r="A53" s="3" t="s">
        <v>57</v>
      </c>
      <c r="B53" s="3"/>
      <c r="C53" s="3"/>
      <c r="D53" s="3">
        <v>67.05</v>
      </c>
      <c r="E53" s="3">
        <v>58.24</v>
      </c>
      <c r="F53" s="3">
        <v>57.37</v>
      </c>
      <c r="G53" s="3"/>
      <c r="H53" s="3"/>
    </row>
    <row r="54" spans="1:8" x14ac:dyDescent="0.25">
      <c r="A54" s="3" t="s">
        <v>58</v>
      </c>
      <c r="B54" s="3"/>
      <c r="C54" s="3"/>
      <c r="D54" s="3">
        <v>238.17</v>
      </c>
      <c r="E54" s="3">
        <v>261.52999999999997</v>
      </c>
      <c r="F54" s="3">
        <v>249.57</v>
      </c>
      <c r="G54" s="3"/>
      <c r="H54" s="3"/>
    </row>
    <row r="55" spans="1:8" x14ac:dyDescent="0.25">
      <c r="A55" s="3" t="s">
        <v>59</v>
      </c>
      <c r="B55" s="3"/>
      <c r="C55" s="3"/>
      <c r="D55" s="3">
        <v>90.52</v>
      </c>
      <c r="E55" s="3">
        <v>103.11</v>
      </c>
      <c r="F55" s="3">
        <v>71.400000000000006</v>
      </c>
      <c r="G55" s="3"/>
      <c r="H55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I49"/>
  <sheetViews>
    <sheetView topLeftCell="A24" workbookViewId="0">
      <selection activeCell="G46" sqref="G46:G49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6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197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496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11240</v>
      </c>
      <c r="D9" s="10"/>
      <c r="E9" s="10">
        <v>359.26</v>
      </c>
      <c r="F9" s="10">
        <v>160</v>
      </c>
      <c r="G9" s="10">
        <f t="shared" ref="G9:G33" si="0">SUM(C9:F9)</f>
        <v>11759.26</v>
      </c>
      <c r="H9">
        <f t="shared" ref="H9:H33" si="1">ROUND(G9/496,2)</f>
        <v>23.71</v>
      </c>
      <c r="I9" s="14">
        <f t="shared" ref="I9:I33" si="2">ROUND(G9/$G$34,3)</f>
        <v>0.09</v>
      </c>
    </row>
    <row r="10" spans="1:9" x14ac:dyDescent="0.25">
      <c r="A10" t="s">
        <v>19</v>
      </c>
      <c r="B10" t="s">
        <v>21</v>
      </c>
      <c r="C10" s="10">
        <v>17225</v>
      </c>
      <c r="D10" s="10"/>
      <c r="E10" s="10"/>
      <c r="F10" s="10"/>
      <c r="G10" s="10">
        <f t="shared" si="0"/>
        <v>17225</v>
      </c>
      <c r="H10">
        <f t="shared" si="1"/>
        <v>34.729999999999997</v>
      </c>
      <c r="I10" s="14">
        <f t="shared" si="2"/>
        <v>0.13100000000000001</v>
      </c>
    </row>
    <row r="11" spans="1:9" x14ac:dyDescent="0.25">
      <c r="A11" t="s">
        <v>19</v>
      </c>
      <c r="B11" t="s">
        <v>41</v>
      </c>
      <c r="C11" s="10"/>
      <c r="D11" s="10"/>
      <c r="E11" s="10">
        <v>26.35</v>
      </c>
      <c r="F11" s="10"/>
      <c r="G11" s="10">
        <f t="shared" si="0"/>
        <v>26.35</v>
      </c>
      <c r="H11">
        <f t="shared" si="1"/>
        <v>0.05</v>
      </c>
      <c r="I11" s="14">
        <f t="shared" si="2"/>
        <v>0</v>
      </c>
    </row>
    <row r="12" spans="1:9" x14ac:dyDescent="0.25">
      <c r="A12" t="s">
        <v>19</v>
      </c>
      <c r="B12" t="s">
        <v>23</v>
      </c>
      <c r="C12" s="10"/>
      <c r="D12" s="10"/>
      <c r="E12" s="10">
        <v>8129.05</v>
      </c>
      <c r="F12" s="10"/>
      <c r="G12" s="10">
        <f t="shared" si="0"/>
        <v>8129.05</v>
      </c>
      <c r="H12">
        <f t="shared" si="1"/>
        <v>16.39</v>
      </c>
      <c r="I12" s="14">
        <f t="shared" si="2"/>
        <v>6.2E-2</v>
      </c>
    </row>
    <row r="13" spans="1:9" x14ac:dyDescent="0.25">
      <c r="A13" t="s">
        <v>19</v>
      </c>
      <c r="B13" t="s">
        <v>24</v>
      </c>
      <c r="C13" s="10">
        <v>14490</v>
      </c>
      <c r="D13" s="10"/>
      <c r="E13" s="10">
        <v>1191.26</v>
      </c>
      <c r="F13" s="10">
        <v>180</v>
      </c>
      <c r="G13" s="10">
        <f t="shared" si="0"/>
        <v>15861.26</v>
      </c>
      <c r="H13">
        <f t="shared" si="1"/>
        <v>31.98</v>
      </c>
      <c r="I13" s="14">
        <f t="shared" si="2"/>
        <v>0.121</v>
      </c>
    </row>
    <row r="14" spans="1:9" x14ac:dyDescent="0.25">
      <c r="A14" t="s">
        <v>19</v>
      </c>
      <c r="B14" t="s">
        <v>25</v>
      </c>
      <c r="C14" s="10">
        <v>12490</v>
      </c>
      <c r="D14" s="10"/>
      <c r="E14" s="10"/>
      <c r="F14" s="10"/>
      <c r="G14" s="10">
        <f t="shared" si="0"/>
        <v>12490</v>
      </c>
      <c r="H14">
        <f t="shared" si="1"/>
        <v>25.18</v>
      </c>
      <c r="I14" s="14">
        <f t="shared" si="2"/>
        <v>9.5000000000000001E-2</v>
      </c>
    </row>
    <row r="15" spans="1:9" x14ac:dyDescent="0.25">
      <c r="A15" t="s">
        <v>19</v>
      </c>
      <c r="B15" t="s">
        <v>28</v>
      </c>
      <c r="C15" s="10"/>
      <c r="D15" s="10"/>
      <c r="E15" s="10">
        <v>12.25</v>
      </c>
      <c r="F15" s="10"/>
      <c r="G15" s="10">
        <f t="shared" si="0"/>
        <v>12.25</v>
      </c>
      <c r="H15">
        <f t="shared" si="1"/>
        <v>0.02</v>
      </c>
      <c r="I15" s="14">
        <f t="shared" si="2"/>
        <v>0</v>
      </c>
    </row>
    <row r="16" spans="1:9" x14ac:dyDescent="0.25">
      <c r="A16" t="s">
        <v>19</v>
      </c>
      <c r="B16" t="s">
        <v>29</v>
      </c>
      <c r="C16" s="10"/>
      <c r="D16" s="10"/>
      <c r="E16" s="10">
        <v>331.98</v>
      </c>
      <c r="F16" s="10"/>
      <c r="G16" s="10">
        <f t="shared" si="0"/>
        <v>331.98</v>
      </c>
      <c r="H16">
        <f t="shared" si="1"/>
        <v>0.67</v>
      </c>
      <c r="I16" s="14">
        <f t="shared" si="2"/>
        <v>3.0000000000000001E-3</v>
      </c>
    </row>
    <row r="17" spans="1:9" x14ac:dyDescent="0.25">
      <c r="A17" t="s">
        <v>19</v>
      </c>
      <c r="B17" t="s">
        <v>30</v>
      </c>
      <c r="C17" s="10"/>
      <c r="D17" s="10"/>
      <c r="E17" s="10">
        <v>9.23</v>
      </c>
      <c r="F17" s="10"/>
      <c r="G17" s="10">
        <f t="shared" si="0"/>
        <v>9.23</v>
      </c>
      <c r="H17">
        <f t="shared" si="1"/>
        <v>0.02</v>
      </c>
      <c r="I17" s="14">
        <f t="shared" si="2"/>
        <v>0</v>
      </c>
    </row>
    <row r="18" spans="1:9" x14ac:dyDescent="0.25">
      <c r="A18" t="s">
        <v>19</v>
      </c>
      <c r="B18" t="s">
        <v>32</v>
      </c>
      <c r="C18" s="10"/>
      <c r="D18" s="10"/>
      <c r="E18" s="10">
        <v>154.02000000000001</v>
      </c>
      <c r="F18" s="10"/>
      <c r="G18" s="10">
        <f t="shared" si="0"/>
        <v>154.02000000000001</v>
      </c>
      <c r="H18">
        <f t="shared" si="1"/>
        <v>0.31</v>
      </c>
      <c r="I18" s="14">
        <f t="shared" si="2"/>
        <v>1E-3</v>
      </c>
    </row>
    <row r="19" spans="1:9" x14ac:dyDescent="0.25">
      <c r="A19" t="s">
        <v>19</v>
      </c>
      <c r="B19" t="s">
        <v>42</v>
      </c>
      <c r="C19" s="10"/>
      <c r="D19" s="10"/>
      <c r="E19" s="10">
        <v>21.82</v>
      </c>
      <c r="F19" s="10"/>
      <c r="G19" s="10">
        <f t="shared" si="0"/>
        <v>21.82</v>
      </c>
      <c r="H19">
        <f t="shared" si="1"/>
        <v>0.04</v>
      </c>
      <c r="I19" s="14">
        <f t="shared" si="2"/>
        <v>0</v>
      </c>
    </row>
    <row r="20" spans="1:9" x14ac:dyDescent="0.25">
      <c r="A20" t="s">
        <v>19</v>
      </c>
      <c r="B20" t="s">
        <v>34</v>
      </c>
      <c r="C20" s="10"/>
      <c r="D20" s="10"/>
      <c r="E20" s="10">
        <v>347.5</v>
      </c>
      <c r="F20" s="10"/>
      <c r="G20" s="10">
        <f t="shared" si="0"/>
        <v>347.5</v>
      </c>
      <c r="H20">
        <f t="shared" si="1"/>
        <v>0.7</v>
      </c>
      <c r="I20" s="14">
        <f t="shared" si="2"/>
        <v>3.0000000000000001E-3</v>
      </c>
    </row>
    <row r="21" spans="1:9" x14ac:dyDescent="0.25">
      <c r="A21" t="s">
        <v>19</v>
      </c>
      <c r="B21" t="s">
        <v>35</v>
      </c>
      <c r="C21" s="10"/>
      <c r="D21" s="10"/>
      <c r="E21" s="10">
        <v>315.38</v>
      </c>
      <c r="F21" s="10"/>
      <c r="G21" s="10">
        <f t="shared" si="0"/>
        <v>315.38</v>
      </c>
      <c r="H21">
        <f t="shared" si="1"/>
        <v>0.64</v>
      </c>
      <c r="I21" s="14">
        <f t="shared" si="2"/>
        <v>2E-3</v>
      </c>
    </row>
    <row r="22" spans="1:9" x14ac:dyDescent="0.25">
      <c r="A22" t="s">
        <v>19</v>
      </c>
      <c r="B22" t="s">
        <v>36</v>
      </c>
      <c r="C22" s="10"/>
      <c r="D22" s="10"/>
      <c r="E22" s="10">
        <v>6878.4</v>
      </c>
      <c r="F22" s="10"/>
      <c r="G22" s="10">
        <f t="shared" si="0"/>
        <v>6878.4</v>
      </c>
      <c r="H22">
        <f t="shared" si="1"/>
        <v>13.87</v>
      </c>
      <c r="I22" s="14">
        <f t="shared" si="2"/>
        <v>5.1999999999999998E-2</v>
      </c>
    </row>
    <row r="23" spans="1:9" x14ac:dyDescent="0.25">
      <c r="A23" t="s">
        <v>19</v>
      </c>
      <c r="B23" t="s">
        <v>37</v>
      </c>
      <c r="C23" s="10"/>
      <c r="D23" s="10"/>
      <c r="E23" s="10">
        <v>383.53</v>
      </c>
      <c r="F23" s="10"/>
      <c r="G23" s="10">
        <f t="shared" si="0"/>
        <v>383.53</v>
      </c>
      <c r="H23">
        <f t="shared" si="1"/>
        <v>0.77</v>
      </c>
      <c r="I23" s="14">
        <f t="shared" si="2"/>
        <v>3.0000000000000001E-3</v>
      </c>
    </row>
    <row r="24" spans="1:9" x14ac:dyDescent="0.25">
      <c r="A24" t="s">
        <v>19</v>
      </c>
      <c r="B24" t="s">
        <v>38</v>
      </c>
      <c r="C24" s="10"/>
      <c r="D24" s="10"/>
      <c r="E24" s="10">
        <v>1575.16</v>
      </c>
      <c r="F24" s="10"/>
      <c r="G24" s="10">
        <f t="shared" si="0"/>
        <v>1575.16</v>
      </c>
      <c r="H24">
        <f t="shared" si="1"/>
        <v>3.18</v>
      </c>
      <c r="I24" s="14">
        <f t="shared" si="2"/>
        <v>1.2E-2</v>
      </c>
    </row>
    <row r="25" spans="1:9" x14ac:dyDescent="0.25">
      <c r="A25" t="s">
        <v>19</v>
      </c>
      <c r="B25" t="s">
        <v>39</v>
      </c>
      <c r="C25" s="10"/>
      <c r="D25" s="10"/>
      <c r="E25" s="10">
        <v>589.29</v>
      </c>
      <c r="F25" s="10"/>
      <c r="G25" s="10">
        <f t="shared" si="0"/>
        <v>589.29</v>
      </c>
      <c r="H25">
        <f t="shared" si="1"/>
        <v>1.19</v>
      </c>
      <c r="I25" s="14">
        <f t="shared" si="2"/>
        <v>4.0000000000000001E-3</v>
      </c>
    </row>
    <row r="26" spans="1:9" x14ac:dyDescent="0.25">
      <c r="A26" t="s">
        <v>19</v>
      </c>
      <c r="B26" t="s">
        <v>71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 s="14">
        <f t="shared" si="2"/>
        <v>0</v>
      </c>
    </row>
    <row r="27" spans="1:9" x14ac:dyDescent="0.25">
      <c r="A27" t="s">
        <v>19</v>
      </c>
      <c r="B27" t="s">
        <v>22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31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33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43</v>
      </c>
      <c r="B30" t="s">
        <v>44</v>
      </c>
      <c r="C30" s="10">
        <v>51270</v>
      </c>
      <c r="D30" s="10"/>
      <c r="E30" s="10"/>
      <c r="F30" s="10"/>
      <c r="G30" s="10">
        <f t="shared" si="0"/>
        <v>51270</v>
      </c>
      <c r="H30">
        <f t="shared" si="1"/>
        <v>103.37</v>
      </c>
      <c r="I30" s="14">
        <f t="shared" si="2"/>
        <v>0.39100000000000001</v>
      </c>
    </row>
    <row r="31" spans="1:9" x14ac:dyDescent="0.25">
      <c r="A31" t="s">
        <v>43</v>
      </c>
      <c r="B31" t="s">
        <v>45</v>
      </c>
      <c r="C31" s="10"/>
      <c r="D31" s="10"/>
      <c r="E31" s="10">
        <v>3751.58</v>
      </c>
      <c r="F31" s="10"/>
      <c r="G31" s="10">
        <f t="shared" si="0"/>
        <v>3751.58</v>
      </c>
      <c r="H31">
        <f t="shared" si="1"/>
        <v>7.56</v>
      </c>
      <c r="I31" s="14">
        <f t="shared" si="2"/>
        <v>2.9000000000000001E-2</v>
      </c>
    </row>
    <row r="32" spans="1:9" x14ac:dyDescent="0.25">
      <c r="A32" t="s">
        <v>43</v>
      </c>
      <c r="B32" t="s">
        <v>46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15</v>
      </c>
      <c r="B33" t="s">
        <v>18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s="3" t="s">
        <v>253</v>
      </c>
      <c r="B34" s="3"/>
      <c r="C34" s="8">
        <f t="shared" ref="C34:H34" si="3">SUM(C8:C33)</f>
        <v>106715</v>
      </c>
      <c r="D34" s="8">
        <f t="shared" si="3"/>
        <v>0</v>
      </c>
      <c r="E34" s="8">
        <f t="shared" si="3"/>
        <v>24076.059999999998</v>
      </c>
      <c r="F34" s="8">
        <f t="shared" si="3"/>
        <v>340</v>
      </c>
      <c r="G34" s="8">
        <f t="shared" si="3"/>
        <v>131131.06</v>
      </c>
      <c r="H34" s="3">
        <f t="shared" si="3"/>
        <v>264.38</v>
      </c>
    </row>
    <row r="35" spans="1:9" x14ac:dyDescent="0.25">
      <c r="A35" s="3" t="s">
        <v>14</v>
      </c>
      <c r="B35" s="3"/>
      <c r="C35" s="13">
        <f>ROUND(C34/G34,2)</f>
        <v>0.81</v>
      </c>
      <c r="D35" s="13">
        <f>ROUND(D34/G34,2)</f>
        <v>0</v>
      </c>
      <c r="E35" s="13">
        <f>ROUND(E34/G34,2)</f>
        <v>0.18</v>
      </c>
      <c r="F35" s="13">
        <f>ROUND(F34/G34,2)</f>
        <v>0</v>
      </c>
      <c r="G35" s="3"/>
      <c r="H35" s="3"/>
    </row>
    <row r="36" spans="1:9" x14ac:dyDescent="0.25">
      <c r="A36" s="3" t="s">
        <v>47</v>
      </c>
      <c r="B36" s="3"/>
      <c r="C36" s="3"/>
      <c r="D36" s="3"/>
      <c r="E36" s="3"/>
      <c r="F36" s="3"/>
      <c r="G36" s="3"/>
      <c r="H36" s="3"/>
    </row>
    <row r="37" spans="1:9" x14ac:dyDescent="0.25">
      <c r="A37" s="3" t="s">
        <v>48</v>
      </c>
      <c r="B37" s="3"/>
      <c r="C37" s="8">
        <v>55445</v>
      </c>
      <c r="D37" s="8">
        <v>0</v>
      </c>
      <c r="E37" s="8">
        <v>20324.48</v>
      </c>
      <c r="F37" s="8">
        <v>340</v>
      </c>
      <c r="G37" s="8">
        <f>SUM(C37:F37)</f>
        <v>76109.48</v>
      </c>
      <c r="H37" s="3">
        <f>ROUND(G37/496,2)</f>
        <v>153.44999999999999</v>
      </c>
    </row>
    <row r="38" spans="1:9" x14ac:dyDescent="0.25">
      <c r="A38" s="3" t="s">
        <v>49</v>
      </c>
      <c r="B38" s="3"/>
      <c r="C38" s="8">
        <v>51270</v>
      </c>
      <c r="D38" s="8">
        <v>0</v>
      </c>
      <c r="E38" s="8">
        <v>3751.58</v>
      </c>
      <c r="F38" s="8">
        <v>0</v>
      </c>
      <c r="G38" s="8">
        <f>SUM(C38:F38)</f>
        <v>55021.58</v>
      </c>
      <c r="H38" s="3">
        <f>ROUND(G38/496,2)</f>
        <v>110.93</v>
      </c>
    </row>
    <row r="39" spans="1:9" x14ac:dyDescent="0.25">
      <c r="A39" s="3" t="s">
        <v>50</v>
      </c>
      <c r="B39" s="3"/>
      <c r="C39" s="8">
        <v>0</v>
      </c>
      <c r="D39" s="8">
        <v>0</v>
      </c>
      <c r="E39" s="8">
        <v>0</v>
      </c>
      <c r="F39" s="8">
        <v>0</v>
      </c>
      <c r="G39" s="8">
        <f>SUM(C39:F39)</f>
        <v>0</v>
      </c>
      <c r="H39" s="3">
        <f>ROUND(G39/496,2)</f>
        <v>0</v>
      </c>
    </row>
    <row r="40" spans="1:9" x14ac:dyDescent="0.25">
      <c r="A40" s="3"/>
      <c r="B40" s="3"/>
      <c r="C40" s="3"/>
      <c r="D40" s="3"/>
      <c r="E40" s="3"/>
      <c r="F40" s="3"/>
      <c r="G40" s="3"/>
      <c r="H40" s="3"/>
    </row>
    <row r="41" spans="1:9" x14ac:dyDescent="0.25">
      <c r="A41" s="3"/>
      <c r="B41" s="3"/>
      <c r="C41" s="3" t="s">
        <v>2</v>
      </c>
      <c r="D41" s="3">
        <v>2022</v>
      </c>
      <c r="E41" s="3" t="s">
        <v>51</v>
      </c>
      <c r="F41" s="3"/>
      <c r="G41" s="3"/>
      <c r="H41" s="3"/>
    </row>
    <row r="42" spans="1:9" x14ac:dyDescent="0.25">
      <c r="A42" s="3" t="s">
        <v>52</v>
      </c>
      <c r="B42" s="3"/>
      <c r="C42" s="13">
        <v>0.58320000000000005</v>
      </c>
      <c r="D42" s="13">
        <v>0.6633</v>
      </c>
      <c r="E42" s="13">
        <v>0.77659999999999996</v>
      </c>
      <c r="F42" s="3"/>
      <c r="G42" s="3"/>
      <c r="H42" s="3"/>
    </row>
    <row r="43" spans="1:9" x14ac:dyDescent="0.25">
      <c r="A43" s="3" t="s">
        <v>53</v>
      </c>
      <c r="B43" s="3"/>
      <c r="C43" s="13">
        <v>0.58320000000000005</v>
      </c>
      <c r="D43" s="13">
        <v>0.62970000000000004</v>
      </c>
      <c r="E43" s="13">
        <v>0.75900000000000001</v>
      </c>
      <c r="F43" s="3"/>
      <c r="G43" s="3"/>
      <c r="H43" s="3"/>
    </row>
    <row r="44" spans="1:9" x14ac:dyDescent="0.25">
      <c r="A44" s="3"/>
      <c r="B44" s="3"/>
      <c r="C44" s="3"/>
      <c r="D44" s="3"/>
      <c r="E44" s="3"/>
      <c r="F44" s="3"/>
      <c r="G44" s="3"/>
      <c r="H44" s="3"/>
    </row>
    <row r="45" spans="1:9" x14ac:dyDescent="0.25">
      <c r="A45" s="3" t="s">
        <v>256</v>
      </c>
      <c r="B45" s="3"/>
      <c r="C45" s="3" t="s">
        <v>2</v>
      </c>
      <c r="D45" s="3" t="s">
        <v>198</v>
      </c>
      <c r="E45" s="3" t="s">
        <v>55</v>
      </c>
      <c r="F45" s="3" t="s">
        <v>254</v>
      </c>
      <c r="G45" s="3"/>
      <c r="H45" s="3"/>
    </row>
    <row r="46" spans="1:9" x14ac:dyDescent="0.25">
      <c r="A46" s="3" t="s">
        <v>56</v>
      </c>
      <c r="B46" s="3"/>
      <c r="C46" s="3"/>
      <c r="D46" s="3">
        <v>129.34</v>
      </c>
      <c r="E46" s="3">
        <v>81.5</v>
      </c>
      <c r="F46" s="3">
        <v>50.61</v>
      </c>
      <c r="G46" s="3"/>
      <c r="H46" s="3"/>
    </row>
    <row r="47" spans="1:9" x14ac:dyDescent="0.25">
      <c r="A47" s="3" t="s">
        <v>57</v>
      </c>
      <c r="B47" s="3"/>
      <c r="C47" s="3"/>
      <c r="D47" s="3">
        <v>51.79</v>
      </c>
      <c r="E47" s="3">
        <v>58.24</v>
      </c>
      <c r="F47" s="3">
        <v>57.37</v>
      </c>
      <c r="G47" s="3"/>
      <c r="H47" s="3"/>
    </row>
    <row r="48" spans="1:9" x14ac:dyDescent="0.25">
      <c r="A48" s="3" t="s">
        <v>58</v>
      </c>
      <c r="B48" s="3"/>
      <c r="C48" s="3"/>
      <c r="D48" s="3">
        <v>290.99</v>
      </c>
      <c r="E48" s="3">
        <v>261.52999999999997</v>
      </c>
      <c r="F48" s="3">
        <v>249.57</v>
      </c>
      <c r="G48" s="3"/>
      <c r="H48" s="3"/>
    </row>
    <row r="49" spans="1:8" x14ac:dyDescent="0.25">
      <c r="A49" s="3" t="s">
        <v>59</v>
      </c>
      <c r="B49" s="3"/>
      <c r="C49" s="3"/>
      <c r="D49" s="3">
        <v>146.13999999999999</v>
      </c>
      <c r="E49" s="3">
        <v>103.11</v>
      </c>
      <c r="F49" s="3">
        <v>71.400000000000006</v>
      </c>
      <c r="G49" s="3"/>
      <c r="H4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I54"/>
  <sheetViews>
    <sheetView topLeftCell="A33" workbookViewId="0">
      <selection activeCell="G51" sqref="G51:G54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0.140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199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445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63</v>
      </c>
      <c r="C9" s="10"/>
      <c r="D9" s="10"/>
      <c r="E9" s="10"/>
      <c r="F9" s="10">
        <v>494</v>
      </c>
      <c r="G9" s="10">
        <f t="shared" ref="G9:G38" si="0">SUM(C9:F9)</f>
        <v>494</v>
      </c>
      <c r="H9">
        <f t="shared" ref="H9:H38" si="1">ROUND(G9/445,2)</f>
        <v>1.1100000000000001</v>
      </c>
      <c r="I9" s="14">
        <f t="shared" ref="I9:I38" si="2">ROUND(G9/$G$39,3)</f>
        <v>6.0000000000000001E-3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>
        <f t="shared" si="1"/>
        <v>0</v>
      </c>
      <c r="I10" s="14">
        <f t="shared" si="2"/>
        <v>0</v>
      </c>
    </row>
    <row r="11" spans="1:9" x14ac:dyDescent="0.25">
      <c r="A11" t="s">
        <v>19</v>
      </c>
      <c r="B11" t="s">
        <v>20</v>
      </c>
      <c r="C11" s="10">
        <v>5500</v>
      </c>
      <c r="D11" s="10"/>
      <c r="E11" s="10">
        <v>348.16</v>
      </c>
      <c r="F11" s="10"/>
      <c r="G11" s="10">
        <f t="shared" si="0"/>
        <v>5848.16</v>
      </c>
      <c r="H11">
        <f t="shared" si="1"/>
        <v>13.14</v>
      </c>
      <c r="I11" s="14">
        <f t="shared" si="2"/>
        <v>6.7000000000000004E-2</v>
      </c>
    </row>
    <row r="12" spans="1:9" x14ac:dyDescent="0.25">
      <c r="A12" t="s">
        <v>19</v>
      </c>
      <c r="B12" t="s">
        <v>21</v>
      </c>
      <c r="C12" s="10">
        <v>7895</v>
      </c>
      <c r="D12" s="10"/>
      <c r="E12" s="10"/>
      <c r="F12" s="10"/>
      <c r="G12" s="10">
        <f t="shared" si="0"/>
        <v>7895</v>
      </c>
      <c r="H12">
        <f t="shared" si="1"/>
        <v>17.739999999999998</v>
      </c>
      <c r="I12" s="14">
        <f t="shared" si="2"/>
        <v>0.09</v>
      </c>
    </row>
    <row r="13" spans="1:9" x14ac:dyDescent="0.25">
      <c r="A13" t="s">
        <v>19</v>
      </c>
      <c r="B13" t="s">
        <v>41</v>
      </c>
      <c r="C13" s="10"/>
      <c r="D13" s="10"/>
      <c r="E13" s="10">
        <v>35</v>
      </c>
      <c r="F13" s="10"/>
      <c r="G13" s="10">
        <f t="shared" si="0"/>
        <v>35</v>
      </c>
      <c r="H13">
        <f t="shared" si="1"/>
        <v>0.08</v>
      </c>
      <c r="I13" s="14">
        <f t="shared" si="2"/>
        <v>0</v>
      </c>
    </row>
    <row r="14" spans="1:9" x14ac:dyDescent="0.25">
      <c r="A14" t="s">
        <v>19</v>
      </c>
      <c r="B14" t="s">
        <v>23</v>
      </c>
      <c r="C14" s="10"/>
      <c r="D14" s="10"/>
      <c r="E14" s="10">
        <v>19514.54</v>
      </c>
      <c r="F14" s="10"/>
      <c r="G14" s="10">
        <f t="shared" si="0"/>
        <v>19514.54</v>
      </c>
      <c r="H14">
        <f t="shared" si="1"/>
        <v>43.85</v>
      </c>
      <c r="I14" s="14">
        <f t="shared" si="2"/>
        <v>0.223</v>
      </c>
    </row>
    <row r="15" spans="1:9" x14ac:dyDescent="0.25">
      <c r="A15" t="s">
        <v>19</v>
      </c>
      <c r="B15" t="s">
        <v>24</v>
      </c>
      <c r="C15" s="10">
        <v>5940</v>
      </c>
      <c r="D15" s="10"/>
      <c r="E15" s="10">
        <v>413.67</v>
      </c>
      <c r="F15" s="10"/>
      <c r="G15" s="10">
        <f t="shared" si="0"/>
        <v>6353.67</v>
      </c>
      <c r="H15">
        <f t="shared" si="1"/>
        <v>14.28</v>
      </c>
      <c r="I15" s="14">
        <f t="shared" si="2"/>
        <v>7.2999999999999995E-2</v>
      </c>
    </row>
    <row r="16" spans="1:9" x14ac:dyDescent="0.25">
      <c r="A16" t="s">
        <v>19</v>
      </c>
      <c r="B16" t="s">
        <v>66</v>
      </c>
      <c r="C16" s="10"/>
      <c r="D16" s="10"/>
      <c r="E16" s="10">
        <v>830</v>
      </c>
      <c r="F16" s="10"/>
      <c r="G16" s="10">
        <f t="shared" si="0"/>
        <v>830</v>
      </c>
      <c r="H16">
        <f t="shared" si="1"/>
        <v>1.87</v>
      </c>
      <c r="I16" s="14">
        <f t="shared" si="2"/>
        <v>8.9999999999999993E-3</v>
      </c>
    </row>
    <row r="17" spans="1:9" x14ac:dyDescent="0.25">
      <c r="A17" t="s">
        <v>19</v>
      </c>
      <c r="B17" t="s">
        <v>25</v>
      </c>
      <c r="C17" s="10">
        <v>7920</v>
      </c>
      <c r="D17" s="10"/>
      <c r="E17" s="10"/>
      <c r="F17" s="10"/>
      <c r="G17" s="10">
        <f t="shared" si="0"/>
        <v>7920</v>
      </c>
      <c r="H17">
        <f t="shared" si="1"/>
        <v>17.8</v>
      </c>
      <c r="I17" s="14">
        <f t="shared" si="2"/>
        <v>9.0999999999999998E-2</v>
      </c>
    </row>
    <row r="18" spans="1:9" x14ac:dyDescent="0.25">
      <c r="A18" t="s">
        <v>19</v>
      </c>
      <c r="B18" t="s">
        <v>26</v>
      </c>
      <c r="C18" s="10"/>
      <c r="D18" s="10"/>
      <c r="E18" s="10">
        <v>192</v>
      </c>
      <c r="F18" s="10"/>
      <c r="G18" s="10">
        <f t="shared" si="0"/>
        <v>192</v>
      </c>
      <c r="H18">
        <f t="shared" si="1"/>
        <v>0.43</v>
      </c>
      <c r="I18" s="14">
        <f t="shared" si="2"/>
        <v>2E-3</v>
      </c>
    </row>
    <row r="19" spans="1:9" x14ac:dyDescent="0.25">
      <c r="A19" t="s">
        <v>19</v>
      </c>
      <c r="B19" t="s">
        <v>27</v>
      </c>
      <c r="C19" s="10"/>
      <c r="D19" s="10"/>
      <c r="E19" s="10">
        <v>35</v>
      </c>
      <c r="F19" s="10"/>
      <c r="G19" s="10">
        <f t="shared" si="0"/>
        <v>35</v>
      </c>
      <c r="H19">
        <f t="shared" si="1"/>
        <v>0.08</v>
      </c>
      <c r="I19" s="14">
        <f t="shared" si="2"/>
        <v>0</v>
      </c>
    </row>
    <row r="20" spans="1:9" x14ac:dyDescent="0.25">
      <c r="A20" t="s">
        <v>19</v>
      </c>
      <c r="B20" t="s">
        <v>29</v>
      </c>
      <c r="C20" s="10"/>
      <c r="D20" s="10"/>
      <c r="E20" s="10">
        <v>495</v>
      </c>
      <c r="F20" s="10"/>
      <c r="G20" s="10">
        <f t="shared" si="0"/>
        <v>495</v>
      </c>
      <c r="H20">
        <f t="shared" si="1"/>
        <v>1.1100000000000001</v>
      </c>
      <c r="I20" s="14">
        <f t="shared" si="2"/>
        <v>6.0000000000000001E-3</v>
      </c>
    </row>
    <row r="21" spans="1:9" x14ac:dyDescent="0.25">
      <c r="A21" t="s">
        <v>19</v>
      </c>
      <c r="B21" t="s">
        <v>30</v>
      </c>
      <c r="C21" s="10"/>
      <c r="D21" s="10"/>
      <c r="E21" s="10">
        <v>60.65</v>
      </c>
      <c r="F21" s="10"/>
      <c r="G21" s="10">
        <f t="shared" si="0"/>
        <v>60.65</v>
      </c>
      <c r="H21">
        <f t="shared" si="1"/>
        <v>0.14000000000000001</v>
      </c>
      <c r="I21" s="14">
        <f t="shared" si="2"/>
        <v>1E-3</v>
      </c>
    </row>
    <row r="22" spans="1:9" x14ac:dyDescent="0.25">
      <c r="A22" t="s">
        <v>19</v>
      </c>
      <c r="B22" t="s">
        <v>35</v>
      </c>
      <c r="C22" s="10"/>
      <c r="D22" s="10"/>
      <c r="E22" s="10">
        <v>23.21</v>
      </c>
      <c r="F22" s="10"/>
      <c r="G22" s="10">
        <f t="shared" si="0"/>
        <v>23.21</v>
      </c>
      <c r="H22">
        <f t="shared" si="1"/>
        <v>0.05</v>
      </c>
      <c r="I22" s="14">
        <f t="shared" si="2"/>
        <v>0</v>
      </c>
    </row>
    <row r="23" spans="1:9" x14ac:dyDescent="0.25">
      <c r="A23" t="s">
        <v>19</v>
      </c>
      <c r="B23" t="s">
        <v>40</v>
      </c>
      <c r="C23" s="10"/>
      <c r="D23" s="10"/>
      <c r="E23" s="10">
        <v>630</v>
      </c>
      <c r="F23" s="10"/>
      <c r="G23" s="10">
        <f t="shared" si="0"/>
        <v>630</v>
      </c>
      <c r="H23">
        <f t="shared" si="1"/>
        <v>1.42</v>
      </c>
      <c r="I23" s="14">
        <f t="shared" si="2"/>
        <v>7.0000000000000001E-3</v>
      </c>
    </row>
    <row r="24" spans="1:9" x14ac:dyDescent="0.25">
      <c r="A24" t="s">
        <v>19</v>
      </c>
      <c r="B24" t="s">
        <v>36</v>
      </c>
      <c r="C24" s="10"/>
      <c r="D24" s="10"/>
      <c r="E24" s="10">
        <v>1423.95</v>
      </c>
      <c r="F24" s="10"/>
      <c r="G24" s="10">
        <f t="shared" si="0"/>
        <v>1423.95</v>
      </c>
      <c r="H24">
        <f t="shared" si="1"/>
        <v>3.2</v>
      </c>
      <c r="I24" s="14">
        <f t="shared" si="2"/>
        <v>1.6E-2</v>
      </c>
    </row>
    <row r="25" spans="1:9" x14ac:dyDescent="0.25">
      <c r="A25" t="s">
        <v>19</v>
      </c>
      <c r="B25" t="s">
        <v>38</v>
      </c>
      <c r="C25" s="10"/>
      <c r="D25" s="10"/>
      <c r="E25" s="10">
        <v>3815.93</v>
      </c>
      <c r="F25" s="10"/>
      <c r="G25" s="10">
        <f t="shared" si="0"/>
        <v>3815.93</v>
      </c>
      <c r="H25">
        <f t="shared" si="1"/>
        <v>8.58</v>
      </c>
      <c r="I25" s="14">
        <f t="shared" si="2"/>
        <v>4.3999999999999997E-2</v>
      </c>
    </row>
    <row r="26" spans="1:9" x14ac:dyDescent="0.25">
      <c r="A26" t="s">
        <v>19</v>
      </c>
      <c r="B26" t="s">
        <v>39</v>
      </c>
      <c r="C26" s="10"/>
      <c r="D26" s="10"/>
      <c r="E26" s="10">
        <v>818.68</v>
      </c>
      <c r="F26" s="10"/>
      <c r="G26" s="10">
        <f t="shared" si="0"/>
        <v>818.68</v>
      </c>
      <c r="H26">
        <f t="shared" si="1"/>
        <v>1.84</v>
      </c>
      <c r="I26" s="14">
        <f t="shared" si="2"/>
        <v>8.9999999999999993E-3</v>
      </c>
    </row>
    <row r="27" spans="1:9" x14ac:dyDescent="0.25">
      <c r="A27" t="s">
        <v>19</v>
      </c>
      <c r="B27" t="s">
        <v>31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4">
        <f t="shared" si="2"/>
        <v>0</v>
      </c>
    </row>
    <row r="28" spans="1:9" x14ac:dyDescent="0.25">
      <c r="A28" t="s">
        <v>19</v>
      </c>
      <c r="B28" t="s">
        <v>67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4">
        <f t="shared" si="2"/>
        <v>0</v>
      </c>
    </row>
    <row r="29" spans="1:9" x14ac:dyDescent="0.25">
      <c r="A29" t="s">
        <v>19</v>
      </c>
      <c r="B29" t="s">
        <v>34</v>
      </c>
      <c r="C29" s="10"/>
      <c r="D29" s="10"/>
      <c r="E29" s="10"/>
      <c r="F29" s="10"/>
      <c r="G29" s="10">
        <f t="shared" si="0"/>
        <v>0</v>
      </c>
      <c r="H29">
        <f t="shared" si="1"/>
        <v>0</v>
      </c>
      <c r="I29" s="14">
        <f t="shared" si="2"/>
        <v>0</v>
      </c>
    </row>
    <row r="30" spans="1:9" x14ac:dyDescent="0.25">
      <c r="A30" t="s">
        <v>19</v>
      </c>
      <c r="B30" t="s">
        <v>22</v>
      </c>
      <c r="C30" s="10"/>
      <c r="D30" s="10"/>
      <c r="E30" s="10"/>
      <c r="F30" s="10"/>
      <c r="G30" s="10">
        <f t="shared" si="0"/>
        <v>0</v>
      </c>
      <c r="H30">
        <f t="shared" si="1"/>
        <v>0</v>
      </c>
      <c r="I30" s="14">
        <f t="shared" si="2"/>
        <v>0</v>
      </c>
    </row>
    <row r="31" spans="1:9" x14ac:dyDescent="0.25">
      <c r="A31" t="s">
        <v>19</v>
      </c>
      <c r="B31" t="s">
        <v>28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32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19</v>
      </c>
      <c r="B33" t="s">
        <v>42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19</v>
      </c>
      <c r="B34" t="s">
        <v>33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37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43</v>
      </c>
      <c r="B36" t="s">
        <v>44</v>
      </c>
      <c r="C36" s="10">
        <v>14080</v>
      </c>
      <c r="D36" s="10"/>
      <c r="E36" s="10"/>
      <c r="F36" s="10"/>
      <c r="G36" s="10">
        <f t="shared" si="0"/>
        <v>14080</v>
      </c>
      <c r="H36">
        <f t="shared" si="1"/>
        <v>31.64</v>
      </c>
      <c r="I36" s="14">
        <f t="shared" si="2"/>
        <v>0.161</v>
      </c>
    </row>
    <row r="37" spans="1:9" x14ac:dyDescent="0.25">
      <c r="A37" t="s">
        <v>43</v>
      </c>
      <c r="B37" t="s">
        <v>46</v>
      </c>
      <c r="C37" s="10"/>
      <c r="D37" s="10"/>
      <c r="E37" s="10"/>
      <c r="F37" s="10">
        <v>10690</v>
      </c>
      <c r="G37" s="10">
        <f t="shared" si="0"/>
        <v>10690</v>
      </c>
      <c r="H37">
        <f t="shared" si="1"/>
        <v>24.02</v>
      </c>
      <c r="I37" s="14">
        <f t="shared" si="2"/>
        <v>0.122</v>
      </c>
    </row>
    <row r="38" spans="1:9" x14ac:dyDescent="0.25">
      <c r="A38" t="s">
        <v>43</v>
      </c>
      <c r="B38" t="s">
        <v>45</v>
      </c>
      <c r="C38" s="10"/>
      <c r="D38" s="10"/>
      <c r="E38" s="10">
        <v>6342.34</v>
      </c>
      <c r="F38" s="10"/>
      <c r="G38" s="10">
        <f t="shared" si="0"/>
        <v>6342.34</v>
      </c>
      <c r="H38">
        <f t="shared" si="1"/>
        <v>14.25</v>
      </c>
      <c r="I38" s="14">
        <f t="shared" si="2"/>
        <v>7.1999999999999995E-2</v>
      </c>
    </row>
    <row r="39" spans="1:9" x14ac:dyDescent="0.25">
      <c r="A39" s="3" t="s">
        <v>253</v>
      </c>
      <c r="B39" s="3"/>
      <c r="C39" s="8">
        <f t="shared" ref="C39:H39" si="3">SUM(C8:C38)</f>
        <v>41335</v>
      </c>
      <c r="D39" s="8">
        <f t="shared" si="3"/>
        <v>0</v>
      </c>
      <c r="E39" s="8">
        <f t="shared" si="3"/>
        <v>34978.130000000005</v>
      </c>
      <c r="F39" s="8">
        <f t="shared" si="3"/>
        <v>11184</v>
      </c>
      <c r="G39" s="8">
        <f t="shared" si="3"/>
        <v>87497.12999999999</v>
      </c>
      <c r="H39" s="3">
        <f t="shared" si="3"/>
        <v>196.63000000000002</v>
      </c>
    </row>
    <row r="40" spans="1:9" x14ac:dyDescent="0.25">
      <c r="A40" s="3" t="s">
        <v>14</v>
      </c>
      <c r="B40" s="3"/>
      <c r="C40" s="13">
        <f>ROUND(C39/G39,2)</f>
        <v>0.47</v>
      </c>
      <c r="D40" s="13">
        <f>ROUND(D39/G39,2)</f>
        <v>0</v>
      </c>
      <c r="E40" s="13">
        <f>ROUND(E39/G39,2)</f>
        <v>0.4</v>
      </c>
      <c r="F40" s="13">
        <f>ROUND(F39/G39,2)</f>
        <v>0.13</v>
      </c>
      <c r="G40" s="3"/>
      <c r="H40" s="3"/>
    </row>
    <row r="41" spans="1:9" x14ac:dyDescent="0.25">
      <c r="A41" s="3" t="s">
        <v>47</v>
      </c>
      <c r="B41" s="3"/>
      <c r="C41" s="3"/>
      <c r="D41" s="3"/>
      <c r="E41" s="3"/>
      <c r="F41" s="3"/>
      <c r="G41" s="3"/>
      <c r="H41" s="3"/>
    </row>
    <row r="42" spans="1:9" x14ac:dyDescent="0.25">
      <c r="A42" s="3" t="s">
        <v>48</v>
      </c>
      <c r="B42" s="3"/>
      <c r="C42" s="8">
        <v>27255</v>
      </c>
      <c r="D42" s="8">
        <v>0</v>
      </c>
      <c r="E42" s="8">
        <v>28635.79</v>
      </c>
      <c r="F42" s="8">
        <v>0</v>
      </c>
      <c r="G42" s="8">
        <f>SUM(C42:F42)</f>
        <v>55890.79</v>
      </c>
      <c r="H42" s="3">
        <f>ROUND(G42/445,2)</f>
        <v>125.6</v>
      </c>
    </row>
    <row r="43" spans="1:9" x14ac:dyDescent="0.25">
      <c r="A43" s="3" t="s">
        <v>49</v>
      </c>
      <c r="B43" s="3"/>
      <c r="C43" s="8">
        <v>14080</v>
      </c>
      <c r="D43" s="8">
        <v>0</v>
      </c>
      <c r="E43" s="8">
        <v>6342.34</v>
      </c>
      <c r="F43" s="8">
        <v>10690</v>
      </c>
      <c r="G43" s="8">
        <f>SUM(C43:F43)</f>
        <v>31112.34</v>
      </c>
      <c r="H43" s="3">
        <f>ROUND(G43/445,2)</f>
        <v>69.92</v>
      </c>
    </row>
    <row r="44" spans="1:9" x14ac:dyDescent="0.25">
      <c r="A44" s="3" t="s">
        <v>50</v>
      </c>
      <c r="B44" s="3"/>
      <c r="C44" s="8">
        <v>0</v>
      </c>
      <c r="D44" s="8">
        <v>0</v>
      </c>
      <c r="E44" s="8">
        <v>0</v>
      </c>
      <c r="F44" s="8">
        <v>494</v>
      </c>
      <c r="G44" s="8">
        <f>SUM(C44:F44)</f>
        <v>494</v>
      </c>
      <c r="H44" s="3">
        <f>ROUND(G44/445,2)</f>
        <v>1.1100000000000001</v>
      </c>
    </row>
    <row r="45" spans="1:9" x14ac:dyDescent="0.25">
      <c r="A45" s="3"/>
      <c r="B45" s="3"/>
      <c r="C45" s="3"/>
      <c r="D45" s="3"/>
      <c r="E45" s="3"/>
      <c r="F45" s="3"/>
      <c r="G45" s="3"/>
      <c r="H45" s="3"/>
    </row>
    <row r="46" spans="1:9" x14ac:dyDescent="0.25">
      <c r="A46" s="3"/>
      <c r="B46" s="3"/>
      <c r="C46" s="3" t="s">
        <v>2</v>
      </c>
      <c r="D46" s="3">
        <v>2022</v>
      </c>
      <c r="E46" s="3" t="s">
        <v>51</v>
      </c>
      <c r="F46" s="3"/>
      <c r="G46" s="3"/>
      <c r="H46" s="3"/>
    </row>
    <row r="47" spans="1:9" x14ac:dyDescent="0.25">
      <c r="A47" s="3" t="s">
        <v>52</v>
      </c>
      <c r="B47" s="3"/>
      <c r="C47" s="13">
        <v>0.79290000000000005</v>
      </c>
      <c r="D47" s="13">
        <v>0.77729999999999999</v>
      </c>
      <c r="E47" s="13">
        <v>0.77659999999999996</v>
      </c>
      <c r="F47" s="3"/>
      <c r="G47" s="3"/>
      <c r="H47" s="3"/>
    </row>
    <row r="48" spans="1:9" x14ac:dyDescent="0.25">
      <c r="A48" s="3" t="s">
        <v>53</v>
      </c>
      <c r="B48" s="3"/>
      <c r="C48" s="13">
        <v>0.79290000000000005</v>
      </c>
      <c r="D48" s="13">
        <v>0.74029999999999996</v>
      </c>
      <c r="E48" s="13">
        <v>0.75900000000000001</v>
      </c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 t="s">
        <v>256</v>
      </c>
      <c r="B50" s="3"/>
      <c r="C50" s="3" t="s">
        <v>2</v>
      </c>
      <c r="D50" s="3" t="s">
        <v>200</v>
      </c>
      <c r="E50" s="3" t="s">
        <v>55</v>
      </c>
      <c r="F50" s="3" t="s">
        <v>254</v>
      </c>
      <c r="G50" s="3"/>
      <c r="H50" s="3"/>
    </row>
    <row r="51" spans="1:8" x14ac:dyDescent="0.25">
      <c r="A51" s="3" t="s">
        <v>56</v>
      </c>
      <c r="B51" s="3"/>
      <c r="C51" s="3"/>
      <c r="D51" s="3">
        <v>57.82</v>
      </c>
      <c r="E51" s="3">
        <v>81.5</v>
      </c>
      <c r="F51" s="3">
        <v>50.61</v>
      </c>
      <c r="G51" s="3"/>
      <c r="H51" s="3"/>
    </row>
    <row r="52" spans="1:8" x14ac:dyDescent="0.25">
      <c r="A52" s="3" t="s">
        <v>57</v>
      </c>
      <c r="B52" s="3"/>
      <c r="C52" s="3"/>
      <c r="D52" s="3">
        <v>34.090000000000003</v>
      </c>
      <c r="E52" s="3">
        <v>58.24</v>
      </c>
      <c r="F52" s="3">
        <v>57.37</v>
      </c>
      <c r="G52" s="3"/>
      <c r="H52" s="3"/>
    </row>
    <row r="53" spans="1:8" x14ac:dyDescent="0.25">
      <c r="A53" s="3" t="s">
        <v>58</v>
      </c>
      <c r="B53" s="3"/>
      <c r="C53" s="3"/>
      <c r="D53" s="3">
        <v>211.91</v>
      </c>
      <c r="E53" s="3">
        <v>261.52999999999997</v>
      </c>
      <c r="F53" s="3">
        <v>249.57</v>
      </c>
      <c r="G53" s="3"/>
      <c r="H53" s="3"/>
    </row>
    <row r="54" spans="1:8" x14ac:dyDescent="0.25">
      <c r="A54" s="3" t="s">
        <v>59</v>
      </c>
      <c r="B54" s="3"/>
      <c r="C54" s="3"/>
      <c r="D54" s="3">
        <v>117.47</v>
      </c>
      <c r="E54" s="3">
        <v>103.11</v>
      </c>
      <c r="F54" s="3">
        <v>71.400000000000006</v>
      </c>
      <c r="G54" s="3"/>
      <c r="H54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I58"/>
  <sheetViews>
    <sheetView topLeftCell="A30" workbookViewId="0">
      <selection activeCell="H40" sqref="H40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5703125" bestFit="1" customWidth="1"/>
    <col min="4" max="4" width="31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201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4657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200</v>
      </c>
      <c r="G9" s="10">
        <f t="shared" ref="G9:G42" si="0">SUM(C9:F9)</f>
        <v>200</v>
      </c>
      <c r="H9">
        <f t="shared" ref="H9:H42" si="1">ROUND(G9/4657,2)</f>
        <v>0.04</v>
      </c>
      <c r="I9" s="14">
        <f t="shared" ref="I9:I40" si="2">ROUND(G9/$G$43,3)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160</v>
      </c>
      <c r="G10" s="10">
        <f t="shared" si="0"/>
        <v>160</v>
      </c>
      <c r="H10">
        <f t="shared" si="1"/>
        <v>0.03</v>
      </c>
      <c r="I10" s="14">
        <f t="shared" si="2"/>
        <v>0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63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19</v>
      </c>
      <c r="B13" t="s">
        <v>20</v>
      </c>
      <c r="C13" s="10">
        <v>76900</v>
      </c>
      <c r="D13" s="10"/>
      <c r="E13" s="10">
        <v>1970</v>
      </c>
      <c r="F13" s="10"/>
      <c r="G13" s="10">
        <f t="shared" si="0"/>
        <v>78870</v>
      </c>
      <c r="H13">
        <f t="shared" si="1"/>
        <v>16.940000000000001</v>
      </c>
      <c r="I13" s="14">
        <f t="shared" si="2"/>
        <v>9.1999999999999998E-2</v>
      </c>
    </row>
    <row r="14" spans="1:9" x14ac:dyDescent="0.25">
      <c r="A14" t="s">
        <v>19</v>
      </c>
      <c r="B14" t="s">
        <v>21</v>
      </c>
      <c r="C14" s="10">
        <v>91880</v>
      </c>
      <c r="D14" s="10"/>
      <c r="E14" s="10"/>
      <c r="F14" s="10"/>
      <c r="G14" s="10">
        <f t="shared" si="0"/>
        <v>91880</v>
      </c>
      <c r="H14">
        <f t="shared" si="1"/>
        <v>19.73</v>
      </c>
      <c r="I14" s="14">
        <f t="shared" si="2"/>
        <v>0.107</v>
      </c>
    </row>
    <row r="15" spans="1:9" x14ac:dyDescent="0.25">
      <c r="A15" t="s">
        <v>19</v>
      </c>
      <c r="B15" t="s">
        <v>76</v>
      </c>
      <c r="C15" s="10"/>
      <c r="D15" s="10"/>
      <c r="E15" s="10">
        <v>18</v>
      </c>
      <c r="F15" s="10"/>
      <c r="G15" s="10">
        <f t="shared" si="0"/>
        <v>18</v>
      </c>
      <c r="H15">
        <f t="shared" si="1"/>
        <v>0</v>
      </c>
      <c r="I15" s="14">
        <f t="shared" si="2"/>
        <v>0</v>
      </c>
    </row>
    <row r="16" spans="1:9" x14ac:dyDescent="0.25">
      <c r="A16" t="s">
        <v>19</v>
      </c>
      <c r="B16" t="s">
        <v>41</v>
      </c>
      <c r="C16" s="10"/>
      <c r="D16" s="10"/>
      <c r="E16" s="10">
        <v>72</v>
      </c>
      <c r="F16" s="10"/>
      <c r="G16" s="10">
        <f t="shared" si="0"/>
        <v>72</v>
      </c>
      <c r="H16">
        <f t="shared" si="1"/>
        <v>0.02</v>
      </c>
      <c r="I16" s="14">
        <f t="shared" si="2"/>
        <v>0</v>
      </c>
    </row>
    <row r="17" spans="1:9" x14ac:dyDescent="0.25">
      <c r="A17" t="s">
        <v>19</v>
      </c>
      <c r="B17" t="s">
        <v>22</v>
      </c>
      <c r="C17" s="10"/>
      <c r="D17" s="10"/>
      <c r="E17" s="10">
        <v>900</v>
      </c>
      <c r="F17" s="10"/>
      <c r="G17" s="10">
        <f t="shared" si="0"/>
        <v>900</v>
      </c>
      <c r="H17">
        <f t="shared" si="1"/>
        <v>0.19</v>
      </c>
      <c r="I17" s="14">
        <f t="shared" si="2"/>
        <v>1E-3</v>
      </c>
    </row>
    <row r="18" spans="1:9" x14ac:dyDescent="0.25">
      <c r="A18" t="s">
        <v>19</v>
      </c>
      <c r="B18" t="s">
        <v>77</v>
      </c>
      <c r="C18" s="10"/>
      <c r="D18" s="10"/>
      <c r="E18" s="10"/>
      <c r="F18" s="10">
        <v>400</v>
      </c>
      <c r="G18" s="10">
        <f t="shared" si="0"/>
        <v>400</v>
      </c>
      <c r="H18">
        <f t="shared" si="1"/>
        <v>0.09</v>
      </c>
      <c r="I18" s="14">
        <f t="shared" si="2"/>
        <v>0</v>
      </c>
    </row>
    <row r="19" spans="1:9" x14ac:dyDescent="0.25">
      <c r="A19" t="s">
        <v>19</v>
      </c>
      <c r="B19" t="s">
        <v>23</v>
      </c>
      <c r="C19" s="10"/>
      <c r="D19" s="10"/>
      <c r="E19" s="10">
        <v>26340</v>
      </c>
      <c r="F19" s="10"/>
      <c r="G19" s="10">
        <f t="shared" si="0"/>
        <v>26340</v>
      </c>
      <c r="H19">
        <f t="shared" si="1"/>
        <v>5.66</v>
      </c>
      <c r="I19" s="14">
        <f t="shared" si="2"/>
        <v>3.1E-2</v>
      </c>
    </row>
    <row r="20" spans="1:9" x14ac:dyDescent="0.25">
      <c r="A20" t="s">
        <v>19</v>
      </c>
      <c r="B20" t="s">
        <v>24</v>
      </c>
      <c r="C20" s="10">
        <v>111230</v>
      </c>
      <c r="D20" s="10"/>
      <c r="E20" s="10">
        <v>900</v>
      </c>
      <c r="F20" s="10"/>
      <c r="G20" s="10">
        <f t="shared" si="0"/>
        <v>112130</v>
      </c>
      <c r="H20">
        <f t="shared" si="1"/>
        <v>24.08</v>
      </c>
      <c r="I20" s="14">
        <f t="shared" si="2"/>
        <v>0.13100000000000001</v>
      </c>
    </row>
    <row r="21" spans="1:9" x14ac:dyDescent="0.25">
      <c r="A21" t="s">
        <v>19</v>
      </c>
      <c r="B21" t="s">
        <v>66</v>
      </c>
      <c r="C21" s="10"/>
      <c r="D21" s="10"/>
      <c r="E21" s="10">
        <v>3625</v>
      </c>
      <c r="F21" s="10"/>
      <c r="G21" s="10">
        <f t="shared" si="0"/>
        <v>3625</v>
      </c>
      <c r="H21">
        <f t="shared" si="1"/>
        <v>0.78</v>
      </c>
      <c r="I21" s="14">
        <f t="shared" si="2"/>
        <v>4.0000000000000001E-3</v>
      </c>
    </row>
    <row r="22" spans="1:9" x14ac:dyDescent="0.25">
      <c r="A22" t="s">
        <v>19</v>
      </c>
      <c r="B22" t="s">
        <v>25</v>
      </c>
      <c r="C22" s="10">
        <v>152790</v>
      </c>
      <c r="D22" s="10"/>
      <c r="E22" s="10"/>
      <c r="F22" s="10">
        <v>100</v>
      </c>
      <c r="G22" s="10">
        <f t="shared" si="0"/>
        <v>152890</v>
      </c>
      <c r="H22">
        <f t="shared" si="1"/>
        <v>32.83</v>
      </c>
      <c r="I22" s="14">
        <f t="shared" si="2"/>
        <v>0.17799999999999999</v>
      </c>
    </row>
    <row r="23" spans="1:9" x14ac:dyDescent="0.25">
      <c r="A23" t="s">
        <v>19</v>
      </c>
      <c r="B23" t="s">
        <v>26</v>
      </c>
      <c r="C23" s="10"/>
      <c r="D23" s="10"/>
      <c r="E23" s="10">
        <v>3211</v>
      </c>
      <c r="F23" s="10"/>
      <c r="G23" s="10">
        <f t="shared" si="0"/>
        <v>3211</v>
      </c>
      <c r="H23">
        <f t="shared" si="1"/>
        <v>0.69</v>
      </c>
      <c r="I23" s="14">
        <f t="shared" si="2"/>
        <v>4.0000000000000001E-3</v>
      </c>
    </row>
    <row r="24" spans="1:9" x14ac:dyDescent="0.25">
      <c r="A24" t="s">
        <v>19</v>
      </c>
      <c r="B24" t="s">
        <v>27</v>
      </c>
      <c r="C24" s="10"/>
      <c r="D24" s="10"/>
      <c r="E24" s="10">
        <v>87</v>
      </c>
      <c r="F24" s="10"/>
      <c r="G24" s="10">
        <f t="shared" si="0"/>
        <v>87</v>
      </c>
      <c r="H24">
        <f t="shared" si="1"/>
        <v>0.02</v>
      </c>
      <c r="I24" s="14">
        <f t="shared" si="2"/>
        <v>0</v>
      </c>
    </row>
    <row r="25" spans="1:9" x14ac:dyDescent="0.25">
      <c r="A25" t="s">
        <v>19</v>
      </c>
      <c r="B25" t="s">
        <v>29</v>
      </c>
      <c r="C25" s="10"/>
      <c r="D25" s="10"/>
      <c r="E25" s="10">
        <v>1830</v>
      </c>
      <c r="F25" s="10"/>
      <c r="G25" s="10">
        <f t="shared" si="0"/>
        <v>1830</v>
      </c>
      <c r="H25">
        <f t="shared" si="1"/>
        <v>0.39</v>
      </c>
      <c r="I25" s="14">
        <f t="shared" si="2"/>
        <v>2E-3</v>
      </c>
    </row>
    <row r="26" spans="1:9" x14ac:dyDescent="0.25">
      <c r="A26" t="s">
        <v>19</v>
      </c>
      <c r="B26" t="s">
        <v>30</v>
      </c>
      <c r="C26" s="10"/>
      <c r="D26" s="10"/>
      <c r="E26" s="10">
        <v>320</v>
      </c>
      <c r="F26" s="10"/>
      <c r="G26" s="10">
        <f t="shared" si="0"/>
        <v>320</v>
      </c>
      <c r="H26">
        <f t="shared" si="1"/>
        <v>7.0000000000000007E-2</v>
      </c>
      <c r="I26" s="14">
        <f t="shared" si="2"/>
        <v>0</v>
      </c>
    </row>
    <row r="27" spans="1:9" x14ac:dyDescent="0.25">
      <c r="A27" t="s">
        <v>19</v>
      </c>
      <c r="B27" t="s">
        <v>31</v>
      </c>
      <c r="C27" s="10"/>
      <c r="D27" s="10"/>
      <c r="E27" s="10">
        <v>180</v>
      </c>
      <c r="F27" s="10"/>
      <c r="G27" s="10">
        <f t="shared" si="0"/>
        <v>180</v>
      </c>
      <c r="H27">
        <f t="shared" si="1"/>
        <v>0.04</v>
      </c>
      <c r="I27" s="14">
        <f t="shared" si="2"/>
        <v>0</v>
      </c>
    </row>
    <row r="28" spans="1:9" x14ac:dyDescent="0.25">
      <c r="A28" t="s">
        <v>19</v>
      </c>
      <c r="B28" t="s">
        <v>32</v>
      </c>
      <c r="C28" s="10"/>
      <c r="D28" s="10"/>
      <c r="E28" s="10">
        <v>580</v>
      </c>
      <c r="F28" s="10"/>
      <c r="G28" s="10">
        <f t="shared" si="0"/>
        <v>580</v>
      </c>
      <c r="H28">
        <f t="shared" si="1"/>
        <v>0.12</v>
      </c>
      <c r="I28" s="14">
        <f t="shared" si="2"/>
        <v>1E-3</v>
      </c>
    </row>
    <row r="29" spans="1:9" x14ac:dyDescent="0.25">
      <c r="A29" t="s">
        <v>19</v>
      </c>
      <c r="B29" t="s">
        <v>42</v>
      </c>
      <c r="C29" s="10"/>
      <c r="D29" s="10">
        <v>318</v>
      </c>
      <c r="E29" s="10"/>
      <c r="F29" s="10"/>
      <c r="G29" s="10">
        <f t="shared" si="0"/>
        <v>318</v>
      </c>
      <c r="H29">
        <f t="shared" si="1"/>
        <v>7.0000000000000007E-2</v>
      </c>
      <c r="I29" s="14">
        <f t="shared" si="2"/>
        <v>0</v>
      </c>
    </row>
    <row r="30" spans="1:9" x14ac:dyDescent="0.25">
      <c r="A30" t="s">
        <v>19</v>
      </c>
      <c r="B30" t="s">
        <v>33</v>
      </c>
      <c r="C30" s="10"/>
      <c r="D30" s="10"/>
      <c r="E30" s="10">
        <v>453</v>
      </c>
      <c r="F30" s="10"/>
      <c r="G30" s="10">
        <f t="shared" si="0"/>
        <v>453</v>
      </c>
      <c r="H30">
        <f t="shared" si="1"/>
        <v>0.1</v>
      </c>
      <c r="I30" s="14">
        <f t="shared" si="2"/>
        <v>1E-3</v>
      </c>
    </row>
    <row r="31" spans="1:9" x14ac:dyDescent="0.25">
      <c r="A31" t="s">
        <v>19</v>
      </c>
      <c r="B31" t="s">
        <v>67</v>
      </c>
      <c r="C31" s="10"/>
      <c r="D31" s="10"/>
      <c r="E31" s="10">
        <v>980</v>
      </c>
      <c r="F31" s="10"/>
      <c r="G31" s="10">
        <f t="shared" si="0"/>
        <v>980</v>
      </c>
      <c r="H31">
        <f t="shared" si="1"/>
        <v>0.21</v>
      </c>
      <c r="I31" s="14">
        <f t="shared" si="2"/>
        <v>1E-3</v>
      </c>
    </row>
    <row r="32" spans="1:9" x14ac:dyDescent="0.25">
      <c r="A32" t="s">
        <v>19</v>
      </c>
      <c r="B32" t="s">
        <v>34</v>
      </c>
      <c r="C32" s="10"/>
      <c r="D32" s="10"/>
      <c r="E32" s="10">
        <v>2080</v>
      </c>
      <c r="F32" s="10"/>
      <c r="G32" s="10">
        <f t="shared" si="0"/>
        <v>2080</v>
      </c>
      <c r="H32">
        <f t="shared" si="1"/>
        <v>0.45</v>
      </c>
      <c r="I32" s="14">
        <f t="shared" si="2"/>
        <v>2E-3</v>
      </c>
    </row>
    <row r="33" spans="1:9" x14ac:dyDescent="0.25">
      <c r="A33" t="s">
        <v>19</v>
      </c>
      <c r="B33" t="s">
        <v>35</v>
      </c>
      <c r="C33" s="10"/>
      <c r="D33" s="10"/>
      <c r="E33" s="10">
        <v>3728</v>
      </c>
      <c r="F33" s="10"/>
      <c r="G33" s="10">
        <f t="shared" si="0"/>
        <v>3728</v>
      </c>
      <c r="H33">
        <f t="shared" si="1"/>
        <v>0.8</v>
      </c>
      <c r="I33" s="14">
        <f t="shared" si="2"/>
        <v>4.0000000000000001E-3</v>
      </c>
    </row>
    <row r="34" spans="1:9" x14ac:dyDescent="0.25">
      <c r="A34" t="s">
        <v>19</v>
      </c>
      <c r="B34" t="s">
        <v>40</v>
      </c>
      <c r="C34" s="10"/>
      <c r="D34" s="10"/>
      <c r="E34" s="10">
        <v>2040</v>
      </c>
      <c r="F34" s="10"/>
      <c r="G34" s="10">
        <f t="shared" si="0"/>
        <v>2040</v>
      </c>
      <c r="H34">
        <f t="shared" si="1"/>
        <v>0.44</v>
      </c>
      <c r="I34" s="14">
        <f t="shared" si="2"/>
        <v>2E-3</v>
      </c>
    </row>
    <row r="35" spans="1:9" x14ac:dyDescent="0.25">
      <c r="A35" t="s">
        <v>19</v>
      </c>
      <c r="B35" t="s">
        <v>36</v>
      </c>
      <c r="C35" s="10"/>
      <c r="D35" s="10"/>
      <c r="E35" s="10">
        <v>33100</v>
      </c>
      <c r="F35" s="10">
        <v>35</v>
      </c>
      <c r="G35" s="10">
        <f t="shared" si="0"/>
        <v>33135</v>
      </c>
      <c r="H35">
        <f t="shared" si="1"/>
        <v>7.12</v>
      </c>
      <c r="I35" s="14">
        <f t="shared" si="2"/>
        <v>3.9E-2</v>
      </c>
    </row>
    <row r="36" spans="1:9" x14ac:dyDescent="0.25">
      <c r="A36" t="s">
        <v>19</v>
      </c>
      <c r="B36" t="s">
        <v>37</v>
      </c>
      <c r="C36" s="10"/>
      <c r="D36" s="10"/>
      <c r="E36" s="10">
        <v>3460</v>
      </c>
      <c r="F36" s="10"/>
      <c r="G36" s="10">
        <f t="shared" si="0"/>
        <v>3460</v>
      </c>
      <c r="H36">
        <f t="shared" si="1"/>
        <v>0.74</v>
      </c>
      <c r="I36" s="14">
        <f t="shared" si="2"/>
        <v>4.0000000000000001E-3</v>
      </c>
    </row>
    <row r="37" spans="1:9" x14ac:dyDescent="0.25">
      <c r="A37" t="s">
        <v>19</v>
      </c>
      <c r="B37" t="s">
        <v>38</v>
      </c>
      <c r="C37" s="10"/>
      <c r="D37" s="10"/>
      <c r="E37" s="10">
        <v>8400</v>
      </c>
      <c r="F37" s="10"/>
      <c r="G37" s="10">
        <f t="shared" si="0"/>
        <v>8400</v>
      </c>
      <c r="H37">
        <f t="shared" si="1"/>
        <v>1.8</v>
      </c>
      <c r="I37" s="14">
        <f t="shared" si="2"/>
        <v>0.01</v>
      </c>
    </row>
    <row r="38" spans="1:9" x14ac:dyDescent="0.25">
      <c r="A38" t="s">
        <v>19</v>
      </c>
      <c r="B38" t="s">
        <v>39</v>
      </c>
      <c r="C38" s="10"/>
      <c r="D38" s="10"/>
      <c r="E38" s="10">
        <v>128220</v>
      </c>
      <c r="F38" s="10"/>
      <c r="G38" s="10">
        <f t="shared" si="0"/>
        <v>128220</v>
      </c>
      <c r="H38">
        <f t="shared" si="1"/>
        <v>27.53</v>
      </c>
      <c r="I38" s="14">
        <f t="shared" si="2"/>
        <v>0.15</v>
      </c>
    </row>
    <row r="39" spans="1:9" x14ac:dyDescent="0.25">
      <c r="A39" t="s">
        <v>19</v>
      </c>
      <c r="B39" t="s">
        <v>28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43</v>
      </c>
      <c r="B40" t="s">
        <v>44</v>
      </c>
      <c r="C40" s="10">
        <v>130220</v>
      </c>
      <c r="D40" s="10"/>
      <c r="E40" s="10"/>
      <c r="F40" s="10">
        <v>100</v>
      </c>
      <c r="G40" s="10">
        <f t="shared" si="0"/>
        <v>130320</v>
      </c>
      <c r="H40">
        <f t="shared" si="1"/>
        <v>27.98</v>
      </c>
      <c r="I40" s="14">
        <f t="shared" si="2"/>
        <v>0.152</v>
      </c>
    </row>
    <row r="41" spans="1:9" x14ac:dyDescent="0.25">
      <c r="A41" t="s">
        <v>43</v>
      </c>
      <c r="B41" t="s">
        <v>46</v>
      </c>
      <c r="C41" s="10"/>
      <c r="D41" s="10"/>
      <c r="E41" s="10"/>
      <c r="F41" s="10">
        <v>48740</v>
      </c>
      <c r="G41" s="10">
        <f t="shared" si="0"/>
        <v>48740</v>
      </c>
      <c r="H41">
        <f t="shared" si="1"/>
        <v>10.47</v>
      </c>
      <c r="I41" s="14">
        <f t="shared" ref="I41" si="3">ROUND(G41/$G$43,3)</f>
        <v>5.7000000000000002E-2</v>
      </c>
    </row>
    <row r="42" spans="1:9" x14ac:dyDescent="0.25">
      <c r="A42" t="s">
        <v>43</v>
      </c>
      <c r="B42" t="s">
        <v>45</v>
      </c>
      <c r="C42" s="10"/>
      <c r="D42" s="10"/>
      <c r="E42" s="10">
        <v>21040</v>
      </c>
      <c r="F42" s="10"/>
      <c r="G42" s="10">
        <f t="shared" si="0"/>
        <v>21040</v>
      </c>
      <c r="H42">
        <f t="shared" si="1"/>
        <v>4.5199999999999996</v>
      </c>
      <c r="I42" s="14">
        <f>ROUND(G42/$G$43,3)</f>
        <v>2.5000000000000001E-2</v>
      </c>
    </row>
    <row r="43" spans="1:9" x14ac:dyDescent="0.25">
      <c r="A43" s="3" t="s">
        <v>253</v>
      </c>
      <c r="B43" s="3"/>
      <c r="C43" s="8">
        <f t="shared" ref="C43:H43" si="4">SUM(C8:C42)</f>
        <v>563020</v>
      </c>
      <c r="D43" s="8">
        <f t="shared" si="4"/>
        <v>318</v>
      </c>
      <c r="E43" s="8">
        <f t="shared" si="4"/>
        <v>243534</v>
      </c>
      <c r="F43" s="8">
        <f t="shared" si="4"/>
        <v>49735</v>
      </c>
      <c r="G43" s="8">
        <f t="shared" si="4"/>
        <v>856607</v>
      </c>
      <c r="H43" s="3">
        <f t="shared" si="4"/>
        <v>183.94999999999996</v>
      </c>
    </row>
    <row r="44" spans="1:9" x14ac:dyDescent="0.25">
      <c r="A44" s="3" t="s">
        <v>14</v>
      </c>
      <c r="B44" s="3"/>
      <c r="C44" s="13">
        <f>ROUND(C43/G43,2)</f>
        <v>0.66</v>
      </c>
      <c r="D44" s="13">
        <f>ROUND(D43/G43,2)</f>
        <v>0</v>
      </c>
      <c r="E44" s="13">
        <f>ROUND(E43/G43,2)</f>
        <v>0.28000000000000003</v>
      </c>
      <c r="F44" s="13">
        <f>ROUND(F43/G43,2)</f>
        <v>0.06</v>
      </c>
      <c r="G44" s="3"/>
      <c r="H44" s="3"/>
    </row>
    <row r="45" spans="1:9" x14ac:dyDescent="0.25">
      <c r="A45" s="3" t="s">
        <v>47</v>
      </c>
      <c r="B45" s="3"/>
      <c r="C45" s="3"/>
      <c r="D45" s="3"/>
      <c r="E45" s="3"/>
      <c r="F45" s="3"/>
      <c r="G45" s="3"/>
      <c r="H45" s="3"/>
    </row>
    <row r="46" spans="1:9" x14ac:dyDescent="0.25">
      <c r="A46" s="3" t="s">
        <v>48</v>
      </c>
      <c r="B46" s="3"/>
      <c r="C46" s="8">
        <v>432800</v>
      </c>
      <c r="D46" s="8">
        <v>318</v>
      </c>
      <c r="E46" s="8">
        <v>222494</v>
      </c>
      <c r="F46" s="8">
        <v>535</v>
      </c>
      <c r="G46" s="8">
        <f>SUM(C46:F46)</f>
        <v>656147</v>
      </c>
      <c r="H46" s="3">
        <f>ROUND(G46/4657,2)</f>
        <v>140.88999999999999</v>
      </c>
    </row>
    <row r="47" spans="1:9" x14ac:dyDescent="0.25">
      <c r="A47" s="3" t="s">
        <v>49</v>
      </c>
      <c r="B47" s="3"/>
      <c r="C47" s="8">
        <v>130220</v>
      </c>
      <c r="D47" s="8">
        <v>0</v>
      </c>
      <c r="E47" s="8">
        <v>21040</v>
      </c>
      <c r="F47" s="8">
        <v>48840</v>
      </c>
      <c r="G47" s="8">
        <f>SUM(C47:F47)</f>
        <v>200100</v>
      </c>
      <c r="H47" s="3">
        <f>ROUND(G47/4657,2)</f>
        <v>42.97</v>
      </c>
    </row>
    <row r="48" spans="1:9" x14ac:dyDescent="0.25">
      <c r="A48" s="3" t="s">
        <v>50</v>
      </c>
      <c r="B48" s="3"/>
      <c r="C48" s="8">
        <v>0</v>
      </c>
      <c r="D48" s="8">
        <v>0</v>
      </c>
      <c r="E48" s="8">
        <v>0</v>
      </c>
      <c r="F48" s="8">
        <v>360</v>
      </c>
      <c r="G48" s="8">
        <f>SUM(C48:F48)</f>
        <v>360</v>
      </c>
      <c r="H48" s="3">
        <f>ROUND(G48/4657,2)</f>
        <v>0.08</v>
      </c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 t="s">
        <v>2</v>
      </c>
      <c r="D50" s="3">
        <v>2022</v>
      </c>
      <c r="E50" s="3" t="s">
        <v>51</v>
      </c>
      <c r="F50" s="3"/>
      <c r="G50" s="3"/>
      <c r="H50" s="3"/>
    </row>
    <row r="51" spans="1:8" x14ac:dyDescent="0.25">
      <c r="A51" s="3" t="s">
        <v>52</v>
      </c>
      <c r="B51" s="3"/>
      <c r="C51" s="13">
        <v>0.84279999999999999</v>
      </c>
      <c r="D51" s="13">
        <v>0.77149999999999996</v>
      </c>
      <c r="E51" s="13">
        <v>0.77659999999999996</v>
      </c>
      <c r="F51" s="3"/>
      <c r="G51" s="3"/>
      <c r="H51" s="3"/>
    </row>
    <row r="52" spans="1:8" x14ac:dyDescent="0.25">
      <c r="A52" s="3" t="s">
        <v>53</v>
      </c>
      <c r="B52" s="3"/>
      <c r="C52" s="13">
        <v>0.83340000000000003</v>
      </c>
      <c r="D52" s="13">
        <v>0.76170000000000004</v>
      </c>
      <c r="E52" s="13">
        <v>0.75900000000000001</v>
      </c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 t="s">
        <v>256</v>
      </c>
      <c r="B54" s="3"/>
      <c r="C54" s="3" t="s">
        <v>2</v>
      </c>
      <c r="D54" s="3" t="s">
        <v>202</v>
      </c>
      <c r="E54" s="3" t="s">
        <v>55</v>
      </c>
      <c r="F54" s="3" t="s">
        <v>254</v>
      </c>
      <c r="G54" s="3"/>
      <c r="H54" s="3"/>
    </row>
    <row r="55" spans="1:8" x14ac:dyDescent="0.25">
      <c r="A55" s="3" t="s">
        <v>56</v>
      </c>
      <c r="B55" s="3"/>
      <c r="C55" s="3"/>
      <c r="D55" s="3">
        <v>79.91</v>
      </c>
      <c r="E55" s="3">
        <v>81.5</v>
      </c>
      <c r="F55" s="3">
        <v>50.61</v>
      </c>
      <c r="G55" s="3"/>
      <c r="H55" s="3"/>
    </row>
    <row r="56" spans="1:8" x14ac:dyDescent="0.25">
      <c r="A56" s="3" t="s">
        <v>57</v>
      </c>
      <c r="B56" s="3"/>
      <c r="C56" s="3"/>
      <c r="D56" s="3">
        <v>59.57</v>
      </c>
      <c r="E56" s="3">
        <v>58.24</v>
      </c>
      <c r="F56" s="3">
        <v>57.37</v>
      </c>
      <c r="G56" s="3"/>
      <c r="H56" s="3"/>
    </row>
    <row r="57" spans="1:8" x14ac:dyDescent="0.25">
      <c r="A57" s="3" t="s">
        <v>58</v>
      </c>
      <c r="B57" s="3"/>
      <c r="C57" s="3"/>
      <c r="D57" s="3">
        <v>283.57</v>
      </c>
      <c r="E57" s="3">
        <v>261.52999999999997</v>
      </c>
      <c r="F57" s="3">
        <v>249.57</v>
      </c>
      <c r="G57" s="3"/>
      <c r="H57" s="3"/>
    </row>
    <row r="58" spans="1:8" x14ac:dyDescent="0.25">
      <c r="A58" s="3" t="s">
        <v>59</v>
      </c>
      <c r="B58" s="3"/>
      <c r="C58" s="3"/>
      <c r="D58" s="3">
        <v>105.72</v>
      </c>
      <c r="E58" s="3">
        <v>103.11</v>
      </c>
      <c r="F58" s="3">
        <v>71.400000000000006</v>
      </c>
      <c r="G58" s="3"/>
      <c r="H5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I60"/>
  <sheetViews>
    <sheetView topLeftCell="A36" workbookViewId="0">
      <selection activeCell="G57" sqref="G57:G60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7109375" bestFit="1" customWidth="1"/>
    <col min="4" max="4" width="27" bestFit="1" customWidth="1"/>
    <col min="5" max="5" width="13.85546875" bestFit="1" customWidth="1"/>
    <col min="6" max="6" width="9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203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6006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17</v>
      </c>
      <c r="C9" s="10"/>
      <c r="D9" s="10"/>
      <c r="E9" s="10"/>
      <c r="F9" s="10">
        <v>635</v>
      </c>
      <c r="G9" s="10">
        <f t="shared" ref="G9:G44" si="0">SUM(C9:F9)</f>
        <v>635</v>
      </c>
      <c r="H9" s="19">
        <f t="shared" ref="H9:H44" si="1">ROUND(G9/6006,2)</f>
        <v>0.11</v>
      </c>
      <c r="I9" s="4">
        <f t="shared" ref="I9:I40" si="2">ROUND(G9/$G$45,3)</f>
        <v>1E-3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 s="19">
        <f t="shared" si="1"/>
        <v>0</v>
      </c>
      <c r="I10" s="4">
        <f t="shared" si="2"/>
        <v>0</v>
      </c>
    </row>
    <row r="11" spans="1:9" x14ac:dyDescent="0.25">
      <c r="A11" t="s">
        <v>15</v>
      </c>
      <c r="B11" t="s">
        <v>16</v>
      </c>
      <c r="C11" s="10"/>
      <c r="D11" s="10"/>
      <c r="E11" s="10"/>
      <c r="F11" s="10"/>
      <c r="G11" s="10">
        <f t="shared" si="0"/>
        <v>0</v>
      </c>
      <c r="H11" s="19">
        <f t="shared" si="1"/>
        <v>0</v>
      </c>
      <c r="I11" s="4">
        <f t="shared" si="2"/>
        <v>0</v>
      </c>
    </row>
    <row r="12" spans="1:9" x14ac:dyDescent="0.25">
      <c r="A12" t="s">
        <v>15</v>
      </c>
      <c r="B12" t="s">
        <v>63</v>
      </c>
      <c r="C12" s="10"/>
      <c r="D12" s="10"/>
      <c r="E12" s="10"/>
      <c r="F12" s="10"/>
      <c r="G12" s="10">
        <f t="shared" si="0"/>
        <v>0</v>
      </c>
      <c r="H12" s="19">
        <f t="shared" si="1"/>
        <v>0</v>
      </c>
      <c r="I12" s="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71</v>
      </c>
      <c r="F13" s="10"/>
      <c r="G13" s="10">
        <f t="shared" si="0"/>
        <v>71</v>
      </c>
      <c r="H13" s="19">
        <f t="shared" si="1"/>
        <v>0.01</v>
      </c>
      <c r="I13" s="4">
        <f t="shared" si="2"/>
        <v>0</v>
      </c>
    </row>
    <row r="14" spans="1:9" x14ac:dyDescent="0.25">
      <c r="A14" t="s">
        <v>19</v>
      </c>
      <c r="B14" t="s">
        <v>20</v>
      </c>
      <c r="C14" s="10">
        <v>94180</v>
      </c>
      <c r="D14" s="10"/>
      <c r="E14" s="10">
        <v>3030</v>
      </c>
      <c r="F14" s="10">
        <v>2760</v>
      </c>
      <c r="G14" s="10">
        <f t="shared" si="0"/>
        <v>99970</v>
      </c>
      <c r="H14" s="19">
        <f t="shared" si="1"/>
        <v>16.649999999999999</v>
      </c>
      <c r="I14" s="4">
        <f t="shared" si="2"/>
        <v>8.8999999999999996E-2</v>
      </c>
    </row>
    <row r="15" spans="1:9" x14ac:dyDescent="0.25">
      <c r="A15" t="s">
        <v>19</v>
      </c>
      <c r="B15" t="s">
        <v>21</v>
      </c>
      <c r="C15" s="10">
        <v>121530</v>
      </c>
      <c r="D15" s="10"/>
      <c r="E15" s="10"/>
      <c r="F15" s="10"/>
      <c r="G15" s="10">
        <f t="shared" si="0"/>
        <v>121530</v>
      </c>
      <c r="H15" s="19">
        <f t="shared" si="1"/>
        <v>20.23</v>
      </c>
      <c r="I15" s="4">
        <f t="shared" si="2"/>
        <v>0.108</v>
      </c>
    </row>
    <row r="16" spans="1:9" x14ac:dyDescent="0.25">
      <c r="A16" t="s">
        <v>19</v>
      </c>
      <c r="B16" t="s">
        <v>76</v>
      </c>
      <c r="C16" s="10"/>
      <c r="D16" s="10"/>
      <c r="E16" s="10">
        <v>106</v>
      </c>
      <c r="F16" s="10"/>
      <c r="G16" s="10">
        <f t="shared" si="0"/>
        <v>106</v>
      </c>
      <c r="H16" s="19">
        <f t="shared" si="1"/>
        <v>0.02</v>
      </c>
      <c r="I16" s="4">
        <f t="shared" si="2"/>
        <v>0</v>
      </c>
    </row>
    <row r="17" spans="1:9" x14ac:dyDescent="0.25">
      <c r="A17" t="s">
        <v>19</v>
      </c>
      <c r="B17" t="s">
        <v>41</v>
      </c>
      <c r="C17" s="10"/>
      <c r="D17" s="10"/>
      <c r="E17" s="10">
        <v>152</v>
      </c>
      <c r="F17" s="10"/>
      <c r="G17" s="10">
        <f t="shared" si="0"/>
        <v>152</v>
      </c>
      <c r="H17" s="19">
        <f t="shared" si="1"/>
        <v>0.03</v>
      </c>
      <c r="I17" s="4">
        <f t="shared" si="2"/>
        <v>0</v>
      </c>
    </row>
    <row r="18" spans="1:9" x14ac:dyDescent="0.25">
      <c r="A18" t="s">
        <v>19</v>
      </c>
      <c r="B18" t="s">
        <v>22</v>
      </c>
      <c r="C18" s="10"/>
      <c r="D18" s="10"/>
      <c r="E18" s="10">
        <v>3500</v>
      </c>
      <c r="F18" s="10"/>
      <c r="G18" s="10">
        <f t="shared" si="0"/>
        <v>3500</v>
      </c>
      <c r="H18" s="19">
        <f t="shared" si="1"/>
        <v>0.57999999999999996</v>
      </c>
      <c r="I18" s="4">
        <f t="shared" si="2"/>
        <v>3.0000000000000001E-3</v>
      </c>
    </row>
    <row r="19" spans="1:9" x14ac:dyDescent="0.25">
      <c r="A19" t="s">
        <v>19</v>
      </c>
      <c r="B19" t="s">
        <v>77</v>
      </c>
      <c r="C19" s="10"/>
      <c r="D19" s="10"/>
      <c r="E19" s="10"/>
      <c r="F19" s="10">
        <v>380</v>
      </c>
      <c r="G19" s="10">
        <f t="shared" si="0"/>
        <v>380</v>
      </c>
      <c r="H19" s="19">
        <f t="shared" si="1"/>
        <v>0.06</v>
      </c>
      <c r="I19" s="4">
        <f t="shared" si="2"/>
        <v>0</v>
      </c>
    </row>
    <row r="20" spans="1:9" x14ac:dyDescent="0.25">
      <c r="A20" t="s">
        <v>19</v>
      </c>
      <c r="B20" t="s">
        <v>23</v>
      </c>
      <c r="C20" s="10"/>
      <c r="D20" s="10"/>
      <c r="E20" s="10">
        <v>28480</v>
      </c>
      <c r="F20" s="10"/>
      <c r="G20" s="10">
        <f t="shared" si="0"/>
        <v>28480</v>
      </c>
      <c r="H20" s="19">
        <f t="shared" si="1"/>
        <v>4.74</v>
      </c>
      <c r="I20" s="4">
        <f t="shared" si="2"/>
        <v>2.5000000000000001E-2</v>
      </c>
    </row>
    <row r="21" spans="1:9" x14ac:dyDescent="0.25">
      <c r="A21" t="s">
        <v>19</v>
      </c>
      <c r="B21" t="s">
        <v>24</v>
      </c>
      <c r="C21" s="10">
        <v>166400</v>
      </c>
      <c r="D21" s="10"/>
      <c r="E21" s="10">
        <v>13340</v>
      </c>
      <c r="F21" s="10">
        <v>7560</v>
      </c>
      <c r="G21" s="10">
        <f t="shared" si="0"/>
        <v>187300</v>
      </c>
      <c r="H21" s="19">
        <f t="shared" si="1"/>
        <v>31.19</v>
      </c>
      <c r="I21" s="4">
        <f t="shared" si="2"/>
        <v>0.16600000000000001</v>
      </c>
    </row>
    <row r="22" spans="1:9" x14ac:dyDescent="0.25">
      <c r="A22" t="s">
        <v>19</v>
      </c>
      <c r="B22" t="s">
        <v>66</v>
      </c>
      <c r="C22" s="10"/>
      <c r="D22" s="10"/>
      <c r="E22" s="10">
        <v>5395</v>
      </c>
      <c r="F22" s="10"/>
      <c r="G22" s="10">
        <f t="shared" si="0"/>
        <v>5395</v>
      </c>
      <c r="H22" s="19">
        <f t="shared" si="1"/>
        <v>0.9</v>
      </c>
      <c r="I22" s="4">
        <f t="shared" si="2"/>
        <v>5.0000000000000001E-3</v>
      </c>
    </row>
    <row r="23" spans="1:9" x14ac:dyDescent="0.25">
      <c r="A23" t="s">
        <v>19</v>
      </c>
      <c r="B23" t="s">
        <v>25</v>
      </c>
      <c r="C23" s="10">
        <v>200440</v>
      </c>
      <c r="D23" s="10"/>
      <c r="E23" s="10"/>
      <c r="F23" s="10"/>
      <c r="G23" s="10">
        <f t="shared" si="0"/>
        <v>200440</v>
      </c>
      <c r="H23" s="19">
        <f t="shared" si="1"/>
        <v>33.369999999999997</v>
      </c>
      <c r="I23" s="4">
        <f t="shared" si="2"/>
        <v>0.17799999999999999</v>
      </c>
    </row>
    <row r="24" spans="1:9" x14ac:dyDescent="0.25">
      <c r="A24" t="s">
        <v>19</v>
      </c>
      <c r="B24" t="s">
        <v>26</v>
      </c>
      <c r="C24" s="10"/>
      <c r="D24" s="10"/>
      <c r="E24" s="10">
        <v>1436</v>
      </c>
      <c r="F24" s="10"/>
      <c r="G24" s="10">
        <f t="shared" si="0"/>
        <v>1436</v>
      </c>
      <c r="H24" s="19">
        <f t="shared" si="1"/>
        <v>0.24</v>
      </c>
      <c r="I24" s="4">
        <f t="shared" si="2"/>
        <v>1E-3</v>
      </c>
    </row>
    <row r="25" spans="1:9" x14ac:dyDescent="0.25">
      <c r="A25" t="s">
        <v>19</v>
      </c>
      <c r="B25" t="s">
        <v>27</v>
      </c>
      <c r="C25" s="10"/>
      <c r="D25" s="10"/>
      <c r="E25" s="10">
        <v>805</v>
      </c>
      <c r="F25" s="10"/>
      <c r="G25" s="10">
        <f t="shared" si="0"/>
        <v>805</v>
      </c>
      <c r="H25" s="19">
        <f t="shared" si="1"/>
        <v>0.13</v>
      </c>
      <c r="I25" s="4">
        <f t="shared" si="2"/>
        <v>1E-3</v>
      </c>
    </row>
    <row r="26" spans="1:9" x14ac:dyDescent="0.25">
      <c r="A26" t="s">
        <v>19</v>
      </c>
      <c r="B26" t="s">
        <v>28</v>
      </c>
      <c r="C26" s="10"/>
      <c r="D26" s="10"/>
      <c r="E26" s="10">
        <v>196</v>
      </c>
      <c r="F26" s="10"/>
      <c r="G26" s="10">
        <f t="shared" si="0"/>
        <v>196</v>
      </c>
      <c r="H26" s="19">
        <f t="shared" si="1"/>
        <v>0.03</v>
      </c>
      <c r="I26" s="4">
        <f t="shared" si="2"/>
        <v>0</v>
      </c>
    </row>
    <row r="27" spans="1:9" x14ac:dyDescent="0.25">
      <c r="A27" t="s">
        <v>19</v>
      </c>
      <c r="B27" t="s">
        <v>29</v>
      </c>
      <c r="C27" s="10"/>
      <c r="D27" s="10"/>
      <c r="E27" s="10">
        <v>4430</v>
      </c>
      <c r="F27" s="10"/>
      <c r="G27" s="10">
        <f t="shared" si="0"/>
        <v>4430</v>
      </c>
      <c r="H27" s="19">
        <f t="shared" si="1"/>
        <v>0.74</v>
      </c>
      <c r="I27" s="4">
        <f t="shared" si="2"/>
        <v>4.0000000000000001E-3</v>
      </c>
    </row>
    <row r="28" spans="1:9" x14ac:dyDescent="0.25">
      <c r="A28" t="s">
        <v>19</v>
      </c>
      <c r="B28" t="s">
        <v>30</v>
      </c>
      <c r="C28" s="10"/>
      <c r="D28" s="10"/>
      <c r="E28" s="10">
        <v>960</v>
      </c>
      <c r="F28" s="10"/>
      <c r="G28" s="10">
        <f t="shared" si="0"/>
        <v>960</v>
      </c>
      <c r="H28" s="19">
        <f t="shared" si="1"/>
        <v>0.16</v>
      </c>
      <c r="I28" s="4">
        <f t="shared" si="2"/>
        <v>1E-3</v>
      </c>
    </row>
    <row r="29" spans="1:9" x14ac:dyDescent="0.25">
      <c r="A29" t="s">
        <v>19</v>
      </c>
      <c r="B29" t="s">
        <v>31</v>
      </c>
      <c r="C29" s="10"/>
      <c r="D29" s="10"/>
      <c r="E29" s="10">
        <v>460</v>
      </c>
      <c r="F29" s="10"/>
      <c r="G29" s="10">
        <f t="shared" si="0"/>
        <v>460</v>
      </c>
      <c r="H29" s="19">
        <f t="shared" si="1"/>
        <v>0.08</v>
      </c>
      <c r="I29" s="4">
        <f t="shared" si="2"/>
        <v>0</v>
      </c>
    </row>
    <row r="30" spans="1:9" x14ac:dyDescent="0.25">
      <c r="A30" t="s">
        <v>19</v>
      </c>
      <c r="B30" t="s">
        <v>32</v>
      </c>
      <c r="C30" s="10"/>
      <c r="D30" s="10"/>
      <c r="E30" s="10">
        <v>1945</v>
      </c>
      <c r="F30" s="10"/>
      <c r="G30" s="10">
        <f t="shared" si="0"/>
        <v>1945</v>
      </c>
      <c r="H30" s="19">
        <f t="shared" si="1"/>
        <v>0.32</v>
      </c>
      <c r="I30" s="4">
        <f t="shared" si="2"/>
        <v>2E-3</v>
      </c>
    </row>
    <row r="31" spans="1:9" x14ac:dyDescent="0.25">
      <c r="A31" t="s">
        <v>19</v>
      </c>
      <c r="B31" t="s">
        <v>42</v>
      </c>
      <c r="C31" s="10"/>
      <c r="D31" s="10">
        <v>266</v>
      </c>
      <c r="E31" s="10"/>
      <c r="F31" s="10"/>
      <c r="G31" s="10">
        <f t="shared" si="0"/>
        <v>266</v>
      </c>
      <c r="H31" s="19">
        <f t="shared" si="1"/>
        <v>0.04</v>
      </c>
      <c r="I31" s="4">
        <f t="shared" si="2"/>
        <v>0</v>
      </c>
    </row>
    <row r="32" spans="1:9" x14ac:dyDescent="0.25">
      <c r="A32" t="s">
        <v>19</v>
      </c>
      <c r="B32" t="s">
        <v>67</v>
      </c>
      <c r="C32" s="10"/>
      <c r="D32" s="10"/>
      <c r="E32" s="10">
        <v>2050</v>
      </c>
      <c r="F32" s="10"/>
      <c r="G32" s="10">
        <f t="shared" si="0"/>
        <v>2050</v>
      </c>
      <c r="H32" s="19">
        <f t="shared" si="1"/>
        <v>0.34</v>
      </c>
      <c r="I32" s="4">
        <f t="shared" si="2"/>
        <v>2E-3</v>
      </c>
    </row>
    <row r="33" spans="1:9" x14ac:dyDescent="0.25">
      <c r="A33" t="s">
        <v>19</v>
      </c>
      <c r="B33" t="s">
        <v>33</v>
      </c>
      <c r="C33" s="10"/>
      <c r="D33" s="10"/>
      <c r="E33" s="10">
        <v>569</v>
      </c>
      <c r="F33" s="10"/>
      <c r="G33" s="10">
        <f t="shared" si="0"/>
        <v>569</v>
      </c>
      <c r="H33" s="19">
        <f t="shared" si="1"/>
        <v>0.09</v>
      </c>
      <c r="I33" s="4">
        <f t="shared" si="2"/>
        <v>1E-3</v>
      </c>
    </row>
    <row r="34" spans="1:9" x14ac:dyDescent="0.25">
      <c r="A34" t="s">
        <v>19</v>
      </c>
      <c r="B34" t="s">
        <v>34</v>
      </c>
      <c r="C34" s="10"/>
      <c r="D34" s="10"/>
      <c r="E34" s="10">
        <v>3393</v>
      </c>
      <c r="F34" s="10"/>
      <c r="G34" s="10">
        <f t="shared" si="0"/>
        <v>3393</v>
      </c>
      <c r="H34" s="19">
        <f t="shared" si="1"/>
        <v>0.56000000000000005</v>
      </c>
      <c r="I34" s="4">
        <f t="shared" si="2"/>
        <v>3.0000000000000001E-3</v>
      </c>
    </row>
    <row r="35" spans="1:9" x14ac:dyDescent="0.25">
      <c r="A35" t="s">
        <v>19</v>
      </c>
      <c r="B35" t="s">
        <v>40</v>
      </c>
      <c r="C35" s="10"/>
      <c r="D35" s="10"/>
      <c r="E35" s="10">
        <v>10646</v>
      </c>
      <c r="F35" s="10"/>
      <c r="G35" s="10">
        <f t="shared" si="0"/>
        <v>10646</v>
      </c>
      <c r="H35" s="19">
        <f t="shared" si="1"/>
        <v>1.77</v>
      </c>
      <c r="I35" s="4">
        <f t="shared" si="2"/>
        <v>8.9999999999999993E-3</v>
      </c>
    </row>
    <row r="36" spans="1:9" x14ac:dyDescent="0.25">
      <c r="A36" t="s">
        <v>19</v>
      </c>
      <c r="B36" t="s">
        <v>35</v>
      </c>
      <c r="C36" s="10"/>
      <c r="D36" s="10"/>
      <c r="E36" s="10">
        <v>3020</v>
      </c>
      <c r="F36" s="10"/>
      <c r="G36" s="10">
        <f t="shared" si="0"/>
        <v>3020</v>
      </c>
      <c r="H36" s="19">
        <f t="shared" si="1"/>
        <v>0.5</v>
      </c>
      <c r="I36" s="4">
        <f t="shared" si="2"/>
        <v>3.0000000000000001E-3</v>
      </c>
    </row>
    <row r="37" spans="1:9" x14ac:dyDescent="0.25">
      <c r="A37" t="s">
        <v>19</v>
      </c>
      <c r="B37" t="s">
        <v>36</v>
      </c>
      <c r="C37" s="10"/>
      <c r="D37" s="10"/>
      <c r="E37" s="10">
        <v>81470</v>
      </c>
      <c r="F37" s="10"/>
      <c r="G37" s="10">
        <f t="shared" si="0"/>
        <v>81470</v>
      </c>
      <c r="H37" s="19">
        <f t="shared" si="1"/>
        <v>13.56</v>
      </c>
      <c r="I37" s="4">
        <f t="shared" si="2"/>
        <v>7.1999999999999995E-2</v>
      </c>
    </row>
    <row r="38" spans="1:9" x14ac:dyDescent="0.25">
      <c r="A38" t="s">
        <v>19</v>
      </c>
      <c r="B38" t="s">
        <v>37</v>
      </c>
      <c r="C38" s="10"/>
      <c r="D38" s="10"/>
      <c r="E38" s="10">
        <v>3440</v>
      </c>
      <c r="F38" s="10"/>
      <c r="G38" s="10">
        <f t="shared" si="0"/>
        <v>3440</v>
      </c>
      <c r="H38" s="19">
        <f t="shared" si="1"/>
        <v>0.56999999999999995</v>
      </c>
      <c r="I38" s="4">
        <f t="shared" si="2"/>
        <v>3.0000000000000001E-3</v>
      </c>
    </row>
    <row r="39" spans="1:9" x14ac:dyDescent="0.25">
      <c r="A39" t="s">
        <v>19</v>
      </c>
      <c r="B39" t="s">
        <v>38</v>
      </c>
      <c r="C39" s="10"/>
      <c r="D39" s="10"/>
      <c r="E39" s="10">
        <v>16360</v>
      </c>
      <c r="F39" s="10"/>
      <c r="G39" s="10">
        <f t="shared" si="0"/>
        <v>16360</v>
      </c>
      <c r="H39" s="19">
        <f t="shared" si="1"/>
        <v>2.72</v>
      </c>
      <c r="I39" s="4">
        <f t="shared" si="2"/>
        <v>1.4E-2</v>
      </c>
    </row>
    <row r="40" spans="1:9" x14ac:dyDescent="0.25">
      <c r="A40" t="s">
        <v>19</v>
      </c>
      <c r="B40" t="s">
        <v>39</v>
      </c>
      <c r="C40" s="10"/>
      <c r="D40" s="10"/>
      <c r="E40" s="10">
        <v>104020</v>
      </c>
      <c r="F40" s="10">
        <v>1000</v>
      </c>
      <c r="G40" s="10">
        <f t="shared" si="0"/>
        <v>105020</v>
      </c>
      <c r="H40" s="19">
        <f t="shared" si="1"/>
        <v>17.489999999999998</v>
      </c>
      <c r="I40" s="4">
        <f t="shared" si="2"/>
        <v>9.2999999999999999E-2</v>
      </c>
    </row>
    <row r="41" spans="1:9" x14ac:dyDescent="0.25">
      <c r="A41" t="s">
        <v>19</v>
      </c>
      <c r="B41" t="s">
        <v>71</v>
      </c>
      <c r="C41" s="10"/>
      <c r="D41" s="10"/>
      <c r="E41" s="10"/>
      <c r="F41" s="10"/>
      <c r="G41" s="10">
        <f t="shared" si="0"/>
        <v>0</v>
      </c>
      <c r="H41" s="19">
        <f t="shared" si="1"/>
        <v>0</v>
      </c>
      <c r="I41" s="4">
        <f t="shared" ref="I41" si="3">ROUND(G41/$G$45,3)</f>
        <v>0</v>
      </c>
    </row>
    <row r="42" spans="1:9" x14ac:dyDescent="0.25">
      <c r="A42" t="s">
        <v>43</v>
      </c>
      <c r="B42" t="s">
        <v>44</v>
      </c>
      <c r="C42" s="10">
        <v>192270</v>
      </c>
      <c r="D42" s="10"/>
      <c r="E42" s="10"/>
      <c r="F42" s="10"/>
      <c r="G42" s="10">
        <f t="shared" si="0"/>
        <v>192270</v>
      </c>
      <c r="H42" s="19">
        <f t="shared" si="1"/>
        <v>32.01</v>
      </c>
      <c r="I42" s="4">
        <f>ROUND(G42/$G$45,3)</f>
        <v>0.17</v>
      </c>
    </row>
    <row r="43" spans="1:9" x14ac:dyDescent="0.25">
      <c r="A43" t="s">
        <v>43</v>
      </c>
      <c r="B43" t="s">
        <v>46</v>
      </c>
      <c r="C43" s="10"/>
      <c r="D43" s="10"/>
      <c r="E43" s="10"/>
      <c r="F43" s="10">
        <v>2400</v>
      </c>
      <c r="G43" s="10">
        <f t="shared" si="0"/>
        <v>2400</v>
      </c>
      <c r="H43" s="19">
        <f t="shared" si="1"/>
        <v>0.4</v>
      </c>
      <c r="I43" s="4">
        <f>ROUND(G43/$G$45,3)</f>
        <v>2E-3</v>
      </c>
    </row>
    <row r="44" spans="1:9" x14ac:dyDescent="0.25">
      <c r="A44" t="s">
        <v>43</v>
      </c>
      <c r="B44" t="s">
        <v>45</v>
      </c>
      <c r="C44" s="10"/>
      <c r="D44" s="10"/>
      <c r="E44" s="10">
        <v>50110</v>
      </c>
      <c r="F44" s="10"/>
      <c r="G44" s="10">
        <f t="shared" si="0"/>
        <v>50110</v>
      </c>
      <c r="H44" s="19">
        <f t="shared" si="1"/>
        <v>8.34</v>
      </c>
      <c r="I44" s="4">
        <f>ROUND(G44/$G$45,3)</f>
        <v>4.3999999999999997E-2</v>
      </c>
    </row>
    <row r="45" spans="1:9" x14ac:dyDescent="0.25">
      <c r="A45" s="3" t="s">
        <v>253</v>
      </c>
      <c r="B45" s="3"/>
      <c r="C45" s="8">
        <f t="shared" ref="C45:H45" si="4">SUM(C8:C44)</f>
        <v>774820</v>
      </c>
      <c r="D45" s="8">
        <f t="shared" si="4"/>
        <v>266</v>
      </c>
      <c r="E45" s="8">
        <f t="shared" si="4"/>
        <v>339384</v>
      </c>
      <c r="F45" s="8">
        <f t="shared" si="4"/>
        <v>14735</v>
      </c>
      <c r="G45" s="8">
        <f t="shared" si="4"/>
        <v>1129205</v>
      </c>
      <c r="H45" s="20">
        <f t="shared" si="4"/>
        <v>187.98000000000002</v>
      </c>
    </row>
    <row r="46" spans="1:9" x14ac:dyDescent="0.25">
      <c r="A46" s="3" t="s">
        <v>14</v>
      </c>
      <c r="B46" s="3"/>
      <c r="C46" s="12">
        <f>ROUND(C45/G45,2)</f>
        <v>0.69</v>
      </c>
      <c r="D46" s="12">
        <f>ROUND(D45/G45,2)</f>
        <v>0</v>
      </c>
      <c r="E46" s="12">
        <f>ROUND(E45/G45,2)</f>
        <v>0.3</v>
      </c>
      <c r="F46" s="12">
        <f>ROUND(F45/G45,2)</f>
        <v>0.01</v>
      </c>
      <c r="G46" s="7"/>
      <c r="H46" s="3"/>
    </row>
    <row r="47" spans="1:9" x14ac:dyDescent="0.25">
      <c r="A47" s="3" t="s">
        <v>47</v>
      </c>
      <c r="B47" s="3"/>
      <c r="C47" s="3"/>
      <c r="D47" s="3"/>
      <c r="E47" s="3"/>
      <c r="F47" s="3"/>
      <c r="G47" s="3"/>
      <c r="H47" s="3"/>
    </row>
    <row r="48" spans="1:9" x14ac:dyDescent="0.25">
      <c r="A48" s="3" t="s">
        <v>48</v>
      </c>
      <c r="B48" s="3"/>
      <c r="C48" s="8">
        <v>582550</v>
      </c>
      <c r="D48" s="8">
        <v>266</v>
      </c>
      <c r="E48" s="8">
        <v>289274</v>
      </c>
      <c r="F48" s="8">
        <v>11700</v>
      </c>
      <c r="G48" s="8">
        <f>SUM(C48:F48)</f>
        <v>883790</v>
      </c>
      <c r="H48" s="20">
        <f>ROUND(G48/6006,2)</f>
        <v>147.15</v>
      </c>
    </row>
    <row r="49" spans="1:8" x14ac:dyDescent="0.25">
      <c r="A49" s="3" t="s">
        <v>49</v>
      </c>
      <c r="B49" s="3"/>
      <c r="C49" s="8">
        <v>192270</v>
      </c>
      <c r="D49" s="8">
        <v>0</v>
      </c>
      <c r="E49" s="8">
        <v>50110</v>
      </c>
      <c r="F49" s="8">
        <v>2400</v>
      </c>
      <c r="G49" s="8">
        <f>SUM(C49:F49)</f>
        <v>244780</v>
      </c>
      <c r="H49" s="20">
        <f>ROUND(G49/6006,2)</f>
        <v>40.76</v>
      </c>
    </row>
    <row r="50" spans="1:8" x14ac:dyDescent="0.25">
      <c r="A50" s="3" t="s">
        <v>50</v>
      </c>
      <c r="B50" s="3"/>
      <c r="C50" s="8">
        <v>0</v>
      </c>
      <c r="D50" s="8">
        <v>0</v>
      </c>
      <c r="E50" s="8">
        <v>0</v>
      </c>
      <c r="F50" s="8">
        <v>635</v>
      </c>
      <c r="G50" s="8">
        <f>SUM(C50:F50)</f>
        <v>635</v>
      </c>
      <c r="H50" s="20">
        <f>ROUND(G50/6006,2)</f>
        <v>0.11</v>
      </c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 t="s">
        <v>2</v>
      </c>
      <c r="D52" s="3">
        <v>2022</v>
      </c>
      <c r="E52" s="3" t="s">
        <v>51</v>
      </c>
      <c r="F52" s="3"/>
      <c r="G52" s="3"/>
      <c r="H52" s="3"/>
    </row>
    <row r="53" spans="1:8" x14ac:dyDescent="0.25">
      <c r="A53" s="3" t="s">
        <v>52</v>
      </c>
      <c r="B53" s="3"/>
      <c r="C53" s="12">
        <v>0.82469999999999999</v>
      </c>
      <c r="D53" s="12">
        <v>0.76939999999999997</v>
      </c>
      <c r="E53" s="12">
        <v>0.77659999999999996</v>
      </c>
      <c r="F53" s="3"/>
      <c r="G53" s="3"/>
      <c r="H53" s="3"/>
    </row>
    <row r="54" spans="1:8" x14ac:dyDescent="0.25">
      <c r="A54" s="3" t="s">
        <v>53</v>
      </c>
      <c r="B54" s="3"/>
      <c r="C54" s="12">
        <v>0.81299999999999994</v>
      </c>
      <c r="D54" s="12">
        <v>0.75849999999999995</v>
      </c>
      <c r="E54" s="12">
        <v>0.75900000000000001</v>
      </c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 t="s">
        <v>256</v>
      </c>
      <c r="B56" s="3"/>
      <c r="C56" s="3" t="s">
        <v>2</v>
      </c>
      <c r="D56" s="3" t="s">
        <v>204</v>
      </c>
      <c r="E56" s="3" t="s">
        <v>55</v>
      </c>
      <c r="F56" s="3" t="s">
        <v>254</v>
      </c>
      <c r="G56" s="3"/>
      <c r="H56" s="3"/>
    </row>
    <row r="57" spans="1:8" x14ac:dyDescent="0.25">
      <c r="A57" s="3" t="s">
        <v>56</v>
      </c>
      <c r="B57" s="3"/>
      <c r="C57" s="3"/>
      <c r="D57" s="3">
        <v>78.430000000000007</v>
      </c>
      <c r="E57" s="3">
        <v>81.5</v>
      </c>
      <c r="F57" s="3">
        <v>50.61</v>
      </c>
      <c r="G57" s="3"/>
      <c r="H57" s="3"/>
    </row>
    <row r="58" spans="1:8" x14ac:dyDescent="0.25">
      <c r="A58" s="3" t="s">
        <v>57</v>
      </c>
      <c r="B58" s="3"/>
      <c r="C58" s="3"/>
      <c r="D58" s="3">
        <v>56</v>
      </c>
      <c r="E58" s="3">
        <v>58.24</v>
      </c>
      <c r="F58" s="3">
        <v>57.37</v>
      </c>
      <c r="G58" s="3"/>
      <c r="H58" s="3"/>
    </row>
    <row r="59" spans="1:8" x14ac:dyDescent="0.25">
      <c r="A59" s="3" t="s">
        <v>58</v>
      </c>
      <c r="B59" s="3"/>
      <c r="C59" s="3"/>
      <c r="D59" s="3">
        <v>270.05</v>
      </c>
      <c r="E59" s="3">
        <v>261.52999999999997</v>
      </c>
      <c r="F59" s="3">
        <v>249.57</v>
      </c>
      <c r="G59" s="3"/>
      <c r="H59" s="3"/>
    </row>
    <row r="60" spans="1:8" x14ac:dyDescent="0.25">
      <c r="A60" s="3" t="s">
        <v>59</v>
      </c>
      <c r="B60" s="3"/>
      <c r="C60" s="3"/>
      <c r="D60" s="3">
        <v>96.95</v>
      </c>
      <c r="E60" s="3">
        <v>103.11</v>
      </c>
      <c r="F60" s="3">
        <v>71.400000000000006</v>
      </c>
      <c r="G60" s="3"/>
      <c r="H6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I42"/>
  <sheetViews>
    <sheetView topLeftCell="A12" workbookViewId="0">
      <selection activeCell="G39" sqref="G39:G42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7109375" bestFit="1" customWidth="1"/>
    <col min="4" max="4" width="22.5703125" bestFit="1" customWidth="1"/>
    <col min="5" max="5" width="13.85546875" bestFit="1" customWidth="1"/>
    <col min="6" max="6" width="8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205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266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5020</v>
      </c>
      <c r="D9" s="10"/>
      <c r="E9" s="10"/>
      <c r="F9" s="10"/>
      <c r="G9" s="10">
        <f t="shared" ref="G9:G26" si="0">SUM(C9:F9)</f>
        <v>5020</v>
      </c>
      <c r="H9" s="19">
        <f t="shared" ref="H9:H26" si="1">ROUND(G9/266,2)</f>
        <v>18.87</v>
      </c>
      <c r="I9" s="4">
        <f t="shared" ref="I9:I26" si="2">ROUND(G9/$G$27,3)</f>
        <v>7.5999999999999998E-2</v>
      </c>
    </row>
    <row r="10" spans="1:9" x14ac:dyDescent="0.25">
      <c r="A10" t="s">
        <v>19</v>
      </c>
      <c r="B10" t="s">
        <v>21</v>
      </c>
      <c r="C10" s="10">
        <v>7650</v>
      </c>
      <c r="D10" s="10">
        <v>140</v>
      </c>
      <c r="E10" s="10"/>
      <c r="F10" s="10"/>
      <c r="G10" s="10">
        <f t="shared" si="0"/>
        <v>7790</v>
      </c>
      <c r="H10" s="19">
        <f t="shared" si="1"/>
        <v>29.29</v>
      </c>
      <c r="I10" s="4">
        <f t="shared" si="2"/>
        <v>0.11799999999999999</v>
      </c>
    </row>
    <row r="11" spans="1:9" x14ac:dyDescent="0.25">
      <c r="A11" t="s">
        <v>19</v>
      </c>
      <c r="B11" t="s">
        <v>24</v>
      </c>
      <c r="C11" s="10">
        <v>6690</v>
      </c>
      <c r="D11" s="10"/>
      <c r="E11" s="10"/>
      <c r="F11" s="10">
        <v>1680</v>
      </c>
      <c r="G11" s="10">
        <f t="shared" si="0"/>
        <v>8370</v>
      </c>
      <c r="H11" s="19">
        <f t="shared" si="1"/>
        <v>31.47</v>
      </c>
      <c r="I11" s="4">
        <f t="shared" si="2"/>
        <v>0.127</v>
      </c>
    </row>
    <row r="12" spans="1:9" x14ac:dyDescent="0.25">
      <c r="A12" t="s">
        <v>19</v>
      </c>
      <c r="B12" t="s">
        <v>25</v>
      </c>
      <c r="C12" s="10">
        <v>12070</v>
      </c>
      <c r="D12" s="10"/>
      <c r="E12" s="10"/>
      <c r="F12" s="10"/>
      <c r="G12" s="10">
        <f t="shared" si="0"/>
        <v>12070</v>
      </c>
      <c r="H12" s="19">
        <f t="shared" si="1"/>
        <v>45.38</v>
      </c>
      <c r="I12" s="4">
        <f t="shared" si="2"/>
        <v>0.183</v>
      </c>
    </row>
    <row r="13" spans="1:9" x14ac:dyDescent="0.25">
      <c r="A13" t="s">
        <v>19</v>
      </c>
      <c r="B13" t="s">
        <v>30</v>
      </c>
      <c r="C13" s="10"/>
      <c r="D13" s="10"/>
      <c r="E13" s="10">
        <v>180</v>
      </c>
      <c r="F13" s="10"/>
      <c r="G13" s="10">
        <f t="shared" si="0"/>
        <v>180</v>
      </c>
      <c r="H13" s="19">
        <f t="shared" si="1"/>
        <v>0.68</v>
      </c>
      <c r="I13" s="4">
        <f t="shared" si="2"/>
        <v>3.0000000000000001E-3</v>
      </c>
    </row>
    <row r="14" spans="1:9" x14ac:dyDescent="0.25">
      <c r="A14" t="s">
        <v>19</v>
      </c>
      <c r="B14" t="s">
        <v>42</v>
      </c>
      <c r="C14" s="10"/>
      <c r="D14" s="10">
        <v>34</v>
      </c>
      <c r="E14" s="10"/>
      <c r="F14" s="10"/>
      <c r="G14" s="10">
        <f t="shared" si="0"/>
        <v>34</v>
      </c>
      <c r="H14" s="19">
        <f t="shared" si="1"/>
        <v>0.13</v>
      </c>
      <c r="I14" s="4">
        <f t="shared" si="2"/>
        <v>1E-3</v>
      </c>
    </row>
    <row r="15" spans="1:9" x14ac:dyDescent="0.25">
      <c r="A15" t="s">
        <v>19</v>
      </c>
      <c r="B15" t="s">
        <v>36</v>
      </c>
      <c r="C15" s="10"/>
      <c r="D15" s="10"/>
      <c r="E15" s="10">
        <v>2815</v>
      </c>
      <c r="F15" s="10"/>
      <c r="G15" s="10">
        <f t="shared" si="0"/>
        <v>2815</v>
      </c>
      <c r="H15" s="19">
        <f t="shared" si="1"/>
        <v>10.58</v>
      </c>
      <c r="I15" s="4">
        <f t="shared" si="2"/>
        <v>4.2999999999999997E-2</v>
      </c>
    </row>
    <row r="16" spans="1:9" x14ac:dyDescent="0.25">
      <c r="A16" t="s">
        <v>19</v>
      </c>
      <c r="B16" t="s">
        <v>38</v>
      </c>
      <c r="C16" s="10"/>
      <c r="D16" s="10"/>
      <c r="E16" s="10">
        <v>1720</v>
      </c>
      <c r="F16" s="10"/>
      <c r="G16" s="10">
        <f t="shared" si="0"/>
        <v>1720</v>
      </c>
      <c r="H16" s="19">
        <f t="shared" si="1"/>
        <v>6.47</v>
      </c>
      <c r="I16" s="4">
        <f t="shared" si="2"/>
        <v>2.5999999999999999E-2</v>
      </c>
    </row>
    <row r="17" spans="1:9" x14ac:dyDescent="0.25">
      <c r="A17" t="s">
        <v>19</v>
      </c>
      <c r="B17" t="s">
        <v>22</v>
      </c>
      <c r="C17" s="10"/>
      <c r="D17" s="10"/>
      <c r="E17" s="10"/>
      <c r="F17" s="10"/>
      <c r="G17" s="10">
        <f t="shared" si="0"/>
        <v>0</v>
      </c>
      <c r="H17" s="19">
        <f t="shared" si="1"/>
        <v>0</v>
      </c>
      <c r="I17" s="4">
        <f t="shared" si="2"/>
        <v>0</v>
      </c>
    </row>
    <row r="18" spans="1:9" x14ac:dyDescent="0.25">
      <c r="A18" t="s">
        <v>19</v>
      </c>
      <c r="B18" t="s">
        <v>23</v>
      </c>
      <c r="C18" s="10"/>
      <c r="D18" s="10"/>
      <c r="E18" s="10"/>
      <c r="F18" s="10"/>
      <c r="G18" s="10">
        <f t="shared" si="0"/>
        <v>0</v>
      </c>
      <c r="H18" s="19">
        <f t="shared" si="1"/>
        <v>0</v>
      </c>
      <c r="I18" s="4">
        <f t="shared" si="2"/>
        <v>0</v>
      </c>
    </row>
    <row r="19" spans="1:9" x14ac:dyDescent="0.25">
      <c r="A19" t="s">
        <v>19</v>
      </c>
      <c r="B19" t="s">
        <v>35</v>
      </c>
      <c r="C19" s="10"/>
      <c r="D19" s="10"/>
      <c r="E19" s="10"/>
      <c r="F19" s="10"/>
      <c r="G19" s="10">
        <f t="shared" si="0"/>
        <v>0</v>
      </c>
      <c r="H19" s="19">
        <f t="shared" si="1"/>
        <v>0</v>
      </c>
      <c r="I19" s="4">
        <f t="shared" si="2"/>
        <v>0</v>
      </c>
    </row>
    <row r="20" spans="1:9" x14ac:dyDescent="0.25">
      <c r="A20" t="s">
        <v>19</v>
      </c>
      <c r="B20" t="s">
        <v>66</v>
      </c>
      <c r="C20" s="10"/>
      <c r="D20" s="10"/>
      <c r="E20" s="10"/>
      <c r="F20" s="10"/>
      <c r="G20" s="10">
        <f t="shared" si="0"/>
        <v>0</v>
      </c>
      <c r="H20" s="19">
        <f t="shared" si="1"/>
        <v>0</v>
      </c>
      <c r="I20" s="4">
        <f t="shared" si="2"/>
        <v>0</v>
      </c>
    </row>
    <row r="21" spans="1:9" x14ac:dyDescent="0.25">
      <c r="A21" t="s">
        <v>19</v>
      </c>
      <c r="B21" t="s">
        <v>34</v>
      </c>
      <c r="C21" s="10"/>
      <c r="D21" s="10"/>
      <c r="E21" s="10"/>
      <c r="F21" s="10"/>
      <c r="G21" s="10">
        <f t="shared" si="0"/>
        <v>0</v>
      </c>
      <c r="H21" s="19">
        <f t="shared" si="1"/>
        <v>0</v>
      </c>
      <c r="I21" s="4">
        <f t="shared" si="2"/>
        <v>0</v>
      </c>
    </row>
    <row r="22" spans="1:9" x14ac:dyDescent="0.25">
      <c r="A22" t="s">
        <v>19</v>
      </c>
      <c r="B22" t="s">
        <v>40</v>
      </c>
      <c r="C22" s="10"/>
      <c r="D22" s="10"/>
      <c r="E22" s="10"/>
      <c r="F22" s="10"/>
      <c r="G22" s="10">
        <f t="shared" si="0"/>
        <v>0</v>
      </c>
      <c r="H22" s="19">
        <f t="shared" si="1"/>
        <v>0</v>
      </c>
      <c r="I22" s="4">
        <f t="shared" si="2"/>
        <v>0</v>
      </c>
    </row>
    <row r="23" spans="1:9" x14ac:dyDescent="0.25">
      <c r="A23" t="s">
        <v>19</v>
      </c>
      <c r="B23" t="s">
        <v>29</v>
      </c>
      <c r="C23" s="10"/>
      <c r="D23" s="10"/>
      <c r="E23" s="10"/>
      <c r="F23" s="10"/>
      <c r="G23" s="10">
        <f t="shared" si="0"/>
        <v>0</v>
      </c>
      <c r="H23" s="19">
        <f t="shared" si="1"/>
        <v>0</v>
      </c>
      <c r="I23" s="4">
        <f t="shared" si="2"/>
        <v>0</v>
      </c>
    </row>
    <row r="24" spans="1:9" x14ac:dyDescent="0.25">
      <c r="A24" t="s">
        <v>19</v>
      </c>
      <c r="B24" t="s">
        <v>33</v>
      </c>
      <c r="C24" s="10"/>
      <c r="D24" s="10"/>
      <c r="E24" s="10"/>
      <c r="F24" s="10"/>
      <c r="G24" s="10">
        <f t="shared" si="0"/>
        <v>0</v>
      </c>
      <c r="H24" s="19">
        <f t="shared" si="1"/>
        <v>0</v>
      </c>
      <c r="I24" s="4">
        <f t="shared" si="2"/>
        <v>0</v>
      </c>
    </row>
    <row r="25" spans="1:9" x14ac:dyDescent="0.25">
      <c r="A25" t="s">
        <v>43</v>
      </c>
      <c r="B25" t="s">
        <v>44</v>
      </c>
      <c r="C25" s="10">
        <v>18300</v>
      </c>
      <c r="D25" s="10"/>
      <c r="E25" s="10"/>
      <c r="F25" s="10"/>
      <c r="G25" s="10">
        <f t="shared" si="0"/>
        <v>18300</v>
      </c>
      <c r="H25" s="19">
        <f t="shared" si="1"/>
        <v>68.8</v>
      </c>
      <c r="I25" s="4">
        <f t="shared" si="2"/>
        <v>0.27800000000000002</v>
      </c>
    </row>
    <row r="26" spans="1:9" x14ac:dyDescent="0.25">
      <c r="A26" t="s">
        <v>43</v>
      </c>
      <c r="B26" t="s">
        <v>45</v>
      </c>
      <c r="C26" s="10"/>
      <c r="D26" s="10"/>
      <c r="E26" s="10">
        <v>9560</v>
      </c>
      <c r="F26" s="10"/>
      <c r="G26" s="10">
        <f t="shared" si="0"/>
        <v>9560</v>
      </c>
      <c r="H26" s="19">
        <f t="shared" si="1"/>
        <v>35.94</v>
      </c>
      <c r="I26" s="4">
        <f t="shared" si="2"/>
        <v>0.14499999999999999</v>
      </c>
    </row>
    <row r="27" spans="1:9" x14ac:dyDescent="0.25">
      <c r="A27" s="3" t="s">
        <v>253</v>
      </c>
      <c r="B27" s="3"/>
      <c r="C27" s="8">
        <f t="shared" ref="C27:H27" si="3">SUM(C8:C26)</f>
        <v>49730</v>
      </c>
      <c r="D27" s="8">
        <f t="shared" si="3"/>
        <v>174</v>
      </c>
      <c r="E27" s="8">
        <f t="shared" si="3"/>
        <v>14275</v>
      </c>
      <c r="F27" s="8">
        <f t="shared" si="3"/>
        <v>1680</v>
      </c>
      <c r="G27" s="8">
        <f t="shared" si="3"/>
        <v>65859</v>
      </c>
      <c r="H27" s="20">
        <f t="shared" si="3"/>
        <v>247.61</v>
      </c>
    </row>
    <row r="28" spans="1:9" x14ac:dyDescent="0.25">
      <c r="A28" s="3" t="s">
        <v>14</v>
      </c>
      <c r="B28" s="3"/>
      <c r="C28" s="12">
        <f>ROUND(C27/G27,2)</f>
        <v>0.76</v>
      </c>
      <c r="D28" s="12">
        <f>ROUND(D27/G27,2)</f>
        <v>0</v>
      </c>
      <c r="E28" s="12">
        <f>ROUND(E27/G27,2)</f>
        <v>0.22</v>
      </c>
      <c r="F28" s="12">
        <f>ROUND(F27/G27,2)</f>
        <v>0.03</v>
      </c>
      <c r="G28" s="7"/>
      <c r="H28" s="3"/>
    </row>
    <row r="29" spans="1:9" x14ac:dyDescent="0.25">
      <c r="A29" s="3" t="s">
        <v>47</v>
      </c>
      <c r="B29" s="3"/>
      <c r="C29" s="3"/>
      <c r="D29" s="3"/>
      <c r="E29" s="3"/>
      <c r="F29" s="3"/>
      <c r="G29" s="3"/>
      <c r="H29" s="3"/>
    </row>
    <row r="30" spans="1:9" x14ac:dyDescent="0.25">
      <c r="A30" s="3" t="s">
        <v>48</v>
      </c>
      <c r="B30" s="3"/>
      <c r="C30" s="8">
        <v>31430</v>
      </c>
      <c r="D30" s="8">
        <v>174</v>
      </c>
      <c r="E30" s="8">
        <v>4715</v>
      </c>
      <c r="F30" s="8">
        <v>1680</v>
      </c>
      <c r="G30" s="8">
        <f>SUM(C30:F30)</f>
        <v>37999</v>
      </c>
      <c r="H30" s="20">
        <f>ROUND(G30/266,2)</f>
        <v>142.85</v>
      </c>
    </row>
    <row r="31" spans="1:9" x14ac:dyDescent="0.25">
      <c r="A31" s="3" t="s">
        <v>49</v>
      </c>
      <c r="B31" s="3"/>
      <c r="C31" s="8">
        <v>18300</v>
      </c>
      <c r="D31" s="8">
        <v>0</v>
      </c>
      <c r="E31" s="8">
        <v>9560</v>
      </c>
      <c r="F31" s="8">
        <v>0</v>
      </c>
      <c r="G31" s="8">
        <f>SUM(C31:F31)</f>
        <v>27860</v>
      </c>
      <c r="H31" s="20">
        <f>ROUND(G31/266,2)</f>
        <v>104.74</v>
      </c>
    </row>
    <row r="32" spans="1:9" x14ac:dyDescent="0.25">
      <c r="A32" s="3" t="s">
        <v>50</v>
      </c>
      <c r="B32" s="3"/>
      <c r="C32" s="8"/>
      <c r="D32" s="8"/>
      <c r="E32" s="8"/>
      <c r="F32" s="8"/>
      <c r="G32" s="8">
        <f>SUM(C32:F32)</f>
        <v>0</v>
      </c>
      <c r="H32" s="20">
        <f>ROUND(G32/266,2)</f>
        <v>0</v>
      </c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 t="s">
        <v>2</v>
      </c>
      <c r="D34" s="3">
        <v>2022</v>
      </c>
      <c r="E34" s="3" t="s">
        <v>51</v>
      </c>
      <c r="F34" s="3"/>
      <c r="G34" s="3"/>
      <c r="H34" s="3"/>
    </row>
    <row r="35" spans="1:8" x14ac:dyDescent="0.25">
      <c r="A35" s="3" t="s">
        <v>52</v>
      </c>
      <c r="B35" s="3"/>
      <c r="C35" s="12">
        <v>0.72209999999999996</v>
      </c>
      <c r="D35" s="12">
        <v>0.72860000000000003</v>
      </c>
      <c r="E35" s="12">
        <v>0.77659999999999996</v>
      </c>
      <c r="F35" s="3"/>
      <c r="G35" s="3"/>
      <c r="H35" s="3"/>
    </row>
    <row r="36" spans="1:8" x14ac:dyDescent="0.25">
      <c r="A36" s="3" t="s">
        <v>53</v>
      </c>
      <c r="B36" s="3"/>
      <c r="C36" s="12">
        <v>0.71440000000000003</v>
      </c>
      <c r="D36" s="12">
        <v>0.71899999999999997</v>
      </c>
      <c r="E36" s="12">
        <v>0.75900000000000001</v>
      </c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 t="s">
        <v>256</v>
      </c>
      <c r="B38" s="3"/>
      <c r="C38" s="3" t="s">
        <v>2</v>
      </c>
      <c r="D38" s="3" t="s">
        <v>206</v>
      </c>
      <c r="E38" s="3" t="s">
        <v>55</v>
      </c>
      <c r="F38" s="3" t="s">
        <v>254</v>
      </c>
      <c r="G38" s="3"/>
      <c r="H38" s="3"/>
    </row>
    <row r="39" spans="1:8" x14ac:dyDescent="0.25">
      <c r="A39" s="3" t="s">
        <v>56</v>
      </c>
      <c r="B39" s="3"/>
      <c r="C39" s="3"/>
      <c r="D39" s="3">
        <v>137.41999999999999</v>
      </c>
      <c r="E39" s="3">
        <v>81.5</v>
      </c>
      <c r="F39" s="3">
        <v>50.61</v>
      </c>
      <c r="G39" s="3"/>
      <c r="H39" s="3"/>
    </row>
    <row r="40" spans="1:8" x14ac:dyDescent="0.25">
      <c r="A40" s="3" t="s">
        <v>57</v>
      </c>
      <c r="B40" s="3"/>
      <c r="C40" s="3"/>
      <c r="D40" s="3">
        <v>103.16</v>
      </c>
      <c r="E40" s="3">
        <v>58.24</v>
      </c>
      <c r="F40" s="3">
        <v>57.37</v>
      </c>
      <c r="G40" s="3"/>
      <c r="H40" s="3"/>
    </row>
    <row r="41" spans="1:8" x14ac:dyDescent="0.25">
      <c r="A41" s="3" t="s">
        <v>58</v>
      </c>
      <c r="B41" s="3"/>
      <c r="C41" s="3"/>
      <c r="D41" s="3">
        <v>316.37</v>
      </c>
      <c r="E41" s="3">
        <v>261.52999999999997</v>
      </c>
      <c r="F41" s="3">
        <v>249.57</v>
      </c>
      <c r="G41" s="3"/>
      <c r="H41" s="3"/>
    </row>
    <row r="42" spans="1:8" x14ac:dyDescent="0.25">
      <c r="A42" s="3" t="s">
        <v>59</v>
      </c>
      <c r="B42" s="3"/>
      <c r="C42" s="3"/>
      <c r="D42" s="3">
        <v>200.45</v>
      </c>
      <c r="E42" s="3">
        <v>103.11</v>
      </c>
      <c r="F42" s="3">
        <v>71.400000000000006</v>
      </c>
      <c r="G42" s="3"/>
      <c r="H4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I48"/>
  <sheetViews>
    <sheetView topLeftCell="A24" workbookViewId="0">
      <selection activeCell="G45" sqref="G45:G49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7109375" bestFit="1" customWidth="1"/>
    <col min="4" max="4" width="23.28515625" bestFit="1" customWidth="1"/>
    <col min="5" max="5" width="13.85546875" bestFit="1" customWidth="1"/>
    <col min="6" max="6" width="9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207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361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22">
        <v>6090</v>
      </c>
      <c r="D9" s="22"/>
      <c r="E9" s="22">
        <v>816.93</v>
      </c>
      <c r="F9" s="22"/>
      <c r="G9" s="22">
        <f t="shared" ref="G9:G32" si="0">SUM(C9:F9)</f>
        <v>6906.93</v>
      </c>
      <c r="H9" s="19">
        <f t="shared" ref="H9:H32" si="1">ROUND(G9/361,2)</f>
        <v>19.13</v>
      </c>
      <c r="I9" s="4">
        <f t="shared" ref="I9:I32" si="2">ROUND(G9/$G$33,3)</f>
        <v>6.5000000000000002E-2</v>
      </c>
    </row>
    <row r="10" spans="1:9" x14ac:dyDescent="0.25">
      <c r="A10" t="s">
        <v>19</v>
      </c>
      <c r="B10" t="s">
        <v>21</v>
      </c>
      <c r="C10" s="22">
        <v>12185</v>
      </c>
      <c r="D10" s="22"/>
      <c r="E10" s="22"/>
      <c r="F10" s="22"/>
      <c r="G10" s="22">
        <f t="shared" si="0"/>
        <v>12185</v>
      </c>
      <c r="H10" s="19">
        <f t="shared" si="1"/>
        <v>33.75</v>
      </c>
      <c r="I10" s="4">
        <f t="shared" si="2"/>
        <v>0.115</v>
      </c>
    </row>
    <row r="11" spans="1:9" x14ac:dyDescent="0.25">
      <c r="A11" t="s">
        <v>19</v>
      </c>
      <c r="B11" t="s">
        <v>23</v>
      </c>
      <c r="C11" s="22"/>
      <c r="D11" s="22"/>
      <c r="E11" s="22">
        <v>8485.7000000000007</v>
      </c>
      <c r="F11" s="22"/>
      <c r="G11" s="22">
        <f t="shared" si="0"/>
        <v>8485.7000000000007</v>
      </c>
      <c r="H11" s="19">
        <f t="shared" si="1"/>
        <v>23.51</v>
      </c>
      <c r="I11" s="4">
        <f t="shared" si="2"/>
        <v>0.08</v>
      </c>
    </row>
    <row r="12" spans="1:9" x14ac:dyDescent="0.25">
      <c r="A12" t="s">
        <v>19</v>
      </c>
      <c r="B12" t="s">
        <v>24</v>
      </c>
      <c r="C12" s="22">
        <v>6760</v>
      </c>
      <c r="D12" s="22"/>
      <c r="E12" s="22">
        <v>1002.61</v>
      </c>
      <c r="F12" s="22"/>
      <c r="G12" s="22">
        <f t="shared" si="0"/>
        <v>7762.61</v>
      </c>
      <c r="H12" s="19">
        <f t="shared" si="1"/>
        <v>21.5</v>
      </c>
      <c r="I12" s="4">
        <f t="shared" si="2"/>
        <v>7.2999999999999995E-2</v>
      </c>
    </row>
    <row r="13" spans="1:9" x14ac:dyDescent="0.25">
      <c r="A13" t="s">
        <v>19</v>
      </c>
      <c r="B13" t="s">
        <v>25</v>
      </c>
      <c r="C13" s="22">
        <v>9960</v>
      </c>
      <c r="D13" s="22"/>
      <c r="E13" s="22"/>
      <c r="F13" s="22"/>
      <c r="G13" s="22">
        <f t="shared" si="0"/>
        <v>9960</v>
      </c>
      <c r="H13" s="19">
        <f t="shared" si="1"/>
        <v>27.59</v>
      </c>
      <c r="I13" s="4">
        <f t="shared" si="2"/>
        <v>9.4E-2</v>
      </c>
    </row>
    <row r="14" spans="1:9" x14ac:dyDescent="0.25">
      <c r="A14" t="s">
        <v>19</v>
      </c>
      <c r="B14" t="s">
        <v>29</v>
      </c>
      <c r="C14" s="22"/>
      <c r="D14" s="22"/>
      <c r="E14" s="22">
        <v>411.39</v>
      </c>
      <c r="F14" s="22"/>
      <c r="G14" s="22">
        <f t="shared" si="0"/>
        <v>411.39</v>
      </c>
      <c r="H14" s="19">
        <f t="shared" si="1"/>
        <v>1.1399999999999999</v>
      </c>
      <c r="I14" s="4">
        <f t="shared" si="2"/>
        <v>4.0000000000000001E-3</v>
      </c>
    </row>
    <row r="15" spans="1:9" x14ac:dyDescent="0.25">
      <c r="A15" t="s">
        <v>19</v>
      </c>
      <c r="B15" t="s">
        <v>30</v>
      </c>
      <c r="C15" s="22"/>
      <c r="D15" s="22"/>
      <c r="E15" s="22">
        <v>21.01</v>
      </c>
      <c r="F15" s="22"/>
      <c r="G15" s="22">
        <f t="shared" si="0"/>
        <v>21.01</v>
      </c>
      <c r="H15" s="19">
        <f t="shared" si="1"/>
        <v>0.06</v>
      </c>
      <c r="I15" s="4">
        <f t="shared" si="2"/>
        <v>0</v>
      </c>
    </row>
    <row r="16" spans="1:9" x14ac:dyDescent="0.25">
      <c r="A16" t="s">
        <v>19</v>
      </c>
      <c r="B16" t="s">
        <v>33</v>
      </c>
      <c r="C16" s="22"/>
      <c r="D16" s="22"/>
      <c r="E16" s="22">
        <v>37.67</v>
      </c>
      <c r="F16" s="22"/>
      <c r="G16" s="22">
        <f t="shared" si="0"/>
        <v>37.67</v>
      </c>
      <c r="H16" s="19">
        <f t="shared" si="1"/>
        <v>0.1</v>
      </c>
      <c r="I16" s="4">
        <f t="shared" si="2"/>
        <v>0</v>
      </c>
    </row>
    <row r="17" spans="1:9" x14ac:dyDescent="0.25">
      <c r="A17" t="s">
        <v>19</v>
      </c>
      <c r="B17" t="s">
        <v>34</v>
      </c>
      <c r="C17" s="22"/>
      <c r="D17" s="22"/>
      <c r="E17" s="22">
        <v>105.14</v>
      </c>
      <c r="F17" s="22"/>
      <c r="G17" s="22">
        <f t="shared" si="0"/>
        <v>105.14</v>
      </c>
      <c r="H17" s="19">
        <f t="shared" si="1"/>
        <v>0.28999999999999998</v>
      </c>
      <c r="I17" s="4">
        <f t="shared" si="2"/>
        <v>1E-3</v>
      </c>
    </row>
    <row r="18" spans="1:9" x14ac:dyDescent="0.25">
      <c r="A18" t="s">
        <v>19</v>
      </c>
      <c r="B18" t="s">
        <v>35</v>
      </c>
      <c r="C18" s="22"/>
      <c r="D18" s="22"/>
      <c r="E18" s="22">
        <v>141.94</v>
      </c>
      <c r="F18" s="22"/>
      <c r="G18" s="22">
        <f t="shared" si="0"/>
        <v>141.94</v>
      </c>
      <c r="H18" s="19">
        <f t="shared" si="1"/>
        <v>0.39</v>
      </c>
      <c r="I18" s="4">
        <f t="shared" si="2"/>
        <v>1E-3</v>
      </c>
    </row>
    <row r="19" spans="1:9" x14ac:dyDescent="0.25">
      <c r="A19" t="s">
        <v>19</v>
      </c>
      <c r="B19" t="s">
        <v>36</v>
      </c>
      <c r="C19" s="22"/>
      <c r="D19" s="22"/>
      <c r="E19" s="22">
        <v>5385.3</v>
      </c>
      <c r="F19" s="22"/>
      <c r="G19" s="22">
        <f t="shared" si="0"/>
        <v>5385.3</v>
      </c>
      <c r="H19" s="19">
        <f t="shared" si="1"/>
        <v>14.92</v>
      </c>
      <c r="I19" s="4">
        <f t="shared" si="2"/>
        <v>5.0999999999999997E-2</v>
      </c>
    </row>
    <row r="20" spans="1:9" x14ac:dyDescent="0.25">
      <c r="A20" t="s">
        <v>19</v>
      </c>
      <c r="B20" t="s">
        <v>38</v>
      </c>
      <c r="C20" s="22"/>
      <c r="D20" s="22"/>
      <c r="E20" s="22">
        <v>2787.58</v>
      </c>
      <c r="F20" s="22"/>
      <c r="G20" s="22">
        <f t="shared" si="0"/>
        <v>2787.58</v>
      </c>
      <c r="H20" s="19">
        <f t="shared" si="1"/>
        <v>7.72</v>
      </c>
      <c r="I20" s="4">
        <f t="shared" si="2"/>
        <v>2.5999999999999999E-2</v>
      </c>
    </row>
    <row r="21" spans="1:9" x14ac:dyDescent="0.25">
      <c r="A21" t="s">
        <v>19</v>
      </c>
      <c r="B21" t="s">
        <v>39</v>
      </c>
      <c r="C21" s="22"/>
      <c r="D21" s="22"/>
      <c r="E21" s="22">
        <v>608.05999999999995</v>
      </c>
      <c r="F21" s="22"/>
      <c r="G21" s="22">
        <f t="shared" si="0"/>
        <v>608.05999999999995</v>
      </c>
      <c r="H21" s="19">
        <f t="shared" si="1"/>
        <v>1.68</v>
      </c>
      <c r="I21" s="4">
        <f t="shared" si="2"/>
        <v>6.0000000000000001E-3</v>
      </c>
    </row>
    <row r="22" spans="1:9" x14ac:dyDescent="0.25">
      <c r="A22" t="s">
        <v>19</v>
      </c>
      <c r="B22" t="s">
        <v>41</v>
      </c>
      <c r="C22" s="22"/>
      <c r="D22" s="22"/>
      <c r="E22" s="22"/>
      <c r="F22" s="22"/>
      <c r="G22" s="22">
        <f t="shared" si="0"/>
        <v>0</v>
      </c>
      <c r="H22" s="19">
        <f t="shared" si="1"/>
        <v>0</v>
      </c>
      <c r="I22" s="4">
        <f t="shared" si="2"/>
        <v>0</v>
      </c>
    </row>
    <row r="23" spans="1:9" x14ac:dyDescent="0.25">
      <c r="A23" t="s">
        <v>19</v>
      </c>
      <c r="B23" t="s">
        <v>22</v>
      </c>
      <c r="C23" s="22"/>
      <c r="D23" s="22"/>
      <c r="E23" s="22"/>
      <c r="F23" s="22"/>
      <c r="G23" s="22">
        <f t="shared" si="0"/>
        <v>0</v>
      </c>
      <c r="H23" s="19">
        <f t="shared" si="1"/>
        <v>0</v>
      </c>
      <c r="I23" s="4">
        <f t="shared" si="2"/>
        <v>0</v>
      </c>
    </row>
    <row r="24" spans="1:9" x14ac:dyDescent="0.25">
      <c r="A24" t="s">
        <v>19</v>
      </c>
      <c r="B24" t="s">
        <v>28</v>
      </c>
      <c r="C24" s="22"/>
      <c r="D24" s="22"/>
      <c r="E24" s="22"/>
      <c r="F24" s="22"/>
      <c r="G24" s="22">
        <f t="shared" si="0"/>
        <v>0</v>
      </c>
      <c r="H24" s="19">
        <f t="shared" si="1"/>
        <v>0</v>
      </c>
      <c r="I24" s="4">
        <f t="shared" si="2"/>
        <v>0</v>
      </c>
    </row>
    <row r="25" spans="1:9" x14ac:dyDescent="0.25">
      <c r="A25" t="s">
        <v>19</v>
      </c>
      <c r="B25" t="s">
        <v>31</v>
      </c>
      <c r="C25" s="22"/>
      <c r="D25" s="22"/>
      <c r="E25" s="22"/>
      <c r="F25" s="22"/>
      <c r="G25" s="22">
        <f t="shared" si="0"/>
        <v>0</v>
      </c>
      <c r="H25" s="19">
        <f t="shared" si="1"/>
        <v>0</v>
      </c>
      <c r="I25" s="4">
        <f t="shared" si="2"/>
        <v>0</v>
      </c>
    </row>
    <row r="26" spans="1:9" x14ac:dyDescent="0.25">
      <c r="A26" t="s">
        <v>19</v>
      </c>
      <c r="B26" t="s">
        <v>32</v>
      </c>
      <c r="C26" s="22"/>
      <c r="D26" s="22"/>
      <c r="E26" s="22"/>
      <c r="F26" s="22"/>
      <c r="G26" s="22">
        <f t="shared" si="0"/>
        <v>0</v>
      </c>
      <c r="H26" s="19">
        <f t="shared" si="1"/>
        <v>0</v>
      </c>
      <c r="I26" s="4">
        <f t="shared" si="2"/>
        <v>0</v>
      </c>
    </row>
    <row r="27" spans="1:9" x14ac:dyDescent="0.25">
      <c r="A27" t="s">
        <v>19</v>
      </c>
      <c r="B27" t="s">
        <v>42</v>
      </c>
      <c r="C27" s="22"/>
      <c r="D27" s="22"/>
      <c r="E27" s="22"/>
      <c r="F27" s="22"/>
      <c r="G27" s="22">
        <f t="shared" si="0"/>
        <v>0</v>
      </c>
      <c r="H27" s="19">
        <f t="shared" si="1"/>
        <v>0</v>
      </c>
      <c r="I27" s="4">
        <f t="shared" si="2"/>
        <v>0</v>
      </c>
    </row>
    <row r="28" spans="1:9" x14ac:dyDescent="0.25">
      <c r="A28" t="s">
        <v>19</v>
      </c>
      <c r="B28" t="s">
        <v>37</v>
      </c>
      <c r="C28" s="22"/>
      <c r="D28" s="22"/>
      <c r="E28" s="22"/>
      <c r="F28" s="22"/>
      <c r="G28" s="22">
        <f t="shared" si="0"/>
        <v>0</v>
      </c>
      <c r="H28" s="19">
        <f t="shared" si="1"/>
        <v>0</v>
      </c>
      <c r="I28" s="4">
        <f t="shared" si="2"/>
        <v>0</v>
      </c>
    </row>
    <row r="29" spans="1:9" x14ac:dyDescent="0.25">
      <c r="A29" t="s">
        <v>43</v>
      </c>
      <c r="B29" t="s">
        <v>44</v>
      </c>
      <c r="C29" s="22">
        <v>24390</v>
      </c>
      <c r="D29" s="22"/>
      <c r="E29" s="22"/>
      <c r="F29" s="22"/>
      <c r="G29" s="22">
        <f t="shared" si="0"/>
        <v>24390</v>
      </c>
      <c r="H29" s="19">
        <f t="shared" si="1"/>
        <v>67.56</v>
      </c>
      <c r="I29" s="4">
        <f t="shared" si="2"/>
        <v>0.23</v>
      </c>
    </row>
    <row r="30" spans="1:9" x14ac:dyDescent="0.25">
      <c r="A30" t="s">
        <v>43</v>
      </c>
      <c r="B30" t="s">
        <v>46</v>
      </c>
      <c r="C30" s="22"/>
      <c r="D30" s="22"/>
      <c r="E30" s="22"/>
      <c r="F30" s="22">
        <v>22965</v>
      </c>
      <c r="G30" s="22">
        <f t="shared" si="0"/>
        <v>22965</v>
      </c>
      <c r="H30" s="19">
        <f t="shared" si="1"/>
        <v>63.61</v>
      </c>
      <c r="I30" s="4">
        <f t="shared" si="2"/>
        <v>0.217</v>
      </c>
    </row>
    <row r="31" spans="1:9" x14ac:dyDescent="0.25">
      <c r="A31" t="s">
        <v>43</v>
      </c>
      <c r="B31" t="s">
        <v>45</v>
      </c>
      <c r="C31" s="22"/>
      <c r="D31" s="22"/>
      <c r="E31" s="22">
        <v>3685.01</v>
      </c>
      <c r="F31" s="22"/>
      <c r="G31" s="22">
        <f t="shared" si="0"/>
        <v>3685.01</v>
      </c>
      <c r="H31" s="19">
        <f t="shared" si="1"/>
        <v>10.210000000000001</v>
      </c>
      <c r="I31" s="4">
        <f t="shared" si="2"/>
        <v>3.5000000000000003E-2</v>
      </c>
    </row>
    <row r="32" spans="1:9" x14ac:dyDescent="0.25">
      <c r="A32" t="s">
        <v>15</v>
      </c>
      <c r="B32" t="s">
        <v>18</v>
      </c>
      <c r="C32" s="22"/>
      <c r="D32" s="22"/>
      <c r="E32" s="22"/>
      <c r="F32" s="22"/>
      <c r="G32" s="22">
        <f t="shared" si="0"/>
        <v>0</v>
      </c>
      <c r="H32" s="19">
        <f t="shared" si="1"/>
        <v>0</v>
      </c>
      <c r="I32" s="4">
        <f t="shared" si="2"/>
        <v>0</v>
      </c>
    </row>
    <row r="33" spans="1:8" x14ac:dyDescent="0.25">
      <c r="A33" s="3" t="s">
        <v>253</v>
      </c>
      <c r="B33" s="3"/>
      <c r="C33" s="11">
        <f t="shared" ref="C33:H33" si="3">SUM(C8:C32)</f>
        <v>59385</v>
      </c>
      <c r="D33" s="11">
        <f t="shared" si="3"/>
        <v>0</v>
      </c>
      <c r="E33" s="11">
        <f t="shared" si="3"/>
        <v>23488.340000000004</v>
      </c>
      <c r="F33" s="11">
        <f t="shared" si="3"/>
        <v>22965</v>
      </c>
      <c r="G33" s="11">
        <f t="shared" si="3"/>
        <v>105838.34</v>
      </c>
      <c r="H33" s="20">
        <f t="shared" si="3"/>
        <v>293.15999999999997</v>
      </c>
    </row>
    <row r="34" spans="1:8" x14ac:dyDescent="0.25">
      <c r="A34" s="3" t="s">
        <v>14</v>
      </c>
      <c r="B34" s="3"/>
      <c r="C34" s="12">
        <f>ROUND(C33/G33,2)</f>
        <v>0.56000000000000005</v>
      </c>
      <c r="D34" s="12">
        <f>ROUND(D33/G33,2)</f>
        <v>0</v>
      </c>
      <c r="E34" s="12">
        <f>ROUND(E33/G33,2)</f>
        <v>0.22</v>
      </c>
      <c r="F34" s="12">
        <f>ROUND(F33/G33,2)</f>
        <v>0.22</v>
      </c>
      <c r="G34" s="7"/>
      <c r="H34" s="7"/>
    </row>
    <row r="35" spans="1:8" x14ac:dyDescent="0.25">
      <c r="A35" s="3" t="s">
        <v>47</v>
      </c>
      <c r="B35" s="3"/>
      <c r="C35" s="3"/>
      <c r="D35" s="3"/>
      <c r="E35" s="3"/>
      <c r="F35" s="3"/>
      <c r="G35" s="3"/>
      <c r="H35" s="3"/>
    </row>
    <row r="36" spans="1:8" x14ac:dyDescent="0.25">
      <c r="A36" s="3" t="s">
        <v>48</v>
      </c>
      <c r="B36" s="3"/>
      <c r="C36" s="11">
        <v>34995</v>
      </c>
      <c r="D36" s="11">
        <v>0</v>
      </c>
      <c r="E36" s="11">
        <v>19803.330000000002</v>
      </c>
      <c r="F36" s="11">
        <v>0</v>
      </c>
      <c r="G36" s="11">
        <f>SUM(C36:F36)</f>
        <v>54798.33</v>
      </c>
      <c r="H36" s="20">
        <f>ROUND(G36/361,2)</f>
        <v>151.80000000000001</v>
      </c>
    </row>
    <row r="37" spans="1:8" x14ac:dyDescent="0.25">
      <c r="A37" s="3" t="s">
        <v>49</v>
      </c>
      <c r="B37" s="3"/>
      <c r="C37" s="11">
        <v>24390</v>
      </c>
      <c r="D37" s="11">
        <v>0</v>
      </c>
      <c r="E37" s="11">
        <v>3685.01</v>
      </c>
      <c r="F37" s="11">
        <v>22965</v>
      </c>
      <c r="G37" s="11">
        <f>SUM(C37:F37)</f>
        <v>51040.01</v>
      </c>
      <c r="H37" s="20">
        <f>ROUND(G37/361,2)</f>
        <v>141.38999999999999</v>
      </c>
    </row>
    <row r="38" spans="1:8" x14ac:dyDescent="0.25">
      <c r="A38" s="3" t="s">
        <v>50</v>
      </c>
      <c r="B38" s="3"/>
      <c r="C38" s="11">
        <v>0</v>
      </c>
      <c r="D38" s="11">
        <v>0</v>
      </c>
      <c r="E38" s="11">
        <v>0</v>
      </c>
      <c r="F38" s="11">
        <v>0</v>
      </c>
      <c r="G38" s="11">
        <f>SUM(C38:F38)</f>
        <v>0</v>
      </c>
      <c r="H38" s="20">
        <f>ROUND(G38/361,2)</f>
        <v>0</v>
      </c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 t="s">
        <v>2</v>
      </c>
      <c r="D40" s="3">
        <v>2022</v>
      </c>
      <c r="E40" s="3" t="s">
        <v>51</v>
      </c>
      <c r="F40" s="3"/>
      <c r="G40" s="3"/>
      <c r="H40" s="3"/>
    </row>
    <row r="41" spans="1:8" x14ac:dyDescent="0.25">
      <c r="A41" s="3" t="s">
        <v>52</v>
      </c>
      <c r="B41" s="3"/>
      <c r="C41" s="12">
        <v>0.74950000000000006</v>
      </c>
      <c r="D41" s="12">
        <v>0.69930000000000003</v>
      </c>
      <c r="E41" s="12">
        <v>0.77659999999999996</v>
      </c>
      <c r="F41" s="3"/>
      <c r="G41" s="3"/>
      <c r="H41" s="3"/>
    </row>
    <row r="42" spans="1:8" x14ac:dyDescent="0.25">
      <c r="A42" s="3" t="s">
        <v>53</v>
      </c>
      <c r="B42" s="3"/>
      <c r="C42" s="12">
        <v>0.74950000000000006</v>
      </c>
      <c r="D42" s="12">
        <v>0.66520000000000001</v>
      </c>
      <c r="E42" s="12">
        <v>0.75900000000000001</v>
      </c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 t="s">
        <v>256</v>
      </c>
      <c r="B44" s="3"/>
      <c r="C44" s="3" t="s">
        <v>2</v>
      </c>
      <c r="D44" s="3" t="s">
        <v>208</v>
      </c>
      <c r="E44" s="3" t="s">
        <v>55</v>
      </c>
      <c r="F44" s="3" t="s">
        <v>254</v>
      </c>
      <c r="G44" s="3"/>
      <c r="H44" s="3"/>
    </row>
    <row r="45" spans="1:8" x14ac:dyDescent="0.25">
      <c r="A45" s="3" t="s">
        <v>56</v>
      </c>
      <c r="B45" s="3"/>
      <c r="C45" s="3"/>
      <c r="D45" s="3">
        <v>97.48</v>
      </c>
      <c r="E45" s="3">
        <v>81.5</v>
      </c>
      <c r="F45" s="3">
        <v>50.61</v>
      </c>
      <c r="G45" s="3"/>
      <c r="H45" s="3"/>
    </row>
    <row r="46" spans="1:8" x14ac:dyDescent="0.25">
      <c r="A46" s="3" t="s">
        <v>57</v>
      </c>
      <c r="B46" s="3"/>
      <c r="C46" s="3"/>
      <c r="D46" s="3">
        <v>46.33</v>
      </c>
      <c r="E46" s="3">
        <v>58.24</v>
      </c>
      <c r="F46" s="3">
        <v>57.37</v>
      </c>
      <c r="G46" s="3"/>
      <c r="H46" s="3"/>
    </row>
    <row r="47" spans="1:8" x14ac:dyDescent="0.25">
      <c r="A47" s="3" t="s">
        <v>58</v>
      </c>
      <c r="B47" s="3"/>
      <c r="C47" s="3"/>
      <c r="D47" s="3">
        <v>282.70999999999998</v>
      </c>
      <c r="E47" s="3">
        <v>261.52999999999997</v>
      </c>
      <c r="F47" s="3">
        <v>249.57</v>
      </c>
      <c r="G47" s="3"/>
      <c r="H47" s="3"/>
    </row>
    <row r="48" spans="1:8" x14ac:dyDescent="0.25">
      <c r="A48" s="3" t="s">
        <v>59</v>
      </c>
      <c r="B48" s="3"/>
      <c r="C48" s="3"/>
      <c r="D48" s="3">
        <v>159.80000000000001</v>
      </c>
      <c r="E48" s="3">
        <v>103.11</v>
      </c>
      <c r="F48" s="3">
        <v>71.400000000000006</v>
      </c>
      <c r="G48" s="3"/>
      <c r="H4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62"/>
  <sheetViews>
    <sheetView topLeftCell="A33" workbookViewId="0">
      <selection activeCell="G59" sqref="G59:G62"/>
    </sheetView>
  </sheetViews>
  <sheetFormatPr defaultRowHeight="15" x14ac:dyDescent="0.25"/>
  <cols>
    <col min="1" max="1" width="52.85546875" bestFit="1" customWidth="1"/>
    <col min="2" max="2" width="55" bestFit="1" customWidth="1"/>
    <col min="3" max="3" width="12.5703125" bestFit="1" customWidth="1"/>
    <col min="4" max="4" width="23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74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5209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17</v>
      </c>
      <c r="C9" s="10"/>
      <c r="D9" s="10"/>
      <c r="E9" s="10"/>
      <c r="F9" s="10">
        <v>360</v>
      </c>
      <c r="G9" s="10">
        <f t="shared" ref="G9:G46" si="0">SUM(C9:F9)</f>
        <v>360</v>
      </c>
      <c r="H9">
        <f t="shared" ref="H9:H46" si="1">ROUND(G9/5209,2)</f>
        <v>7.0000000000000007E-2</v>
      </c>
      <c r="I9" s="14">
        <f t="shared" ref="I9:I40" si="2">ROUND(G9/$G$47,3)</f>
        <v>0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>
        <f t="shared" si="1"/>
        <v>0</v>
      </c>
      <c r="I10" s="14">
        <f t="shared" si="2"/>
        <v>0</v>
      </c>
    </row>
    <row r="11" spans="1:9" x14ac:dyDescent="0.25">
      <c r="A11" t="s">
        <v>15</v>
      </c>
      <c r="B11" t="s">
        <v>63</v>
      </c>
      <c r="C11" s="10"/>
      <c r="D11" s="10"/>
      <c r="E11" s="10"/>
      <c r="F11" s="10"/>
      <c r="G11" s="10">
        <f t="shared" si="0"/>
        <v>0</v>
      </c>
      <c r="H11">
        <f t="shared" si="1"/>
        <v>0</v>
      </c>
      <c r="I11" s="14">
        <f t="shared" si="2"/>
        <v>0</v>
      </c>
    </row>
    <row r="12" spans="1:9" x14ac:dyDescent="0.25">
      <c r="A12" t="s">
        <v>15</v>
      </c>
      <c r="B12" t="s">
        <v>16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4">
        <f t="shared" si="2"/>
        <v>0</v>
      </c>
    </row>
    <row r="13" spans="1:9" x14ac:dyDescent="0.25">
      <c r="A13" t="s">
        <v>15</v>
      </c>
      <c r="B13" t="s">
        <v>75</v>
      </c>
      <c r="C13" s="10"/>
      <c r="D13" s="10"/>
      <c r="E13" s="10"/>
      <c r="F13" s="10"/>
      <c r="G13" s="10">
        <f t="shared" si="0"/>
        <v>0</v>
      </c>
      <c r="H13">
        <f t="shared" si="1"/>
        <v>0</v>
      </c>
      <c r="I13" s="14">
        <f t="shared" si="2"/>
        <v>0</v>
      </c>
    </row>
    <row r="14" spans="1:9" x14ac:dyDescent="0.25">
      <c r="A14" t="s">
        <v>19</v>
      </c>
      <c r="B14" t="s">
        <v>64</v>
      </c>
      <c r="C14" s="10"/>
      <c r="D14" s="10"/>
      <c r="E14" s="10">
        <v>101</v>
      </c>
      <c r="F14" s="10"/>
      <c r="G14" s="10">
        <f t="shared" si="0"/>
        <v>101</v>
      </c>
      <c r="H14">
        <f t="shared" si="1"/>
        <v>0.02</v>
      </c>
      <c r="I14" s="14">
        <f t="shared" si="2"/>
        <v>0</v>
      </c>
    </row>
    <row r="15" spans="1:9" x14ac:dyDescent="0.25">
      <c r="A15" t="s">
        <v>19</v>
      </c>
      <c r="B15" t="s">
        <v>20</v>
      </c>
      <c r="C15" s="10">
        <v>74670</v>
      </c>
      <c r="D15" s="10"/>
      <c r="E15" s="10">
        <v>5440</v>
      </c>
      <c r="F15" s="10">
        <v>270</v>
      </c>
      <c r="G15" s="10">
        <f t="shared" si="0"/>
        <v>80380</v>
      </c>
      <c r="H15">
        <f t="shared" si="1"/>
        <v>15.43</v>
      </c>
      <c r="I15" s="14">
        <f t="shared" si="2"/>
        <v>7.6999999999999999E-2</v>
      </c>
    </row>
    <row r="16" spans="1:9" x14ac:dyDescent="0.25">
      <c r="A16" t="s">
        <v>19</v>
      </c>
      <c r="B16" t="s">
        <v>21</v>
      </c>
      <c r="C16" s="10">
        <v>104010</v>
      </c>
      <c r="D16" s="10"/>
      <c r="E16" s="10"/>
      <c r="F16" s="10"/>
      <c r="G16" s="10">
        <f t="shared" si="0"/>
        <v>104010</v>
      </c>
      <c r="H16">
        <f t="shared" si="1"/>
        <v>19.97</v>
      </c>
      <c r="I16" s="14">
        <f t="shared" si="2"/>
        <v>0.1</v>
      </c>
    </row>
    <row r="17" spans="1:9" x14ac:dyDescent="0.25">
      <c r="A17" t="s">
        <v>19</v>
      </c>
      <c r="B17" t="s">
        <v>76</v>
      </c>
      <c r="C17" s="10"/>
      <c r="D17" s="10"/>
      <c r="E17" s="10">
        <v>168</v>
      </c>
      <c r="F17" s="10"/>
      <c r="G17" s="10">
        <f t="shared" si="0"/>
        <v>168</v>
      </c>
      <c r="H17">
        <f t="shared" si="1"/>
        <v>0.03</v>
      </c>
      <c r="I17" s="14">
        <f t="shared" si="2"/>
        <v>0</v>
      </c>
    </row>
    <row r="18" spans="1:9" x14ac:dyDescent="0.25">
      <c r="A18" t="s">
        <v>19</v>
      </c>
      <c r="B18" t="s">
        <v>41</v>
      </c>
      <c r="C18" s="10"/>
      <c r="D18" s="10"/>
      <c r="E18" s="10">
        <v>222</v>
      </c>
      <c r="F18" s="10"/>
      <c r="G18" s="10">
        <f t="shared" si="0"/>
        <v>222</v>
      </c>
      <c r="H18">
        <f t="shared" si="1"/>
        <v>0.04</v>
      </c>
      <c r="I18" s="14">
        <f t="shared" si="2"/>
        <v>0</v>
      </c>
    </row>
    <row r="19" spans="1:9" x14ac:dyDescent="0.25">
      <c r="A19" t="s">
        <v>19</v>
      </c>
      <c r="B19" t="s">
        <v>22</v>
      </c>
      <c r="C19" s="10"/>
      <c r="D19" s="10"/>
      <c r="E19" s="10">
        <v>2600</v>
      </c>
      <c r="F19" s="10"/>
      <c r="G19" s="10">
        <f t="shared" si="0"/>
        <v>2600</v>
      </c>
      <c r="H19">
        <f t="shared" si="1"/>
        <v>0.5</v>
      </c>
      <c r="I19" s="14">
        <f t="shared" si="2"/>
        <v>3.0000000000000001E-3</v>
      </c>
    </row>
    <row r="20" spans="1:9" x14ac:dyDescent="0.25">
      <c r="A20" t="s">
        <v>19</v>
      </c>
      <c r="B20" t="s">
        <v>77</v>
      </c>
      <c r="C20" s="10"/>
      <c r="D20" s="10"/>
      <c r="E20" s="10"/>
      <c r="F20" s="10">
        <v>215</v>
      </c>
      <c r="G20" s="10">
        <f t="shared" si="0"/>
        <v>215</v>
      </c>
      <c r="H20">
        <f t="shared" si="1"/>
        <v>0.04</v>
      </c>
      <c r="I20" s="14">
        <f t="shared" si="2"/>
        <v>0</v>
      </c>
    </row>
    <row r="21" spans="1:9" x14ac:dyDescent="0.25">
      <c r="A21" t="s">
        <v>19</v>
      </c>
      <c r="B21" t="s">
        <v>23</v>
      </c>
      <c r="C21" s="10"/>
      <c r="D21" s="10"/>
      <c r="E21" s="10">
        <v>89060</v>
      </c>
      <c r="F21" s="10">
        <v>323</v>
      </c>
      <c r="G21" s="10">
        <f t="shared" si="0"/>
        <v>89383</v>
      </c>
      <c r="H21">
        <f t="shared" si="1"/>
        <v>17.16</v>
      </c>
      <c r="I21" s="14">
        <f t="shared" si="2"/>
        <v>8.5999999999999993E-2</v>
      </c>
    </row>
    <row r="22" spans="1:9" x14ac:dyDescent="0.25">
      <c r="A22" t="s">
        <v>19</v>
      </c>
      <c r="B22" t="s">
        <v>24</v>
      </c>
      <c r="C22" s="10">
        <v>91950</v>
      </c>
      <c r="D22" s="10"/>
      <c r="E22" s="10">
        <v>10220</v>
      </c>
      <c r="F22" s="10">
        <v>80</v>
      </c>
      <c r="G22" s="10">
        <f t="shared" si="0"/>
        <v>102250</v>
      </c>
      <c r="H22">
        <f t="shared" si="1"/>
        <v>19.63</v>
      </c>
      <c r="I22" s="14">
        <f t="shared" si="2"/>
        <v>9.9000000000000005E-2</v>
      </c>
    </row>
    <row r="23" spans="1:9" x14ac:dyDescent="0.25">
      <c r="A23" t="s">
        <v>19</v>
      </c>
      <c r="B23" t="s">
        <v>66</v>
      </c>
      <c r="C23" s="10"/>
      <c r="D23" s="10"/>
      <c r="E23" s="10">
        <v>4190</v>
      </c>
      <c r="F23" s="10"/>
      <c r="G23" s="10">
        <f t="shared" si="0"/>
        <v>4190</v>
      </c>
      <c r="H23">
        <f t="shared" si="1"/>
        <v>0.8</v>
      </c>
      <c r="I23" s="14">
        <f t="shared" si="2"/>
        <v>4.0000000000000001E-3</v>
      </c>
    </row>
    <row r="24" spans="1:9" x14ac:dyDescent="0.25">
      <c r="A24" t="s">
        <v>19</v>
      </c>
      <c r="B24" t="s">
        <v>25</v>
      </c>
      <c r="C24" s="10">
        <v>125820</v>
      </c>
      <c r="D24" s="10"/>
      <c r="E24" s="10"/>
      <c r="F24" s="10">
        <v>210</v>
      </c>
      <c r="G24" s="10">
        <f t="shared" si="0"/>
        <v>126030</v>
      </c>
      <c r="H24">
        <f t="shared" si="1"/>
        <v>24.19</v>
      </c>
      <c r="I24" s="14">
        <f t="shared" si="2"/>
        <v>0.121</v>
      </c>
    </row>
    <row r="25" spans="1:9" x14ac:dyDescent="0.25">
      <c r="A25" t="s">
        <v>19</v>
      </c>
      <c r="B25" t="s">
        <v>26</v>
      </c>
      <c r="C25" s="10"/>
      <c r="D25" s="10"/>
      <c r="E25" s="10">
        <v>1708</v>
      </c>
      <c r="F25" s="10"/>
      <c r="G25" s="10">
        <f t="shared" si="0"/>
        <v>1708</v>
      </c>
      <c r="H25">
        <f t="shared" si="1"/>
        <v>0.33</v>
      </c>
      <c r="I25" s="14">
        <f t="shared" si="2"/>
        <v>2E-3</v>
      </c>
    </row>
    <row r="26" spans="1:9" x14ac:dyDescent="0.25">
      <c r="A26" t="s">
        <v>19</v>
      </c>
      <c r="B26" t="s">
        <v>27</v>
      </c>
      <c r="C26" s="10"/>
      <c r="D26" s="10"/>
      <c r="E26" s="10">
        <v>1010</v>
      </c>
      <c r="F26" s="10"/>
      <c r="G26" s="10">
        <f t="shared" si="0"/>
        <v>1010</v>
      </c>
      <c r="H26">
        <f t="shared" si="1"/>
        <v>0.19</v>
      </c>
      <c r="I26" s="14">
        <f t="shared" si="2"/>
        <v>1E-3</v>
      </c>
    </row>
    <row r="27" spans="1:9" x14ac:dyDescent="0.25">
      <c r="A27" t="s">
        <v>19</v>
      </c>
      <c r="B27" t="s">
        <v>28</v>
      </c>
      <c r="C27" s="10"/>
      <c r="D27" s="10"/>
      <c r="E27" s="10">
        <v>286</v>
      </c>
      <c r="F27" s="10"/>
      <c r="G27" s="10">
        <f t="shared" si="0"/>
        <v>286</v>
      </c>
      <c r="H27">
        <f t="shared" si="1"/>
        <v>0.05</v>
      </c>
      <c r="I27" s="14">
        <f t="shared" si="2"/>
        <v>0</v>
      </c>
    </row>
    <row r="28" spans="1:9" x14ac:dyDescent="0.25">
      <c r="A28" t="s">
        <v>19</v>
      </c>
      <c r="B28" t="s">
        <v>29</v>
      </c>
      <c r="C28" s="10"/>
      <c r="D28" s="10"/>
      <c r="E28" s="10">
        <v>7400</v>
      </c>
      <c r="F28" s="10"/>
      <c r="G28" s="10">
        <f t="shared" si="0"/>
        <v>7400</v>
      </c>
      <c r="H28">
        <f t="shared" si="1"/>
        <v>1.42</v>
      </c>
      <c r="I28" s="14">
        <f t="shared" si="2"/>
        <v>7.0000000000000001E-3</v>
      </c>
    </row>
    <row r="29" spans="1:9" x14ac:dyDescent="0.25">
      <c r="A29" t="s">
        <v>19</v>
      </c>
      <c r="B29" t="s">
        <v>30</v>
      </c>
      <c r="C29" s="10"/>
      <c r="D29" s="10"/>
      <c r="E29" s="10">
        <v>1170</v>
      </c>
      <c r="F29" s="10"/>
      <c r="G29" s="10">
        <f t="shared" si="0"/>
        <v>1170</v>
      </c>
      <c r="H29">
        <f t="shared" si="1"/>
        <v>0.22</v>
      </c>
      <c r="I29" s="14">
        <f t="shared" si="2"/>
        <v>1E-3</v>
      </c>
    </row>
    <row r="30" spans="1:9" x14ac:dyDescent="0.25">
      <c r="A30" t="s">
        <v>19</v>
      </c>
      <c r="B30" t="s">
        <v>31</v>
      </c>
      <c r="C30" s="10"/>
      <c r="D30" s="10"/>
      <c r="E30" s="10">
        <v>1360</v>
      </c>
      <c r="F30" s="10"/>
      <c r="G30" s="10">
        <f t="shared" si="0"/>
        <v>1360</v>
      </c>
      <c r="H30">
        <f t="shared" si="1"/>
        <v>0.26</v>
      </c>
      <c r="I30" s="14">
        <f t="shared" si="2"/>
        <v>1E-3</v>
      </c>
    </row>
    <row r="31" spans="1:9" x14ac:dyDescent="0.25">
      <c r="A31" t="s">
        <v>19</v>
      </c>
      <c r="B31" t="s">
        <v>32</v>
      </c>
      <c r="C31" s="10"/>
      <c r="D31" s="10"/>
      <c r="E31" s="10">
        <v>1295</v>
      </c>
      <c r="F31" s="10"/>
      <c r="G31" s="10">
        <f t="shared" si="0"/>
        <v>1295</v>
      </c>
      <c r="H31">
        <f t="shared" si="1"/>
        <v>0.25</v>
      </c>
      <c r="I31" s="14">
        <f t="shared" si="2"/>
        <v>1E-3</v>
      </c>
    </row>
    <row r="32" spans="1:9" x14ac:dyDescent="0.25">
      <c r="A32" t="s">
        <v>19</v>
      </c>
      <c r="B32" t="s">
        <v>42</v>
      </c>
      <c r="C32" s="10"/>
      <c r="D32" s="10">
        <v>234</v>
      </c>
      <c r="E32" s="10"/>
      <c r="F32" s="10"/>
      <c r="G32" s="10">
        <f t="shared" si="0"/>
        <v>234</v>
      </c>
      <c r="H32">
        <f t="shared" si="1"/>
        <v>0.04</v>
      </c>
      <c r="I32" s="14">
        <f t="shared" si="2"/>
        <v>0</v>
      </c>
    </row>
    <row r="33" spans="1:9" x14ac:dyDescent="0.25">
      <c r="A33" t="s">
        <v>19</v>
      </c>
      <c r="B33" t="s">
        <v>33</v>
      </c>
      <c r="C33" s="10"/>
      <c r="D33" s="10"/>
      <c r="E33" s="10">
        <v>568</v>
      </c>
      <c r="F33" s="10"/>
      <c r="G33" s="10">
        <f t="shared" si="0"/>
        <v>568</v>
      </c>
      <c r="H33">
        <f t="shared" si="1"/>
        <v>0.11</v>
      </c>
      <c r="I33" s="14">
        <f t="shared" si="2"/>
        <v>1E-3</v>
      </c>
    </row>
    <row r="34" spans="1:9" x14ac:dyDescent="0.25">
      <c r="A34" t="s">
        <v>19</v>
      </c>
      <c r="B34" t="s">
        <v>34</v>
      </c>
      <c r="C34" s="10"/>
      <c r="D34" s="10"/>
      <c r="E34" s="10">
        <v>4209</v>
      </c>
      <c r="F34" s="10"/>
      <c r="G34" s="10">
        <f t="shared" si="0"/>
        <v>4209</v>
      </c>
      <c r="H34">
        <f t="shared" si="1"/>
        <v>0.81</v>
      </c>
      <c r="I34" s="14">
        <f t="shared" si="2"/>
        <v>4.0000000000000001E-3</v>
      </c>
    </row>
    <row r="35" spans="1:9" x14ac:dyDescent="0.25">
      <c r="A35" t="s">
        <v>19</v>
      </c>
      <c r="B35" t="s">
        <v>40</v>
      </c>
      <c r="C35" s="10"/>
      <c r="D35" s="10"/>
      <c r="E35" s="10">
        <v>11911</v>
      </c>
      <c r="F35" s="10"/>
      <c r="G35" s="10">
        <f t="shared" si="0"/>
        <v>11911</v>
      </c>
      <c r="H35">
        <f t="shared" si="1"/>
        <v>2.29</v>
      </c>
      <c r="I35" s="14">
        <f t="shared" si="2"/>
        <v>1.0999999999999999E-2</v>
      </c>
    </row>
    <row r="36" spans="1:9" x14ac:dyDescent="0.25">
      <c r="A36" t="s">
        <v>19</v>
      </c>
      <c r="B36" t="s">
        <v>35</v>
      </c>
      <c r="C36" s="10"/>
      <c r="D36" s="10"/>
      <c r="E36" s="10">
        <v>4620</v>
      </c>
      <c r="F36" s="10"/>
      <c r="G36" s="10">
        <f t="shared" si="0"/>
        <v>4620</v>
      </c>
      <c r="H36">
        <f t="shared" si="1"/>
        <v>0.89</v>
      </c>
      <c r="I36" s="14">
        <f t="shared" si="2"/>
        <v>4.0000000000000001E-3</v>
      </c>
    </row>
    <row r="37" spans="1:9" x14ac:dyDescent="0.25">
      <c r="A37" t="s">
        <v>19</v>
      </c>
      <c r="B37" t="s">
        <v>36</v>
      </c>
      <c r="C37" s="10"/>
      <c r="D37" s="10"/>
      <c r="E37" s="10">
        <v>90170</v>
      </c>
      <c r="F37" s="10"/>
      <c r="G37" s="10">
        <f t="shared" si="0"/>
        <v>90170</v>
      </c>
      <c r="H37">
        <f t="shared" si="1"/>
        <v>17.309999999999999</v>
      </c>
      <c r="I37" s="14">
        <f t="shared" si="2"/>
        <v>8.6999999999999994E-2</v>
      </c>
    </row>
    <row r="38" spans="1:9" x14ac:dyDescent="0.25">
      <c r="A38" t="s">
        <v>19</v>
      </c>
      <c r="B38" t="s">
        <v>37</v>
      </c>
      <c r="C38" s="10"/>
      <c r="D38" s="10"/>
      <c r="E38" s="10">
        <v>6705</v>
      </c>
      <c r="F38" s="10"/>
      <c r="G38" s="10">
        <f t="shared" si="0"/>
        <v>6705</v>
      </c>
      <c r="H38">
        <f t="shared" si="1"/>
        <v>1.29</v>
      </c>
      <c r="I38" s="14">
        <f t="shared" si="2"/>
        <v>6.0000000000000001E-3</v>
      </c>
    </row>
    <row r="39" spans="1:9" x14ac:dyDescent="0.25">
      <c r="A39" t="s">
        <v>19</v>
      </c>
      <c r="B39" t="s">
        <v>38</v>
      </c>
      <c r="C39" s="10"/>
      <c r="D39" s="10"/>
      <c r="E39" s="10">
        <v>13850</v>
      </c>
      <c r="F39" s="10"/>
      <c r="G39" s="10">
        <f t="shared" si="0"/>
        <v>13850</v>
      </c>
      <c r="H39">
        <f t="shared" si="1"/>
        <v>2.66</v>
      </c>
      <c r="I39" s="14">
        <f t="shared" si="2"/>
        <v>1.2999999999999999E-2</v>
      </c>
    </row>
    <row r="40" spans="1:9" x14ac:dyDescent="0.25">
      <c r="A40" t="s">
        <v>19</v>
      </c>
      <c r="B40" t="s">
        <v>39</v>
      </c>
      <c r="C40" s="10"/>
      <c r="D40" s="10"/>
      <c r="E40" s="10">
        <v>166280</v>
      </c>
      <c r="F40" s="10"/>
      <c r="G40" s="10">
        <f t="shared" si="0"/>
        <v>166280</v>
      </c>
      <c r="H40">
        <f t="shared" si="1"/>
        <v>31.92</v>
      </c>
      <c r="I40" s="14">
        <f t="shared" si="2"/>
        <v>0.16</v>
      </c>
    </row>
    <row r="41" spans="1:9" x14ac:dyDescent="0.25">
      <c r="A41" t="s">
        <v>19</v>
      </c>
      <c r="B41" t="s">
        <v>67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4">
        <f t="shared" ref="I41" si="3">ROUND(G41/$G$47,3)</f>
        <v>0</v>
      </c>
    </row>
    <row r="42" spans="1:9" x14ac:dyDescent="0.25">
      <c r="A42" t="s">
        <v>19</v>
      </c>
      <c r="B42" t="s">
        <v>78</v>
      </c>
      <c r="C42" s="10"/>
      <c r="D42" s="10"/>
      <c r="E42" s="10"/>
      <c r="F42" s="10"/>
      <c r="G42" s="10">
        <f t="shared" si="0"/>
        <v>0</v>
      </c>
      <c r="H42">
        <f t="shared" si="1"/>
        <v>0</v>
      </c>
      <c r="I42" s="14">
        <f>ROUND(G42/$G$47,3)</f>
        <v>0</v>
      </c>
    </row>
    <row r="43" spans="1:9" x14ac:dyDescent="0.25">
      <c r="A43" t="s">
        <v>19</v>
      </c>
      <c r="B43" t="s">
        <v>79</v>
      </c>
      <c r="C43" s="10"/>
      <c r="D43" s="10"/>
      <c r="E43" s="10"/>
      <c r="F43" s="10"/>
      <c r="G43" s="10">
        <f t="shared" si="0"/>
        <v>0</v>
      </c>
      <c r="H43">
        <f t="shared" si="1"/>
        <v>0</v>
      </c>
      <c r="I43" s="14">
        <f>ROUND(G43/$G$47,3)</f>
        <v>0</v>
      </c>
    </row>
    <row r="44" spans="1:9" x14ac:dyDescent="0.25">
      <c r="A44" t="s">
        <v>43</v>
      </c>
      <c r="B44" t="s">
        <v>44</v>
      </c>
      <c r="C44" s="10">
        <v>131280</v>
      </c>
      <c r="D44" s="10"/>
      <c r="E44" s="10"/>
      <c r="F44" s="10">
        <v>700</v>
      </c>
      <c r="G44" s="10">
        <f t="shared" si="0"/>
        <v>131980</v>
      </c>
      <c r="H44">
        <f t="shared" si="1"/>
        <v>25.34</v>
      </c>
      <c r="I44" s="14">
        <f>ROUND(G44/$G$47,3)</f>
        <v>0.127</v>
      </c>
    </row>
    <row r="45" spans="1:9" x14ac:dyDescent="0.25">
      <c r="A45" t="s">
        <v>43</v>
      </c>
      <c r="B45" t="s">
        <v>46</v>
      </c>
      <c r="C45" s="10"/>
      <c r="D45" s="10"/>
      <c r="E45" s="10"/>
      <c r="F45" s="10">
        <v>23800</v>
      </c>
      <c r="G45" s="10">
        <f t="shared" si="0"/>
        <v>23800</v>
      </c>
      <c r="H45">
        <f t="shared" si="1"/>
        <v>4.57</v>
      </c>
      <c r="I45" s="14">
        <f>ROUND(G45/$G$47,3)</f>
        <v>2.3E-2</v>
      </c>
    </row>
    <row r="46" spans="1:9" x14ac:dyDescent="0.25">
      <c r="A46" t="s">
        <v>43</v>
      </c>
      <c r="B46" t="s">
        <v>45</v>
      </c>
      <c r="C46" s="10"/>
      <c r="D46" s="10"/>
      <c r="E46" s="10">
        <v>59500</v>
      </c>
      <c r="F46" s="10"/>
      <c r="G46" s="10">
        <f t="shared" si="0"/>
        <v>59500</v>
      </c>
      <c r="H46">
        <f t="shared" si="1"/>
        <v>11.42</v>
      </c>
      <c r="I46" s="14">
        <f>ROUND(G46/$G$47,3)</f>
        <v>5.7000000000000002E-2</v>
      </c>
    </row>
    <row r="47" spans="1:9" x14ac:dyDescent="0.25">
      <c r="A47" s="3" t="s">
        <v>253</v>
      </c>
      <c r="B47" s="3"/>
      <c r="C47" s="8">
        <f t="shared" ref="C47:H47" si="4">SUM(C8:C46)</f>
        <v>527730</v>
      </c>
      <c r="D47" s="8">
        <f t="shared" si="4"/>
        <v>234</v>
      </c>
      <c r="E47" s="8">
        <f t="shared" si="4"/>
        <v>484043</v>
      </c>
      <c r="F47" s="8">
        <f t="shared" si="4"/>
        <v>25958</v>
      </c>
      <c r="G47" s="8">
        <f t="shared" si="4"/>
        <v>1037965</v>
      </c>
      <c r="H47" s="3">
        <f t="shared" si="4"/>
        <v>199.25</v>
      </c>
    </row>
    <row r="48" spans="1:9" x14ac:dyDescent="0.25">
      <c r="A48" s="3" t="s">
        <v>14</v>
      </c>
      <c r="B48" s="3"/>
      <c r="C48" s="13">
        <f>ROUND(C47/G47,2)</f>
        <v>0.51</v>
      </c>
      <c r="D48" s="13">
        <f>ROUND(D47/G47,2)</f>
        <v>0</v>
      </c>
      <c r="E48" s="13">
        <f>ROUND(E47/G47,2)</f>
        <v>0.47</v>
      </c>
      <c r="F48" s="13">
        <f>ROUND(F47/G47,2)</f>
        <v>0.03</v>
      </c>
      <c r="G48" s="3"/>
      <c r="H48" s="3"/>
    </row>
    <row r="49" spans="1:8" x14ac:dyDescent="0.25">
      <c r="A49" s="3" t="s">
        <v>47</v>
      </c>
      <c r="B49" s="3"/>
      <c r="C49" s="3"/>
      <c r="D49" s="3"/>
      <c r="E49" s="3"/>
      <c r="F49" s="3"/>
      <c r="G49" s="3"/>
      <c r="H49" s="3"/>
    </row>
    <row r="50" spans="1:8" x14ac:dyDescent="0.25">
      <c r="A50" s="3" t="s">
        <v>48</v>
      </c>
      <c r="B50" s="3"/>
      <c r="C50" s="8">
        <v>396450</v>
      </c>
      <c r="D50" s="8">
        <v>234</v>
      </c>
      <c r="E50" s="8">
        <v>424543</v>
      </c>
      <c r="F50" s="8">
        <v>1098</v>
      </c>
      <c r="G50" s="8">
        <f>SUM(C50:F50)</f>
        <v>822325</v>
      </c>
      <c r="H50" s="3">
        <f>ROUND(G50/5209,2)</f>
        <v>157.87</v>
      </c>
    </row>
    <row r="51" spans="1:8" x14ac:dyDescent="0.25">
      <c r="A51" s="3" t="s">
        <v>49</v>
      </c>
      <c r="B51" s="3"/>
      <c r="C51" s="8">
        <v>131280</v>
      </c>
      <c r="D51" s="8">
        <v>0</v>
      </c>
      <c r="E51" s="8">
        <v>59500</v>
      </c>
      <c r="F51" s="8">
        <v>24500</v>
      </c>
      <c r="G51" s="8">
        <f>SUM(C51:F51)</f>
        <v>215280</v>
      </c>
      <c r="H51" s="3">
        <f>ROUND(G51/5209,2)</f>
        <v>41.33</v>
      </c>
    </row>
    <row r="52" spans="1:8" x14ac:dyDescent="0.25">
      <c r="A52" s="3" t="s">
        <v>50</v>
      </c>
      <c r="B52" s="3"/>
      <c r="C52" s="8">
        <v>0</v>
      </c>
      <c r="D52" s="8">
        <v>0</v>
      </c>
      <c r="E52" s="8">
        <v>0</v>
      </c>
      <c r="F52" s="8">
        <v>360</v>
      </c>
      <c r="G52" s="8">
        <f>SUM(C52:F52)</f>
        <v>360</v>
      </c>
      <c r="H52" s="3">
        <f>ROUND(G52/5209,2)</f>
        <v>7.0000000000000007E-2</v>
      </c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 t="s">
        <v>2</v>
      </c>
      <c r="D54" s="3">
        <v>2022</v>
      </c>
      <c r="E54" s="3" t="s">
        <v>51</v>
      </c>
      <c r="F54" s="3"/>
      <c r="G54" s="3"/>
      <c r="H54" s="3"/>
    </row>
    <row r="55" spans="1:8" x14ac:dyDescent="0.25">
      <c r="A55" s="3" t="s">
        <v>52</v>
      </c>
      <c r="B55" s="3"/>
      <c r="C55" s="13">
        <v>0.86040000000000005</v>
      </c>
      <c r="D55" s="13">
        <v>0.84589999999999999</v>
      </c>
      <c r="E55" s="13">
        <v>0.77659999999999996</v>
      </c>
      <c r="F55" s="3"/>
      <c r="G55" s="3"/>
      <c r="H55" s="3"/>
    </row>
    <row r="56" spans="1:8" x14ac:dyDescent="0.25">
      <c r="A56" s="3" t="s">
        <v>53</v>
      </c>
      <c r="B56" s="3"/>
      <c r="C56" s="13">
        <v>0.84950000000000003</v>
      </c>
      <c r="D56" s="13">
        <v>0.83479999999999999</v>
      </c>
      <c r="E56" s="13">
        <v>0.75900000000000001</v>
      </c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 t="s">
        <v>256</v>
      </c>
      <c r="B58" s="3"/>
      <c r="C58" s="3" t="s">
        <v>2</v>
      </c>
      <c r="D58" s="3" t="s">
        <v>80</v>
      </c>
      <c r="E58" s="3" t="s">
        <v>55</v>
      </c>
      <c r="F58" s="3" t="s">
        <v>254</v>
      </c>
      <c r="G58" s="3"/>
      <c r="H58" s="3"/>
    </row>
    <row r="59" spans="1:8" x14ac:dyDescent="0.25">
      <c r="A59" s="3" t="s">
        <v>56</v>
      </c>
      <c r="B59" s="3"/>
      <c r="C59" s="3"/>
      <c r="D59" s="3">
        <v>45.12</v>
      </c>
      <c r="E59" s="3">
        <v>81.5</v>
      </c>
      <c r="F59" s="3">
        <v>50.61</v>
      </c>
      <c r="G59" s="3"/>
      <c r="H59" s="3"/>
    </row>
    <row r="60" spans="1:8" x14ac:dyDescent="0.25">
      <c r="A60" s="3" t="s">
        <v>57</v>
      </c>
      <c r="B60" s="3"/>
      <c r="C60" s="3"/>
      <c r="D60" s="3">
        <v>44.55</v>
      </c>
      <c r="E60" s="3">
        <v>58.24</v>
      </c>
      <c r="F60" s="3">
        <v>57.37</v>
      </c>
      <c r="G60" s="3"/>
      <c r="H60" s="3"/>
    </row>
    <row r="61" spans="1:8" x14ac:dyDescent="0.25">
      <c r="A61" s="3" t="s">
        <v>58</v>
      </c>
      <c r="B61" s="3"/>
      <c r="C61" s="3"/>
      <c r="D61" s="3">
        <v>294.17</v>
      </c>
      <c r="E61" s="3">
        <v>261.52999999999997</v>
      </c>
      <c r="F61" s="3">
        <v>249.57</v>
      </c>
      <c r="G61" s="3"/>
      <c r="H61" s="3"/>
    </row>
    <row r="62" spans="1:8" x14ac:dyDescent="0.25">
      <c r="A62" s="3" t="s">
        <v>59</v>
      </c>
      <c r="B62" s="3"/>
      <c r="C62" s="3"/>
      <c r="D62" s="3">
        <v>77.900000000000006</v>
      </c>
      <c r="E62" s="3">
        <v>103.11</v>
      </c>
      <c r="F62" s="3">
        <v>71.400000000000006</v>
      </c>
      <c r="G62" s="3"/>
      <c r="H6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I51"/>
  <sheetViews>
    <sheetView topLeftCell="A27" workbookViewId="0">
      <selection activeCell="G48" sqref="G48:G51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8.140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style="4" bestFit="1" customWidth="1"/>
  </cols>
  <sheetData>
    <row r="2" spans="1:9" ht="18.75" x14ac:dyDescent="0.3">
      <c r="A2" s="1" t="s">
        <v>0</v>
      </c>
      <c r="B2" s="2" t="s">
        <v>209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2346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2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15</v>
      </c>
      <c r="F9" s="10"/>
      <c r="G9" s="10">
        <f t="shared" ref="G9:G35" si="0">SUM(C9:F9)</f>
        <v>15</v>
      </c>
      <c r="H9" s="19">
        <f t="shared" ref="H9:H35" si="1">ROUND(G9/2346,2)</f>
        <v>0.01</v>
      </c>
      <c r="I9" s="4">
        <f t="shared" ref="I9:I35" si="2">ROUND(G9/$G$36,3)</f>
        <v>0</v>
      </c>
    </row>
    <row r="10" spans="1:9" x14ac:dyDescent="0.25">
      <c r="A10" t="s">
        <v>19</v>
      </c>
      <c r="B10" t="s">
        <v>20</v>
      </c>
      <c r="C10" s="10">
        <v>35400</v>
      </c>
      <c r="D10" s="10"/>
      <c r="E10" s="10"/>
      <c r="F10" s="10"/>
      <c r="G10" s="10">
        <f t="shared" si="0"/>
        <v>35400</v>
      </c>
      <c r="H10" s="19">
        <f t="shared" si="1"/>
        <v>15.09</v>
      </c>
      <c r="I10" s="4">
        <f t="shared" si="2"/>
        <v>0.09</v>
      </c>
    </row>
    <row r="11" spans="1:9" x14ac:dyDescent="0.25">
      <c r="A11" t="s">
        <v>19</v>
      </c>
      <c r="B11" t="s">
        <v>21</v>
      </c>
      <c r="C11" s="10">
        <v>48130</v>
      </c>
      <c r="D11" s="10"/>
      <c r="E11" s="10"/>
      <c r="F11" s="10"/>
      <c r="G11" s="10">
        <f t="shared" si="0"/>
        <v>48130</v>
      </c>
      <c r="H11" s="19">
        <f t="shared" si="1"/>
        <v>20.52</v>
      </c>
      <c r="I11" s="4">
        <f t="shared" si="2"/>
        <v>0.122</v>
      </c>
    </row>
    <row r="12" spans="1:9" x14ac:dyDescent="0.25">
      <c r="A12" t="s">
        <v>19</v>
      </c>
      <c r="B12" t="s">
        <v>76</v>
      </c>
      <c r="C12" s="10"/>
      <c r="D12" s="10"/>
      <c r="E12" s="10">
        <v>53</v>
      </c>
      <c r="F12" s="10"/>
      <c r="G12" s="10">
        <f t="shared" si="0"/>
        <v>53</v>
      </c>
      <c r="H12" s="19">
        <f t="shared" si="1"/>
        <v>0.02</v>
      </c>
      <c r="I12" s="4">
        <f t="shared" si="2"/>
        <v>0</v>
      </c>
    </row>
    <row r="13" spans="1:9" x14ac:dyDescent="0.25">
      <c r="A13" t="s">
        <v>19</v>
      </c>
      <c r="B13" t="s">
        <v>41</v>
      </c>
      <c r="C13" s="10"/>
      <c r="D13" s="10"/>
      <c r="E13" s="10">
        <v>198</v>
      </c>
      <c r="F13" s="10"/>
      <c r="G13" s="10">
        <f t="shared" si="0"/>
        <v>198</v>
      </c>
      <c r="H13" s="19">
        <f t="shared" si="1"/>
        <v>0.08</v>
      </c>
      <c r="I13" s="4">
        <f t="shared" si="2"/>
        <v>1E-3</v>
      </c>
    </row>
    <row r="14" spans="1:9" x14ac:dyDescent="0.25">
      <c r="A14" t="s">
        <v>19</v>
      </c>
      <c r="B14" t="s">
        <v>23</v>
      </c>
      <c r="C14" s="10"/>
      <c r="D14" s="10"/>
      <c r="E14" s="10">
        <v>15820</v>
      </c>
      <c r="F14" s="10"/>
      <c r="G14" s="10">
        <f t="shared" si="0"/>
        <v>15820</v>
      </c>
      <c r="H14" s="19">
        <f t="shared" si="1"/>
        <v>6.74</v>
      </c>
      <c r="I14" s="4">
        <f t="shared" si="2"/>
        <v>0.04</v>
      </c>
    </row>
    <row r="15" spans="1:9" x14ac:dyDescent="0.25">
      <c r="A15" t="s">
        <v>19</v>
      </c>
      <c r="B15" t="s">
        <v>24</v>
      </c>
      <c r="C15" s="10">
        <v>49410</v>
      </c>
      <c r="D15" s="10"/>
      <c r="E15" s="10"/>
      <c r="F15" s="10"/>
      <c r="G15" s="10">
        <f t="shared" si="0"/>
        <v>49410</v>
      </c>
      <c r="H15" s="19">
        <f t="shared" si="1"/>
        <v>21.06</v>
      </c>
      <c r="I15" s="4">
        <f t="shared" si="2"/>
        <v>0.125</v>
      </c>
    </row>
    <row r="16" spans="1:9" x14ac:dyDescent="0.25">
      <c r="A16" t="s">
        <v>19</v>
      </c>
      <c r="B16" t="s">
        <v>66</v>
      </c>
      <c r="C16" s="10"/>
      <c r="D16" s="10"/>
      <c r="E16" s="10">
        <v>2245</v>
      </c>
      <c r="F16" s="10"/>
      <c r="G16" s="10">
        <f t="shared" si="0"/>
        <v>2245</v>
      </c>
      <c r="H16" s="19">
        <f t="shared" si="1"/>
        <v>0.96</v>
      </c>
      <c r="I16" s="4">
        <f t="shared" si="2"/>
        <v>6.0000000000000001E-3</v>
      </c>
    </row>
    <row r="17" spans="1:9" x14ac:dyDescent="0.25">
      <c r="A17" t="s">
        <v>19</v>
      </c>
      <c r="B17" t="s">
        <v>25</v>
      </c>
      <c r="C17" s="10">
        <v>74340</v>
      </c>
      <c r="D17" s="10"/>
      <c r="E17" s="10"/>
      <c r="F17" s="10"/>
      <c r="G17" s="10">
        <f t="shared" si="0"/>
        <v>74340</v>
      </c>
      <c r="H17" s="19">
        <f t="shared" si="1"/>
        <v>31.69</v>
      </c>
      <c r="I17" s="4">
        <f t="shared" si="2"/>
        <v>0.188</v>
      </c>
    </row>
    <row r="18" spans="1:9" x14ac:dyDescent="0.25">
      <c r="A18" t="s">
        <v>19</v>
      </c>
      <c r="B18" t="s">
        <v>28</v>
      </c>
      <c r="C18" s="10"/>
      <c r="D18" s="10"/>
      <c r="E18" s="10">
        <v>121</v>
      </c>
      <c r="F18" s="10"/>
      <c r="G18" s="10">
        <f t="shared" si="0"/>
        <v>121</v>
      </c>
      <c r="H18" s="19">
        <f t="shared" si="1"/>
        <v>0.05</v>
      </c>
      <c r="I18" s="4">
        <f t="shared" si="2"/>
        <v>0</v>
      </c>
    </row>
    <row r="19" spans="1:9" x14ac:dyDescent="0.25">
      <c r="A19" t="s">
        <v>19</v>
      </c>
      <c r="B19" t="s">
        <v>29</v>
      </c>
      <c r="C19" s="10"/>
      <c r="D19" s="10"/>
      <c r="E19" s="10">
        <v>1531</v>
      </c>
      <c r="F19" s="10"/>
      <c r="G19" s="10">
        <f t="shared" si="0"/>
        <v>1531</v>
      </c>
      <c r="H19" s="19">
        <f t="shared" si="1"/>
        <v>0.65</v>
      </c>
      <c r="I19" s="4">
        <f t="shared" si="2"/>
        <v>4.0000000000000001E-3</v>
      </c>
    </row>
    <row r="20" spans="1:9" x14ac:dyDescent="0.25">
      <c r="A20" t="s">
        <v>19</v>
      </c>
      <c r="B20" t="s">
        <v>30</v>
      </c>
      <c r="C20" s="10"/>
      <c r="D20" s="10"/>
      <c r="E20" s="10">
        <v>50</v>
      </c>
      <c r="F20" s="10"/>
      <c r="G20" s="10">
        <f t="shared" si="0"/>
        <v>50</v>
      </c>
      <c r="H20" s="19">
        <f t="shared" si="1"/>
        <v>0.02</v>
      </c>
      <c r="I20" s="4">
        <f t="shared" si="2"/>
        <v>0</v>
      </c>
    </row>
    <row r="21" spans="1:9" x14ac:dyDescent="0.25">
      <c r="A21" t="s">
        <v>19</v>
      </c>
      <c r="B21" t="s">
        <v>32</v>
      </c>
      <c r="C21" s="10"/>
      <c r="D21" s="10"/>
      <c r="E21" s="10">
        <v>450</v>
      </c>
      <c r="F21" s="10"/>
      <c r="G21" s="10">
        <f t="shared" si="0"/>
        <v>450</v>
      </c>
      <c r="H21" s="19">
        <f t="shared" si="1"/>
        <v>0.19</v>
      </c>
      <c r="I21" s="4">
        <f t="shared" si="2"/>
        <v>1E-3</v>
      </c>
    </row>
    <row r="22" spans="1:9" x14ac:dyDescent="0.25">
      <c r="A22" t="s">
        <v>19</v>
      </c>
      <c r="B22" t="s">
        <v>42</v>
      </c>
      <c r="C22" s="10"/>
      <c r="D22" s="10">
        <v>126</v>
      </c>
      <c r="E22" s="10"/>
      <c r="F22" s="10"/>
      <c r="G22" s="10">
        <f t="shared" si="0"/>
        <v>126</v>
      </c>
      <c r="H22" s="19">
        <f t="shared" si="1"/>
        <v>0.05</v>
      </c>
      <c r="I22" s="4">
        <f t="shared" si="2"/>
        <v>0</v>
      </c>
    </row>
    <row r="23" spans="1:9" x14ac:dyDescent="0.25">
      <c r="A23" t="s">
        <v>19</v>
      </c>
      <c r="B23" t="s">
        <v>33</v>
      </c>
      <c r="C23" s="10"/>
      <c r="D23" s="10">
        <v>190</v>
      </c>
      <c r="E23" s="10">
        <v>108</v>
      </c>
      <c r="F23" s="10"/>
      <c r="G23" s="10">
        <f t="shared" si="0"/>
        <v>298</v>
      </c>
      <c r="H23" s="19">
        <f t="shared" si="1"/>
        <v>0.13</v>
      </c>
      <c r="I23" s="4">
        <f t="shared" si="2"/>
        <v>1E-3</v>
      </c>
    </row>
    <row r="24" spans="1:9" x14ac:dyDescent="0.25">
      <c r="A24" t="s">
        <v>19</v>
      </c>
      <c r="B24" t="s">
        <v>34</v>
      </c>
      <c r="C24" s="10"/>
      <c r="D24" s="10"/>
      <c r="E24" s="10">
        <v>1278</v>
      </c>
      <c r="F24" s="10"/>
      <c r="G24" s="10">
        <f t="shared" si="0"/>
        <v>1278</v>
      </c>
      <c r="H24" s="19">
        <f t="shared" si="1"/>
        <v>0.54</v>
      </c>
      <c r="I24" s="4">
        <f t="shared" si="2"/>
        <v>3.0000000000000001E-3</v>
      </c>
    </row>
    <row r="25" spans="1:9" x14ac:dyDescent="0.25">
      <c r="A25" t="s">
        <v>19</v>
      </c>
      <c r="B25" t="s">
        <v>40</v>
      </c>
      <c r="C25" s="10"/>
      <c r="D25" s="10"/>
      <c r="E25" s="10">
        <v>1358</v>
      </c>
      <c r="F25" s="10"/>
      <c r="G25" s="10">
        <f t="shared" si="0"/>
        <v>1358</v>
      </c>
      <c r="H25" s="19">
        <f t="shared" si="1"/>
        <v>0.57999999999999996</v>
      </c>
      <c r="I25" s="4">
        <f t="shared" si="2"/>
        <v>3.0000000000000001E-3</v>
      </c>
    </row>
    <row r="26" spans="1:9" x14ac:dyDescent="0.25">
      <c r="A26" t="s">
        <v>19</v>
      </c>
      <c r="B26" t="s">
        <v>35</v>
      </c>
      <c r="C26" s="10"/>
      <c r="D26" s="10"/>
      <c r="E26" s="10">
        <v>2224</v>
      </c>
      <c r="F26" s="10"/>
      <c r="G26" s="10">
        <f t="shared" si="0"/>
        <v>2224</v>
      </c>
      <c r="H26" s="19">
        <f t="shared" si="1"/>
        <v>0.95</v>
      </c>
      <c r="I26" s="4">
        <f t="shared" si="2"/>
        <v>6.0000000000000001E-3</v>
      </c>
    </row>
    <row r="27" spans="1:9" x14ac:dyDescent="0.25">
      <c r="A27" t="s">
        <v>19</v>
      </c>
      <c r="B27" t="s">
        <v>36</v>
      </c>
      <c r="C27" s="10"/>
      <c r="D27" s="10"/>
      <c r="E27" s="10">
        <v>21575</v>
      </c>
      <c r="F27" s="10"/>
      <c r="G27" s="10">
        <f t="shared" si="0"/>
        <v>21575</v>
      </c>
      <c r="H27" s="19">
        <f t="shared" si="1"/>
        <v>9.1999999999999993</v>
      </c>
      <c r="I27" s="4">
        <f t="shared" si="2"/>
        <v>5.5E-2</v>
      </c>
    </row>
    <row r="28" spans="1:9" x14ac:dyDescent="0.25">
      <c r="A28" t="s">
        <v>19</v>
      </c>
      <c r="B28" t="s">
        <v>38</v>
      </c>
      <c r="C28" s="10"/>
      <c r="D28" s="10"/>
      <c r="E28" s="10">
        <v>8350</v>
      </c>
      <c r="F28" s="10"/>
      <c r="G28" s="10">
        <f t="shared" si="0"/>
        <v>8350</v>
      </c>
      <c r="H28" s="19">
        <f t="shared" si="1"/>
        <v>3.56</v>
      </c>
      <c r="I28" s="4">
        <f t="shared" si="2"/>
        <v>2.1000000000000001E-2</v>
      </c>
    </row>
    <row r="29" spans="1:9" x14ac:dyDescent="0.25">
      <c r="A29" t="s">
        <v>19</v>
      </c>
      <c r="B29" t="s">
        <v>39</v>
      </c>
      <c r="C29" s="10"/>
      <c r="D29" s="10"/>
      <c r="E29" s="10">
        <v>40640</v>
      </c>
      <c r="F29" s="10"/>
      <c r="G29" s="10">
        <f t="shared" si="0"/>
        <v>40640</v>
      </c>
      <c r="H29" s="19">
        <f t="shared" si="1"/>
        <v>17.32</v>
      </c>
      <c r="I29" s="4">
        <f t="shared" si="2"/>
        <v>0.10299999999999999</v>
      </c>
    </row>
    <row r="30" spans="1:9" x14ac:dyDescent="0.25">
      <c r="A30" t="s">
        <v>19</v>
      </c>
      <c r="B30" t="s">
        <v>22</v>
      </c>
      <c r="C30" s="10"/>
      <c r="D30" s="10"/>
      <c r="E30" s="10"/>
      <c r="F30" s="10"/>
      <c r="G30" s="10">
        <f t="shared" si="0"/>
        <v>0</v>
      </c>
      <c r="H30" s="19">
        <f t="shared" si="1"/>
        <v>0</v>
      </c>
      <c r="I30" s="4">
        <f t="shared" si="2"/>
        <v>0</v>
      </c>
    </row>
    <row r="31" spans="1:9" x14ac:dyDescent="0.25">
      <c r="A31" t="s">
        <v>19</v>
      </c>
      <c r="B31" t="s">
        <v>67</v>
      </c>
      <c r="C31" s="10"/>
      <c r="D31" s="10"/>
      <c r="E31" s="10"/>
      <c r="F31" s="10"/>
      <c r="G31" s="10">
        <f t="shared" si="0"/>
        <v>0</v>
      </c>
      <c r="H31" s="19">
        <f t="shared" si="1"/>
        <v>0</v>
      </c>
      <c r="I31" s="4">
        <f t="shared" si="2"/>
        <v>0</v>
      </c>
    </row>
    <row r="32" spans="1:9" x14ac:dyDescent="0.25">
      <c r="A32" t="s">
        <v>43</v>
      </c>
      <c r="B32" t="s">
        <v>44</v>
      </c>
      <c r="C32" s="10">
        <v>77850</v>
      </c>
      <c r="D32" s="10"/>
      <c r="E32" s="10"/>
      <c r="F32" s="10"/>
      <c r="G32" s="10">
        <f t="shared" si="0"/>
        <v>77850</v>
      </c>
      <c r="H32" s="19">
        <f t="shared" si="1"/>
        <v>33.18</v>
      </c>
      <c r="I32" s="4">
        <f t="shared" si="2"/>
        <v>0.19700000000000001</v>
      </c>
    </row>
    <row r="33" spans="1:9" x14ac:dyDescent="0.25">
      <c r="A33" t="s">
        <v>43</v>
      </c>
      <c r="B33" t="s">
        <v>45</v>
      </c>
      <c r="C33" s="10"/>
      <c r="D33" s="10"/>
      <c r="E33" s="10">
        <v>13980</v>
      </c>
      <c r="F33" s="10"/>
      <c r="G33" s="10">
        <f t="shared" si="0"/>
        <v>13980</v>
      </c>
      <c r="H33" s="19">
        <f t="shared" si="1"/>
        <v>5.96</v>
      </c>
      <c r="I33" s="4">
        <f t="shared" si="2"/>
        <v>3.5000000000000003E-2</v>
      </c>
    </row>
    <row r="34" spans="1:9" x14ac:dyDescent="0.25">
      <c r="A34" t="s">
        <v>43</v>
      </c>
      <c r="B34" t="s">
        <v>46</v>
      </c>
      <c r="C34" s="10"/>
      <c r="D34" s="10"/>
      <c r="E34" s="10"/>
      <c r="F34" s="10"/>
      <c r="G34" s="10">
        <f t="shared" si="0"/>
        <v>0</v>
      </c>
      <c r="H34" s="19">
        <f t="shared" si="1"/>
        <v>0</v>
      </c>
      <c r="I34" s="4">
        <f t="shared" si="2"/>
        <v>0</v>
      </c>
    </row>
    <row r="35" spans="1:9" x14ac:dyDescent="0.25">
      <c r="A35" t="s">
        <v>15</v>
      </c>
      <c r="B35" t="s">
        <v>18</v>
      </c>
      <c r="C35" s="10"/>
      <c r="D35" s="10"/>
      <c r="E35" s="10"/>
      <c r="F35" s="10"/>
      <c r="G35" s="10">
        <f t="shared" si="0"/>
        <v>0</v>
      </c>
      <c r="H35" s="19">
        <f t="shared" si="1"/>
        <v>0</v>
      </c>
      <c r="I35" s="4">
        <f t="shared" si="2"/>
        <v>0</v>
      </c>
    </row>
    <row r="36" spans="1:9" x14ac:dyDescent="0.25">
      <c r="A36" s="3" t="s">
        <v>253</v>
      </c>
      <c r="B36" s="3"/>
      <c r="C36" s="8">
        <f t="shared" ref="C36:H36" si="3">SUM(C8:C35)</f>
        <v>285130</v>
      </c>
      <c r="D36" s="8">
        <f t="shared" si="3"/>
        <v>316</v>
      </c>
      <c r="E36" s="8">
        <f t="shared" si="3"/>
        <v>109996</v>
      </c>
      <c r="F36" s="8">
        <f t="shared" si="3"/>
        <v>0</v>
      </c>
      <c r="G36" s="8">
        <f t="shared" si="3"/>
        <v>395442</v>
      </c>
      <c r="H36" s="20">
        <f t="shared" si="3"/>
        <v>168.55</v>
      </c>
    </row>
    <row r="37" spans="1:9" x14ac:dyDescent="0.25">
      <c r="A37" s="3" t="s">
        <v>14</v>
      </c>
      <c r="B37" s="3"/>
      <c r="C37" s="12">
        <f>ROUND(C36/G36,2)</f>
        <v>0.72</v>
      </c>
      <c r="D37" s="12">
        <f>ROUND(D36/G36,2)</f>
        <v>0</v>
      </c>
      <c r="E37" s="12">
        <f>ROUND(E36/G36,2)</f>
        <v>0.28000000000000003</v>
      </c>
      <c r="F37" s="12">
        <f>ROUND(F36/G36,2)</f>
        <v>0</v>
      </c>
      <c r="G37" s="7"/>
      <c r="H37" s="7"/>
    </row>
    <row r="38" spans="1:9" x14ac:dyDescent="0.25">
      <c r="A38" s="3" t="s">
        <v>47</v>
      </c>
      <c r="B38" s="3"/>
      <c r="C38" s="3"/>
      <c r="D38" s="3"/>
      <c r="E38" s="3"/>
      <c r="F38" s="3"/>
      <c r="G38" s="3"/>
      <c r="H38" s="3"/>
    </row>
    <row r="39" spans="1:9" x14ac:dyDescent="0.25">
      <c r="A39" s="3" t="s">
        <v>48</v>
      </c>
      <c r="B39" s="3"/>
      <c r="C39" s="8">
        <v>207280</v>
      </c>
      <c r="D39" s="8">
        <v>316</v>
      </c>
      <c r="E39" s="8">
        <v>96016</v>
      </c>
      <c r="F39" s="8">
        <v>0</v>
      </c>
      <c r="G39" s="8">
        <f>SUM(C39:F39)</f>
        <v>303612</v>
      </c>
      <c r="H39" s="20">
        <f>ROUND(G39/2346,2)</f>
        <v>129.41999999999999</v>
      </c>
    </row>
    <row r="40" spans="1:9" x14ac:dyDescent="0.25">
      <c r="A40" s="3" t="s">
        <v>49</v>
      </c>
      <c r="B40" s="3"/>
      <c r="C40" s="8">
        <v>77850</v>
      </c>
      <c r="D40" s="8">
        <v>0</v>
      </c>
      <c r="E40" s="8">
        <v>13980</v>
      </c>
      <c r="F40" s="8">
        <v>0</v>
      </c>
      <c r="G40" s="8">
        <f>SUM(C40:F40)</f>
        <v>91830</v>
      </c>
      <c r="H40" s="20">
        <f>ROUND(G40/2346,2)</f>
        <v>39.14</v>
      </c>
    </row>
    <row r="41" spans="1:9" x14ac:dyDescent="0.25">
      <c r="A41" s="3" t="s">
        <v>50</v>
      </c>
      <c r="B41" s="3"/>
      <c r="C41" s="8">
        <v>0</v>
      </c>
      <c r="D41" s="8">
        <v>0</v>
      </c>
      <c r="E41" s="8">
        <v>0</v>
      </c>
      <c r="F41" s="8">
        <v>0</v>
      </c>
      <c r="G41" s="8">
        <f>SUM(C41:F41)</f>
        <v>0</v>
      </c>
      <c r="H41" s="20">
        <f>ROUND(G41/2346,2)</f>
        <v>0</v>
      </c>
    </row>
    <row r="42" spans="1:9" x14ac:dyDescent="0.25">
      <c r="A42" s="3"/>
      <c r="B42" s="3"/>
      <c r="C42" s="3"/>
      <c r="D42" s="3"/>
      <c r="E42" s="3"/>
      <c r="F42" s="3"/>
      <c r="G42" s="3"/>
      <c r="H42" s="3"/>
    </row>
    <row r="43" spans="1:9" x14ac:dyDescent="0.25">
      <c r="A43" s="3"/>
      <c r="B43" s="3"/>
      <c r="C43" s="3" t="s">
        <v>2</v>
      </c>
      <c r="D43" s="3">
        <v>2022</v>
      </c>
      <c r="E43" s="3" t="s">
        <v>51</v>
      </c>
      <c r="F43" s="3"/>
      <c r="G43" s="3"/>
      <c r="H43" s="3"/>
    </row>
    <row r="44" spans="1:9" x14ac:dyDescent="0.25">
      <c r="A44" s="3" t="s">
        <v>52</v>
      </c>
      <c r="B44" s="3"/>
      <c r="C44" s="12">
        <v>0.79490000000000005</v>
      </c>
      <c r="D44" s="12">
        <v>0.79010000000000002</v>
      </c>
      <c r="E44" s="12">
        <v>0.77659999999999996</v>
      </c>
      <c r="F44" s="3"/>
      <c r="G44" s="3"/>
      <c r="H44" s="3"/>
    </row>
    <row r="45" spans="1:9" x14ac:dyDescent="0.25">
      <c r="A45" s="3" t="s">
        <v>53</v>
      </c>
      <c r="B45" s="3"/>
      <c r="C45" s="12">
        <v>0.78590000000000004</v>
      </c>
      <c r="D45" s="12">
        <v>0.77759999999999996</v>
      </c>
      <c r="E45" s="12">
        <v>0.75900000000000001</v>
      </c>
      <c r="F45" s="3"/>
      <c r="G45" s="3"/>
      <c r="H45" s="3"/>
    </row>
    <row r="46" spans="1:9" x14ac:dyDescent="0.25">
      <c r="A46" s="3"/>
      <c r="B46" s="3"/>
      <c r="C46" s="3"/>
      <c r="D46" s="3"/>
      <c r="E46" s="3"/>
      <c r="F46" s="3"/>
      <c r="G46" s="3"/>
      <c r="H46" s="3"/>
    </row>
    <row r="47" spans="1:9" x14ac:dyDescent="0.25">
      <c r="A47" s="3" t="s">
        <v>256</v>
      </c>
      <c r="B47" s="3"/>
      <c r="C47" s="3" t="s">
        <v>2</v>
      </c>
      <c r="D47" s="3" t="s">
        <v>210</v>
      </c>
      <c r="E47" s="3" t="s">
        <v>55</v>
      </c>
      <c r="F47" s="3" t="s">
        <v>257</v>
      </c>
      <c r="G47" s="3"/>
      <c r="H47" s="3"/>
    </row>
    <row r="48" spans="1:9" x14ac:dyDescent="0.25">
      <c r="A48" s="3" t="s">
        <v>56</v>
      </c>
      <c r="B48" s="3"/>
      <c r="C48" s="3"/>
      <c r="D48" s="3">
        <v>61.09</v>
      </c>
      <c r="E48" s="3">
        <v>81.5</v>
      </c>
      <c r="F48" s="3">
        <v>50.61</v>
      </c>
      <c r="G48" s="3"/>
      <c r="H48" s="3"/>
    </row>
    <row r="49" spans="1:8" x14ac:dyDescent="0.25">
      <c r="A49" s="3" t="s">
        <v>57</v>
      </c>
      <c r="B49" s="3"/>
      <c r="C49" s="3"/>
      <c r="D49" s="3">
        <v>57.1</v>
      </c>
      <c r="E49" s="3">
        <v>58.24</v>
      </c>
      <c r="F49" s="3">
        <v>57.37</v>
      </c>
      <c r="G49" s="3"/>
      <c r="H49" s="3"/>
    </row>
    <row r="50" spans="1:8" x14ac:dyDescent="0.25">
      <c r="A50" s="3" t="s">
        <v>58</v>
      </c>
      <c r="B50" s="3"/>
      <c r="C50" s="3"/>
      <c r="D50" s="3">
        <v>236.43</v>
      </c>
      <c r="E50" s="3">
        <v>261.52999999999997</v>
      </c>
      <c r="F50" s="3">
        <v>249.57</v>
      </c>
      <c r="G50" s="3"/>
      <c r="H50" s="3"/>
    </row>
    <row r="51" spans="1:8" x14ac:dyDescent="0.25">
      <c r="A51" s="3" t="s">
        <v>59</v>
      </c>
      <c r="B51" s="3"/>
      <c r="C51" s="3"/>
      <c r="D51" s="3">
        <v>76.55</v>
      </c>
      <c r="E51" s="3">
        <v>103.11</v>
      </c>
      <c r="F51" s="3">
        <v>71.400000000000006</v>
      </c>
      <c r="G51" s="3"/>
      <c r="H51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I60"/>
  <sheetViews>
    <sheetView topLeftCell="A33" workbookViewId="0">
      <selection activeCell="G57" sqref="G57:G60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7109375" bestFit="1" customWidth="1"/>
    <col min="4" max="4" width="30" bestFit="1" customWidth="1"/>
    <col min="5" max="5" width="13.85546875" bestFit="1" customWidth="1"/>
    <col min="6" max="6" width="9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211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4439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190</v>
      </c>
      <c r="F9" s="10"/>
      <c r="G9" s="10">
        <f t="shared" ref="G9:G44" si="0">SUM(C9:F9)</f>
        <v>190</v>
      </c>
      <c r="H9" s="19">
        <f t="shared" ref="H9:H44" si="1">ROUND(G9/4439,2)</f>
        <v>0.04</v>
      </c>
      <c r="I9" s="4">
        <f t="shared" ref="I9:I40" si="2">ROUND(G9/$G$45,3)</f>
        <v>0</v>
      </c>
    </row>
    <row r="10" spans="1:9" x14ac:dyDescent="0.25">
      <c r="A10" t="s">
        <v>19</v>
      </c>
      <c r="B10" t="s">
        <v>20</v>
      </c>
      <c r="C10" s="10">
        <v>67460</v>
      </c>
      <c r="D10" s="10"/>
      <c r="E10" s="10"/>
      <c r="F10" s="10"/>
      <c r="G10" s="10">
        <f t="shared" si="0"/>
        <v>67460</v>
      </c>
      <c r="H10" s="19">
        <f t="shared" si="1"/>
        <v>15.2</v>
      </c>
      <c r="I10" s="4">
        <f t="shared" si="2"/>
        <v>5.8000000000000003E-2</v>
      </c>
    </row>
    <row r="11" spans="1:9" x14ac:dyDescent="0.25">
      <c r="A11" t="s">
        <v>19</v>
      </c>
      <c r="B11" t="s">
        <v>21</v>
      </c>
      <c r="C11" s="10">
        <v>92290</v>
      </c>
      <c r="D11" s="10"/>
      <c r="E11" s="10"/>
      <c r="F11" s="10"/>
      <c r="G11" s="10">
        <f t="shared" si="0"/>
        <v>92290</v>
      </c>
      <c r="H11" s="19">
        <f t="shared" si="1"/>
        <v>20.79</v>
      </c>
      <c r="I11" s="4">
        <f t="shared" si="2"/>
        <v>7.9000000000000001E-2</v>
      </c>
    </row>
    <row r="12" spans="1:9" x14ac:dyDescent="0.25">
      <c r="A12" t="s">
        <v>19</v>
      </c>
      <c r="B12" t="s">
        <v>76</v>
      </c>
      <c r="C12" s="10"/>
      <c r="D12" s="10"/>
      <c r="E12" s="10">
        <v>209</v>
      </c>
      <c r="F12" s="10"/>
      <c r="G12" s="10">
        <f t="shared" si="0"/>
        <v>209</v>
      </c>
      <c r="H12" s="19">
        <f t="shared" si="1"/>
        <v>0.05</v>
      </c>
      <c r="I12" s="4">
        <f t="shared" si="2"/>
        <v>0</v>
      </c>
    </row>
    <row r="13" spans="1:9" x14ac:dyDescent="0.25">
      <c r="A13" t="s">
        <v>19</v>
      </c>
      <c r="B13" t="s">
        <v>41</v>
      </c>
      <c r="C13" s="10"/>
      <c r="D13" s="10"/>
      <c r="E13" s="10">
        <v>206</v>
      </c>
      <c r="F13" s="10"/>
      <c r="G13" s="10">
        <f t="shared" si="0"/>
        <v>206</v>
      </c>
      <c r="H13" s="19">
        <f t="shared" si="1"/>
        <v>0.05</v>
      </c>
      <c r="I13" s="4">
        <f t="shared" si="2"/>
        <v>0</v>
      </c>
    </row>
    <row r="14" spans="1:9" x14ac:dyDescent="0.25">
      <c r="A14" t="s">
        <v>19</v>
      </c>
      <c r="B14" t="s">
        <v>22</v>
      </c>
      <c r="C14" s="10"/>
      <c r="D14" s="10"/>
      <c r="E14" s="10">
        <v>2400</v>
      </c>
      <c r="F14" s="10"/>
      <c r="G14" s="10">
        <f t="shared" si="0"/>
        <v>2400</v>
      </c>
      <c r="H14" s="19">
        <f t="shared" si="1"/>
        <v>0.54</v>
      </c>
      <c r="I14" s="4">
        <f t="shared" si="2"/>
        <v>2E-3</v>
      </c>
    </row>
    <row r="15" spans="1:9" x14ac:dyDescent="0.25">
      <c r="A15" t="s">
        <v>19</v>
      </c>
      <c r="B15" t="s">
        <v>23</v>
      </c>
      <c r="C15" s="10"/>
      <c r="D15" s="10"/>
      <c r="E15" s="10">
        <v>64480</v>
      </c>
      <c r="F15" s="10"/>
      <c r="G15" s="10">
        <f t="shared" si="0"/>
        <v>64480</v>
      </c>
      <c r="H15" s="19">
        <f t="shared" si="1"/>
        <v>14.53</v>
      </c>
      <c r="I15" s="4">
        <f t="shared" si="2"/>
        <v>5.5E-2</v>
      </c>
    </row>
    <row r="16" spans="1:9" x14ac:dyDescent="0.25">
      <c r="A16" t="s">
        <v>19</v>
      </c>
      <c r="B16" t="s">
        <v>24</v>
      </c>
      <c r="C16" s="10">
        <v>101590</v>
      </c>
      <c r="D16" s="10"/>
      <c r="E16" s="10"/>
      <c r="F16" s="10"/>
      <c r="G16" s="10">
        <f t="shared" si="0"/>
        <v>101590</v>
      </c>
      <c r="H16" s="19">
        <f t="shared" si="1"/>
        <v>22.89</v>
      </c>
      <c r="I16" s="4">
        <f t="shared" si="2"/>
        <v>8.6999999999999994E-2</v>
      </c>
    </row>
    <row r="17" spans="1:9" x14ac:dyDescent="0.25">
      <c r="A17" t="s">
        <v>19</v>
      </c>
      <c r="B17" t="s">
        <v>66</v>
      </c>
      <c r="C17" s="10"/>
      <c r="D17" s="10"/>
      <c r="E17" s="10">
        <v>6555</v>
      </c>
      <c r="F17" s="10"/>
      <c r="G17" s="10">
        <f t="shared" si="0"/>
        <v>6555</v>
      </c>
      <c r="H17" s="19">
        <f t="shared" si="1"/>
        <v>1.48</v>
      </c>
      <c r="I17" s="4">
        <f t="shared" si="2"/>
        <v>6.0000000000000001E-3</v>
      </c>
    </row>
    <row r="18" spans="1:9" x14ac:dyDescent="0.25">
      <c r="A18" t="s">
        <v>19</v>
      </c>
      <c r="B18" t="s">
        <v>25</v>
      </c>
      <c r="C18" s="10">
        <v>139040</v>
      </c>
      <c r="D18" s="10"/>
      <c r="E18" s="10"/>
      <c r="F18" s="10">
        <v>100</v>
      </c>
      <c r="G18" s="10">
        <f t="shared" si="0"/>
        <v>139140</v>
      </c>
      <c r="H18" s="19">
        <f t="shared" si="1"/>
        <v>31.34</v>
      </c>
      <c r="I18" s="4">
        <f t="shared" si="2"/>
        <v>0.11899999999999999</v>
      </c>
    </row>
    <row r="19" spans="1:9" x14ac:dyDescent="0.25">
      <c r="A19" t="s">
        <v>19</v>
      </c>
      <c r="B19" t="s">
        <v>26</v>
      </c>
      <c r="C19" s="10"/>
      <c r="D19" s="10"/>
      <c r="E19" s="10">
        <v>365</v>
      </c>
      <c r="F19" s="10"/>
      <c r="G19" s="10">
        <f t="shared" si="0"/>
        <v>365</v>
      </c>
      <c r="H19" s="19">
        <f t="shared" si="1"/>
        <v>0.08</v>
      </c>
      <c r="I19" s="4">
        <f t="shared" si="2"/>
        <v>0</v>
      </c>
    </row>
    <row r="20" spans="1:9" x14ac:dyDescent="0.25">
      <c r="A20" t="s">
        <v>19</v>
      </c>
      <c r="B20" t="s">
        <v>27</v>
      </c>
      <c r="C20" s="10"/>
      <c r="D20" s="10"/>
      <c r="E20" s="10">
        <v>74</v>
      </c>
      <c r="F20" s="10"/>
      <c r="G20" s="10">
        <f t="shared" si="0"/>
        <v>74</v>
      </c>
      <c r="H20" s="19">
        <f t="shared" si="1"/>
        <v>0.02</v>
      </c>
      <c r="I20" s="4">
        <f t="shared" si="2"/>
        <v>0</v>
      </c>
    </row>
    <row r="21" spans="1:9" x14ac:dyDescent="0.25">
      <c r="A21" t="s">
        <v>19</v>
      </c>
      <c r="B21" t="s">
        <v>28</v>
      </c>
      <c r="C21" s="10"/>
      <c r="D21" s="10"/>
      <c r="E21" s="10">
        <v>115</v>
      </c>
      <c r="F21" s="10"/>
      <c r="G21" s="10">
        <f t="shared" si="0"/>
        <v>115</v>
      </c>
      <c r="H21" s="19">
        <f t="shared" si="1"/>
        <v>0.03</v>
      </c>
      <c r="I21" s="4">
        <f t="shared" si="2"/>
        <v>0</v>
      </c>
    </row>
    <row r="22" spans="1:9" x14ac:dyDescent="0.25">
      <c r="A22" t="s">
        <v>19</v>
      </c>
      <c r="B22" t="s">
        <v>30</v>
      </c>
      <c r="C22" s="10"/>
      <c r="D22" s="10"/>
      <c r="E22" s="10">
        <v>1300</v>
      </c>
      <c r="F22" s="10"/>
      <c r="G22" s="10">
        <f t="shared" si="0"/>
        <v>1300</v>
      </c>
      <c r="H22" s="19">
        <f t="shared" si="1"/>
        <v>0.28999999999999998</v>
      </c>
      <c r="I22" s="4">
        <f t="shared" si="2"/>
        <v>1E-3</v>
      </c>
    </row>
    <row r="23" spans="1:9" x14ac:dyDescent="0.25">
      <c r="A23" t="s">
        <v>19</v>
      </c>
      <c r="B23" t="s">
        <v>31</v>
      </c>
      <c r="C23" s="10"/>
      <c r="D23" s="10"/>
      <c r="E23" s="10">
        <v>600</v>
      </c>
      <c r="F23" s="10"/>
      <c r="G23" s="10">
        <f t="shared" si="0"/>
        <v>600</v>
      </c>
      <c r="H23" s="19">
        <f t="shared" si="1"/>
        <v>0.14000000000000001</v>
      </c>
      <c r="I23" s="4">
        <f t="shared" si="2"/>
        <v>1E-3</v>
      </c>
    </row>
    <row r="24" spans="1:9" x14ac:dyDescent="0.25">
      <c r="A24" t="s">
        <v>19</v>
      </c>
      <c r="B24" t="s">
        <v>32</v>
      </c>
      <c r="C24" s="10"/>
      <c r="D24" s="10"/>
      <c r="E24" s="10">
        <v>1935</v>
      </c>
      <c r="F24" s="10"/>
      <c r="G24" s="10">
        <f t="shared" si="0"/>
        <v>1935</v>
      </c>
      <c r="H24" s="19">
        <f t="shared" si="1"/>
        <v>0.44</v>
      </c>
      <c r="I24" s="4">
        <f t="shared" si="2"/>
        <v>2E-3</v>
      </c>
    </row>
    <row r="25" spans="1:9" x14ac:dyDescent="0.25">
      <c r="A25" t="s">
        <v>19</v>
      </c>
      <c r="B25" t="s">
        <v>42</v>
      </c>
      <c r="C25" s="10"/>
      <c r="D25" s="10">
        <v>90</v>
      </c>
      <c r="E25" s="10"/>
      <c r="F25" s="10"/>
      <c r="G25" s="10">
        <f t="shared" si="0"/>
        <v>90</v>
      </c>
      <c r="H25" s="19">
        <f t="shared" si="1"/>
        <v>0.02</v>
      </c>
      <c r="I25" s="4">
        <f t="shared" si="2"/>
        <v>0</v>
      </c>
    </row>
    <row r="26" spans="1:9" x14ac:dyDescent="0.25">
      <c r="A26" t="s">
        <v>19</v>
      </c>
      <c r="B26" t="s">
        <v>67</v>
      </c>
      <c r="C26" s="10"/>
      <c r="D26" s="10"/>
      <c r="E26" s="10">
        <v>1300</v>
      </c>
      <c r="F26" s="10"/>
      <c r="G26" s="10">
        <f t="shared" si="0"/>
        <v>1300</v>
      </c>
      <c r="H26" s="19">
        <f t="shared" si="1"/>
        <v>0.28999999999999998</v>
      </c>
      <c r="I26" s="4">
        <f t="shared" si="2"/>
        <v>1E-3</v>
      </c>
    </row>
    <row r="27" spans="1:9" x14ac:dyDescent="0.25">
      <c r="A27" t="s">
        <v>19</v>
      </c>
      <c r="B27" t="s">
        <v>33</v>
      </c>
      <c r="C27" s="10"/>
      <c r="D27" s="10"/>
      <c r="E27" s="10">
        <v>546</v>
      </c>
      <c r="F27" s="10"/>
      <c r="G27" s="10">
        <f t="shared" si="0"/>
        <v>546</v>
      </c>
      <c r="H27" s="19">
        <f t="shared" si="1"/>
        <v>0.12</v>
      </c>
      <c r="I27" s="4">
        <f t="shared" si="2"/>
        <v>0</v>
      </c>
    </row>
    <row r="28" spans="1:9" x14ac:dyDescent="0.25">
      <c r="A28" t="s">
        <v>19</v>
      </c>
      <c r="B28" t="s">
        <v>34</v>
      </c>
      <c r="C28" s="10"/>
      <c r="D28" s="10"/>
      <c r="E28" s="10">
        <v>3000</v>
      </c>
      <c r="F28" s="10"/>
      <c r="G28" s="10">
        <f t="shared" si="0"/>
        <v>3000</v>
      </c>
      <c r="H28" s="19">
        <f t="shared" si="1"/>
        <v>0.68</v>
      </c>
      <c r="I28" s="4">
        <f t="shared" si="2"/>
        <v>3.0000000000000001E-3</v>
      </c>
    </row>
    <row r="29" spans="1:9" x14ac:dyDescent="0.25">
      <c r="A29" t="s">
        <v>19</v>
      </c>
      <c r="B29" t="s">
        <v>35</v>
      </c>
      <c r="C29" s="10"/>
      <c r="D29" s="10"/>
      <c r="E29" s="10">
        <v>1410</v>
      </c>
      <c r="F29" s="10"/>
      <c r="G29" s="10">
        <f t="shared" si="0"/>
        <v>1410</v>
      </c>
      <c r="H29" s="19">
        <f t="shared" si="1"/>
        <v>0.32</v>
      </c>
      <c r="I29" s="4">
        <f t="shared" si="2"/>
        <v>1E-3</v>
      </c>
    </row>
    <row r="30" spans="1:9" x14ac:dyDescent="0.25">
      <c r="A30" t="s">
        <v>19</v>
      </c>
      <c r="B30" t="s">
        <v>40</v>
      </c>
      <c r="C30" s="10"/>
      <c r="D30" s="10"/>
      <c r="E30" s="10">
        <v>6211</v>
      </c>
      <c r="F30" s="10"/>
      <c r="G30" s="10">
        <f t="shared" si="0"/>
        <v>6211</v>
      </c>
      <c r="H30" s="19">
        <f t="shared" si="1"/>
        <v>1.4</v>
      </c>
      <c r="I30" s="4">
        <f t="shared" si="2"/>
        <v>5.0000000000000001E-3</v>
      </c>
    </row>
    <row r="31" spans="1:9" x14ac:dyDescent="0.25">
      <c r="A31" t="s">
        <v>19</v>
      </c>
      <c r="B31" t="s">
        <v>36</v>
      </c>
      <c r="C31" s="10"/>
      <c r="D31" s="10"/>
      <c r="E31" s="10">
        <v>75650</v>
      </c>
      <c r="F31" s="10"/>
      <c r="G31" s="10">
        <f t="shared" si="0"/>
        <v>75650</v>
      </c>
      <c r="H31" s="19">
        <f t="shared" si="1"/>
        <v>17.04</v>
      </c>
      <c r="I31" s="4">
        <f t="shared" si="2"/>
        <v>6.5000000000000002E-2</v>
      </c>
    </row>
    <row r="32" spans="1:9" x14ac:dyDescent="0.25">
      <c r="A32" t="s">
        <v>19</v>
      </c>
      <c r="B32" t="s">
        <v>37</v>
      </c>
      <c r="C32" s="10"/>
      <c r="D32" s="10"/>
      <c r="E32" s="10">
        <v>11100</v>
      </c>
      <c r="F32" s="10"/>
      <c r="G32" s="10">
        <f t="shared" si="0"/>
        <v>11100</v>
      </c>
      <c r="H32" s="19">
        <f t="shared" si="1"/>
        <v>2.5</v>
      </c>
      <c r="I32" s="4">
        <f t="shared" si="2"/>
        <v>8.9999999999999993E-3</v>
      </c>
    </row>
    <row r="33" spans="1:9" x14ac:dyDescent="0.25">
      <c r="A33" t="s">
        <v>19</v>
      </c>
      <c r="B33" t="s">
        <v>38</v>
      </c>
      <c r="C33" s="10"/>
      <c r="D33" s="10"/>
      <c r="E33" s="10">
        <v>17000</v>
      </c>
      <c r="F33" s="10"/>
      <c r="G33" s="10">
        <f t="shared" si="0"/>
        <v>17000</v>
      </c>
      <c r="H33" s="19">
        <f t="shared" si="1"/>
        <v>3.83</v>
      </c>
      <c r="I33" s="4">
        <f t="shared" si="2"/>
        <v>1.4999999999999999E-2</v>
      </c>
    </row>
    <row r="34" spans="1:9" x14ac:dyDescent="0.25">
      <c r="A34" t="s">
        <v>19</v>
      </c>
      <c r="B34" t="s">
        <v>39</v>
      </c>
      <c r="C34" s="10"/>
      <c r="D34" s="10"/>
      <c r="E34" s="10">
        <v>303530</v>
      </c>
      <c r="F34" s="10"/>
      <c r="G34" s="10">
        <f t="shared" si="0"/>
        <v>303530</v>
      </c>
      <c r="H34" s="19">
        <f t="shared" si="1"/>
        <v>68.38</v>
      </c>
      <c r="I34" s="4">
        <f t="shared" si="2"/>
        <v>0.25900000000000001</v>
      </c>
    </row>
    <row r="35" spans="1:9" x14ac:dyDescent="0.25">
      <c r="A35" t="s">
        <v>19</v>
      </c>
      <c r="B35" t="s">
        <v>70</v>
      </c>
      <c r="C35" s="10"/>
      <c r="D35" s="10"/>
      <c r="E35" s="10"/>
      <c r="F35" s="10"/>
      <c r="G35" s="10">
        <f t="shared" si="0"/>
        <v>0</v>
      </c>
      <c r="H35" s="19">
        <f t="shared" si="1"/>
        <v>0</v>
      </c>
      <c r="I35" s="4">
        <f t="shared" si="2"/>
        <v>0</v>
      </c>
    </row>
    <row r="36" spans="1:9" x14ac:dyDescent="0.25">
      <c r="A36" t="s">
        <v>19</v>
      </c>
      <c r="B36" t="s">
        <v>29</v>
      </c>
      <c r="C36" s="10"/>
      <c r="D36" s="10"/>
      <c r="E36" s="10"/>
      <c r="F36" s="10"/>
      <c r="G36" s="10">
        <f t="shared" si="0"/>
        <v>0</v>
      </c>
      <c r="H36" s="19">
        <f t="shared" si="1"/>
        <v>0</v>
      </c>
      <c r="I36" s="4">
        <f t="shared" si="2"/>
        <v>0</v>
      </c>
    </row>
    <row r="37" spans="1:9" x14ac:dyDescent="0.25">
      <c r="A37" t="s">
        <v>19</v>
      </c>
      <c r="B37" t="s">
        <v>71</v>
      </c>
      <c r="C37" s="10"/>
      <c r="D37" s="10"/>
      <c r="E37" s="10"/>
      <c r="F37" s="10"/>
      <c r="G37" s="10">
        <f t="shared" si="0"/>
        <v>0</v>
      </c>
      <c r="H37" s="19">
        <f t="shared" si="1"/>
        <v>0</v>
      </c>
      <c r="I37" s="4">
        <f t="shared" si="2"/>
        <v>0</v>
      </c>
    </row>
    <row r="38" spans="1:9" x14ac:dyDescent="0.25">
      <c r="A38" t="s">
        <v>19</v>
      </c>
      <c r="B38" t="s">
        <v>79</v>
      </c>
      <c r="C38" s="10"/>
      <c r="D38" s="10"/>
      <c r="E38" s="10"/>
      <c r="F38" s="10"/>
      <c r="G38" s="10">
        <f t="shared" si="0"/>
        <v>0</v>
      </c>
      <c r="H38" s="19">
        <f t="shared" si="1"/>
        <v>0</v>
      </c>
      <c r="I38" s="4">
        <f t="shared" si="2"/>
        <v>0</v>
      </c>
    </row>
    <row r="39" spans="1:9" x14ac:dyDescent="0.25">
      <c r="A39" t="s">
        <v>43</v>
      </c>
      <c r="B39" t="s">
        <v>44</v>
      </c>
      <c r="C39" s="10">
        <v>193220</v>
      </c>
      <c r="D39" s="10"/>
      <c r="E39" s="10"/>
      <c r="F39" s="10"/>
      <c r="G39" s="10">
        <f t="shared" si="0"/>
        <v>193220</v>
      </c>
      <c r="H39" s="19">
        <f t="shared" si="1"/>
        <v>43.53</v>
      </c>
      <c r="I39" s="4">
        <f t="shared" si="2"/>
        <v>0.16500000000000001</v>
      </c>
    </row>
    <row r="40" spans="1:9" x14ac:dyDescent="0.25">
      <c r="A40" t="s">
        <v>43</v>
      </c>
      <c r="B40" t="s">
        <v>46</v>
      </c>
      <c r="C40" s="10"/>
      <c r="D40" s="10"/>
      <c r="E40" s="10"/>
      <c r="F40" s="10">
        <v>27590</v>
      </c>
      <c r="G40" s="10">
        <f t="shared" si="0"/>
        <v>27590</v>
      </c>
      <c r="H40" s="19">
        <f t="shared" si="1"/>
        <v>6.22</v>
      </c>
      <c r="I40" s="4">
        <f t="shared" si="2"/>
        <v>2.4E-2</v>
      </c>
    </row>
    <row r="41" spans="1:9" x14ac:dyDescent="0.25">
      <c r="A41" t="s">
        <v>43</v>
      </c>
      <c r="B41" t="s">
        <v>45</v>
      </c>
      <c r="C41" s="10"/>
      <c r="D41" s="10"/>
      <c r="E41" s="10">
        <v>51480</v>
      </c>
      <c r="F41" s="10"/>
      <c r="G41" s="10">
        <f t="shared" si="0"/>
        <v>51480</v>
      </c>
      <c r="H41" s="19">
        <f t="shared" si="1"/>
        <v>11.6</v>
      </c>
      <c r="I41" s="4">
        <f t="shared" ref="I41" si="3">ROUND(G41/$G$45,3)</f>
        <v>4.3999999999999997E-2</v>
      </c>
    </row>
    <row r="42" spans="1:9" x14ac:dyDescent="0.25">
      <c r="A42" t="s">
        <v>15</v>
      </c>
      <c r="B42" t="s">
        <v>18</v>
      </c>
      <c r="C42" s="10"/>
      <c r="D42" s="10"/>
      <c r="E42" s="10"/>
      <c r="F42" s="10"/>
      <c r="G42" s="10">
        <f t="shared" si="0"/>
        <v>0</v>
      </c>
      <c r="H42" s="19">
        <f t="shared" si="1"/>
        <v>0</v>
      </c>
      <c r="I42" s="4">
        <f>ROUND(G42/$G$45,3)</f>
        <v>0</v>
      </c>
    </row>
    <row r="43" spans="1:9" x14ac:dyDescent="0.25">
      <c r="A43" t="s">
        <v>15</v>
      </c>
      <c r="B43" t="s">
        <v>16</v>
      </c>
      <c r="C43" s="10"/>
      <c r="D43" s="10"/>
      <c r="E43" s="10"/>
      <c r="F43" s="10"/>
      <c r="G43" s="10">
        <f t="shared" si="0"/>
        <v>0</v>
      </c>
      <c r="H43" s="19">
        <f t="shared" si="1"/>
        <v>0</v>
      </c>
      <c r="I43" s="4">
        <f>ROUND(G43/$G$45,3)</f>
        <v>0</v>
      </c>
    </row>
    <row r="44" spans="1:9" x14ac:dyDescent="0.25">
      <c r="A44" t="s">
        <v>15</v>
      </c>
      <c r="B44" t="s">
        <v>63</v>
      </c>
      <c r="C44" s="10"/>
      <c r="D44" s="10"/>
      <c r="E44" s="10"/>
      <c r="F44" s="10"/>
      <c r="G44" s="10">
        <f t="shared" si="0"/>
        <v>0</v>
      </c>
      <c r="H44" s="19">
        <f t="shared" si="1"/>
        <v>0</v>
      </c>
      <c r="I44" s="4">
        <f>ROUND(G44/$G$45,3)</f>
        <v>0</v>
      </c>
    </row>
    <row r="45" spans="1:9" x14ac:dyDescent="0.25">
      <c r="A45" s="3" t="s">
        <v>253</v>
      </c>
      <c r="B45" s="3"/>
      <c r="C45" s="8">
        <f t="shared" ref="C45:H45" si="4">SUM(C8:C44)</f>
        <v>593600</v>
      </c>
      <c r="D45" s="8">
        <f t="shared" si="4"/>
        <v>90</v>
      </c>
      <c r="E45" s="8">
        <f t="shared" si="4"/>
        <v>549656</v>
      </c>
      <c r="F45" s="8">
        <f t="shared" si="4"/>
        <v>27690</v>
      </c>
      <c r="G45" s="8">
        <f t="shared" si="4"/>
        <v>1171036</v>
      </c>
      <c r="H45" s="20">
        <f t="shared" si="4"/>
        <v>263.84000000000003</v>
      </c>
    </row>
    <row r="46" spans="1:9" x14ac:dyDescent="0.25">
      <c r="A46" s="3" t="s">
        <v>14</v>
      </c>
      <c r="B46" s="3"/>
      <c r="C46" s="12">
        <f>ROUND(C45/G45,2)</f>
        <v>0.51</v>
      </c>
      <c r="D46" s="12">
        <f>ROUND(D45/G45,2)</f>
        <v>0</v>
      </c>
      <c r="E46" s="12">
        <f>ROUND(E45/G45,2)</f>
        <v>0.47</v>
      </c>
      <c r="F46" s="12">
        <f>ROUND(F45/G45,2)</f>
        <v>0.02</v>
      </c>
      <c r="G46" s="3"/>
      <c r="H46" s="3"/>
    </row>
    <row r="47" spans="1:9" x14ac:dyDescent="0.25">
      <c r="A47" s="3" t="s">
        <v>47</v>
      </c>
      <c r="B47" s="3"/>
      <c r="C47" s="3"/>
      <c r="D47" s="3"/>
      <c r="E47" s="3"/>
      <c r="F47" s="3"/>
      <c r="G47" s="3"/>
      <c r="H47" s="3"/>
    </row>
    <row r="48" spans="1:9" x14ac:dyDescent="0.25">
      <c r="A48" s="3" t="s">
        <v>48</v>
      </c>
      <c r="B48" s="3"/>
      <c r="C48" s="8">
        <v>400380</v>
      </c>
      <c r="D48" s="8">
        <v>90</v>
      </c>
      <c r="E48" s="8">
        <v>498176</v>
      </c>
      <c r="F48" s="8">
        <v>100</v>
      </c>
      <c r="G48" s="8">
        <f>SUM(C48:F48)</f>
        <v>898746</v>
      </c>
      <c r="H48" s="20">
        <f>ROUND(G48/4439,2)</f>
        <v>202.47</v>
      </c>
    </row>
    <row r="49" spans="1:8" x14ac:dyDescent="0.25">
      <c r="A49" s="3" t="s">
        <v>49</v>
      </c>
      <c r="B49" s="3"/>
      <c r="C49" s="8">
        <v>193220</v>
      </c>
      <c r="D49" s="8">
        <v>0</v>
      </c>
      <c r="E49" s="8">
        <v>51480</v>
      </c>
      <c r="F49" s="8">
        <v>27590</v>
      </c>
      <c r="G49" s="8">
        <f>SUM(C49:F49)</f>
        <v>272290</v>
      </c>
      <c r="H49" s="20">
        <f>ROUND(G49/4439,2)</f>
        <v>61.34</v>
      </c>
    </row>
    <row r="50" spans="1:8" x14ac:dyDescent="0.25">
      <c r="A50" s="3" t="s">
        <v>50</v>
      </c>
      <c r="B50" s="3"/>
      <c r="C50" s="8">
        <v>0</v>
      </c>
      <c r="D50" s="8">
        <v>0</v>
      </c>
      <c r="E50" s="8">
        <v>0</v>
      </c>
      <c r="F50" s="8">
        <v>0</v>
      </c>
      <c r="G50" s="8">
        <f>SUM(C50:F50)</f>
        <v>0</v>
      </c>
      <c r="H50" s="20">
        <f>ROUND(G50/4439,2)</f>
        <v>0</v>
      </c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 t="s">
        <v>2</v>
      </c>
      <c r="D52" s="3">
        <v>2022</v>
      </c>
      <c r="E52" s="3" t="s">
        <v>51</v>
      </c>
      <c r="F52" s="3"/>
      <c r="G52" s="3"/>
      <c r="H52" s="3"/>
    </row>
    <row r="53" spans="1:8" x14ac:dyDescent="0.25">
      <c r="A53" s="3" t="s">
        <v>52</v>
      </c>
      <c r="B53" s="3"/>
      <c r="C53" s="12">
        <v>0.82499999999999996</v>
      </c>
      <c r="D53" s="12">
        <v>0.81850000000000001</v>
      </c>
      <c r="E53" s="12">
        <v>0.77659999999999996</v>
      </c>
      <c r="F53" s="3"/>
      <c r="G53" s="3"/>
      <c r="H53" s="3"/>
    </row>
    <row r="54" spans="1:8" x14ac:dyDescent="0.25">
      <c r="A54" s="3" t="s">
        <v>53</v>
      </c>
      <c r="B54" s="3"/>
      <c r="C54" s="12">
        <v>0.81840000000000002</v>
      </c>
      <c r="D54" s="12">
        <v>0.81110000000000004</v>
      </c>
      <c r="E54" s="12">
        <v>0.75900000000000001</v>
      </c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 t="s">
        <v>256</v>
      </c>
      <c r="B56" s="3"/>
      <c r="C56" s="3" t="s">
        <v>2</v>
      </c>
      <c r="D56" s="3" t="s">
        <v>212</v>
      </c>
      <c r="E56" s="3" t="s">
        <v>55</v>
      </c>
      <c r="F56" s="3" t="s">
        <v>254</v>
      </c>
      <c r="G56" s="3"/>
      <c r="H56" s="3"/>
    </row>
    <row r="57" spans="1:8" x14ac:dyDescent="0.25">
      <c r="A57" s="3" t="s">
        <v>56</v>
      </c>
      <c r="B57" s="3"/>
      <c r="C57" s="3"/>
      <c r="D57" s="3">
        <v>86.05</v>
      </c>
      <c r="E57" s="3">
        <v>81.5</v>
      </c>
      <c r="F57" s="3">
        <v>50.61</v>
      </c>
      <c r="G57" s="3"/>
      <c r="H57" s="3"/>
    </row>
    <row r="58" spans="1:8" x14ac:dyDescent="0.25">
      <c r="A58" s="3" t="s">
        <v>57</v>
      </c>
      <c r="B58" s="3"/>
      <c r="C58" s="3"/>
      <c r="D58" s="3">
        <v>62.8</v>
      </c>
      <c r="E58" s="3">
        <v>58.24</v>
      </c>
      <c r="F58" s="3">
        <v>57.37</v>
      </c>
      <c r="G58" s="3"/>
      <c r="H58" s="3"/>
    </row>
    <row r="59" spans="1:8" x14ac:dyDescent="0.25">
      <c r="A59" s="3" t="s">
        <v>58</v>
      </c>
      <c r="B59" s="3"/>
      <c r="C59" s="3"/>
      <c r="D59" s="3">
        <v>395.4</v>
      </c>
      <c r="E59" s="3">
        <v>261.52999999999997</v>
      </c>
      <c r="F59" s="3">
        <v>249.57</v>
      </c>
      <c r="G59" s="3"/>
      <c r="H59" s="3"/>
    </row>
    <row r="60" spans="1:8" x14ac:dyDescent="0.25">
      <c r="A60" s="3" t="s">
        <v>59</v>
      </c>
      <c r="B60" s="3"/>
      <c r="C60" s="3"/>
      <c r="D60" s="3">
        <v>124.52</v>
      </c>
      <c r="E60" s="3">
        <v>103.11</v>
      </c>
      <c r="F60" s="3">
        <v>71.400000000000006</v>
      </c>
      <c r="G60" s="3"/>
      <c r="H6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I57"/>
  <sheetViews>
    <sheetView topLeftCell="A33" workbookViewId="0">
      <selection activeCell="G54" sqref="G54:G57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7109375" bestFit="1" customWidth="1"/>
    <col min="4" max="4" width="35.7109375" bestFit="1" customWidth="1"/>
    <col min="5" max="5" width="13.85546875" bestFit="1" customWidth="1"/>
    <col min="6" max="6" width="9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213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7914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125</v>
      </c>
      <c r="G9" s="10">
        <f t="shared" ref="G9:G41" si="0">SUM(C9:F9)</f>
        <v>125</v>
      </c>
      <c r="H9" s="19">
        <f t="shared" ref="H9:H41" si="1">ROUND(G9/7914,2)</f>
        <v>0.02</v>
      </c>
      <c r="I9" s="4">
        <f t="shared" ref="I9:I40" si="2">ROUND(G9/$G$42,3)</f>
        <v>0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 s="19">
        <f t="shared" si="1"/>
        <v>0</v>
      </c>
      <c r="I10" s="4">
        <f t="shared" si="2"/>
        <v>0</v>
      </c>
    </row>
    <row r="11" spans="1:9" x14ac:dyDescent="0.25">
      <c r="A11" t="s">
        <v>15</v>
      </c>
      <c r="B11" t="s">
        <v>63</v>
      </c>
      <c r="C11" s="10"/>
      <c r="D11" s="10"/>
      <c r="E11" s="10"/>
      <c r="F11" s="10"/>
      <c r="G11" s="10">
        <f t="shared" si="0"/>
        <v>0</v>
      </c>
      <c r="H11" s="19">
        <f t="shared" si="1"/>
        <v>0</v>
      </c>
      <c r="I11" s="4">
        <f t="shared" si="2"/>
        <v>0</v>
      </c>
    </row>
    <row r="12" spans="1:9" x14ac:dyDescent="0.25">
      <c r="A12" t="s">
        <v>15</v>
      </c>
      <c r="B12" t="s">
        <v>17</v>
      </c>
      <c r="C12" s="10"/>
      <c r="D12" s="10"/>
      <c r="E12" s="10"/>
      <c r="F12" s="10"/>
      <c r="G12" s="10">
        <f t="shared" si="0"/>
        <v>0</v>
      </c>
      <c r="H12" s="19">
        <f t="shared" si="1"/>
        <v>0</v>
      </c>
      <c r="I12" s="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158</v>
      </c>
      <c r="F13" s="10"/>
      <c r="G13" s="10">
        <f t="shared" si="0"/>
        <v>158</v>
      </c>
      <c r="H13" s="19">
        <f t="shared" si="1"/>
        <v>0.02</v>
      </c>
      <c r="I13" s="4">
        <f t="shared" si="2"/>
        <v>0</v>
      </c>
    </row>
    <row r="14" spans="1:9" x14ac:dyDescent="0.25">
      <c r="A14" t="s">
        <v>19</v>
      </c>
      <c r="B14" t="s">
        <v>20</v>
      </c>
      <c r="C14" s="10">
        <v>133750</v>
      </c>
      <c r="D14" s="10"/>
      <c r="E14" s="10">
        <v>2880</v>
      </c>
      <c r="F14" s="10"/>
      <c r="G14" s="10">
        <f t="shared" si="0"/>
        <v>136630</v>
      </c>
      <c r="H14" s="19">
        <f t="shared" si="1"/>
        <v>17.260000000000002</v>
      </c>
      <c r="I14" s="4">
        <f t="shared" si="2"/>
        <v>7.0999999999999994E-2</v>
      </c>
    </row>
    <row r="15" spans="1:9" x14ac:dyDescent="0.25">
      <c r="A15" t="s">
        <v>19</v>
      </c>
      <c r="B15" t="s">
        <v>21</v>
      </c>
      <c r="C15" s="10">
        <v>196400</v>
      </c>
      <c r="D15" s="10"/>
      <c r="E15" s="10"/>
      <c r="F15" s="10"/>
      <c r="G15" s="10">
        <f t="shared" si="0"/>
        <v>196400</v>
      </c>
      <c r="H15" s="19">
        <f t="shared" si="1"/>
        <v>24.82</v>
      </c>
      <c r="I15" s="4">
        <f t="shared" si="2"/>
        <v>0.10199999999999999</v>
      </c>
    </row>
    <row r="16" spans="1:9" x14ac:dyDescent="0.25">
      <c r="A16" t="s">
        <v>19</v>
      </c>
      <c r="B16" t="s">
        <v>76</v>
      </c>
      <c r="C16" s="10"/>
      <c r="D16" s="10"/>
      <c r="E16" s="10">
        <v>181</v>
      </c>
      <c r="F16" s="10"/>
      <c r="G16" s="10">
        <f t="shared" si="0"/>
        <v>181</v>
      </c>
      <c r="H16" s="19">
        <f t="shared" si="1"/>
        <v>0.02</v>
      </c>
      <c r="I16" s="4">
        <f t="shared" si="2"/>
        <v>0</v>
      </c>
    </row>
    <row r="17" spans="1:9" x14ac:dyDescent="0.25">
      <c r="A17" t="s">
        <v>19</v>
      </c>
      <c r="B17" t="s">
        <v>41</v>
      </c>
      <c r="C17" s="10"/>
      <c r="D17" s="10"/>
      <c r="E17" s="10">
        <v>128</v>
      </c>
      <c r="F17" s="10"/>
      <c r="G17" s="10">
        <f t="shared" si="0"/>
        <v>128</v>
      </c>
      <c r="H17" s="19">
        <f t="shared" si="1"/>
        <v>0.02</v>
      </c>
      <c r="I17" s="4">
        <f t="shared" si="2"/>
        <v>0</v>
      </c>
    </row>
    <row r="18" spans="1:9" x14ac:dyDescent="0.25">
      <c r="A18" t="s">
        <v>19</v>
      </c>
      <c r="B18" t="s">
        <v>23</v>
      </c>
      <c r="C18" s="10"/>
      <c r="D18" s="10"/>
      <c r="E18" s="10">
        <v>125300</v>
      </c>
      <c r="F18" s="10"/>
      <c r="G18" s="10">
        <f t="shared" si="0"/>
        <v>125300</v>
      </c>
      <c r="H18" s="19">
        <f t="shared" si="1"/>
        <v>15.83</v>
      </c>
      <c r="I18" s="4">
        <f t="shared" si="2"/>
        <v>6.5000000000000002E-2</v>
      </c>
    </row>
    <row r="19" spans="1:9" x14ac:dyDescent="0.25">
      <c r="A19" t="s">
        <v>19</v>
      </c>
      <c r="B19" t="s">
        <v>24</v>
      </c>
      <c r="C19" s="10">
        <v>208320</v>
      </c>
      <c r="D19" s="10"/>
      <c r="E19" s="10">
        <v>17040</v>
      </c>
      <c r="F19" s="10"/>
      <c r="G19" s="10">
        <f t="shared" si="0"/>
        <v>225360</v>
      </c>
      <c r="H19" s="19">
        <f t="shared" si="1"/>
        <v>28.48</v>
      </c>
      <c r="I19" s="4">
        <f t="shared" si="2"/>
        <v>0.11700000000000001</v>
      </c>
    </row>
    <row r="20" spans="1:9" x14ac:dyDescent="0.25">
      <c r="A20" t="s">
        <v>19</v>
      </c>
      <c r="B20" t="s">
        <v>66</v>
      </c>
      <c r="C20" s="10"/>
      <c r="D20" s="10"/>
      <c r="E20" s="10">
        <v>5085</v>
      </c>
      <c r="F20" s="10"/>
      <c r="G20" s="10">
        <f t="shared" si="0"/>
        <v>5085</v>
      </c>
      <c r="H20" s="19">
        <f t="shared" si="1"/>
        <v>0.64</v>
      </c>
      <c r="I20" s="4">
        <f t="shared" si="2"/>
        <v>3.0000000000000001E-3</v>
      </c>
    </row>
    <row r="21" spans="1:9" x14ac:dyDescent="0.25">
      <c r="A21" t="s">
        <v>19</v>
      </c>
      <c r="B21" t="s">
        <v>25</v>
      </c>
      <c r="C21" s="10">
        <v>335640</v>
      </c>
      <c r="D21" s="10"/>
      <c r="E21" s="10"/>
      <c r="F21" s="10">
        <v>600</v>
      </c>
      <c r="G21" s="10">
        <f t="shared" si="0"/>
        <v>336240</v>
      </c>
      <c r="H21" s="19">
        <f t="shared" si="1"/>
        <v>42.49</v>
      </c>
      <c r="I21" s="4">
        <f t="shared" si="2"/>
        <v>0.17399999999999999</v>
      </c>
    </row>
    <row r="22" spans="1:9" x14ac:dyDescent="0.25">
      <c r="A22" t="s">
        <v>19</v>
      </c>
      <c r="B22" t="s">
        <v>26</v>
      </c>
      <c r="C22" s="10"/>
      <c r="D22" s="10"/>
      <c r="E22" s="10">
        <v>1451</v>
      </c>
      <c r="F22" s="10"/>
      <c r="G22" s="10">
        <f t="shared" si="0"/>
        <v>1451</v>
      </c>
      <c r="H22" s="19">
        <f t="shared" si="1"/>
        <v>0.18</v>
      </c>
      <c r="I22" s="4">
        <f t="shared" si="2"/>
        <v>1E-3</v>
      </c>
    </row>
    <row r="23" spans="1:9" x14ac:dyDescent="0.25">
      <c r="A23" t="s">
        <v>19</v>
      </c>
      <c r="B23" t="s">
        <v>27</v>
      </c>
      <c r="C23" s="10"/>
      <c r="D23" s="10"/>
      <c r="E23" s="10">
        <v>361</v>
      </c>
      <c r="F23" s="10"/>
      <c r="G23" s="10">
        <f t="shared" si="0"/>
        <v>361</v>
      </c>
      <c r="H23" s="19">
        <f t="shared" si="1"/>
        <v>0.05</v>
      </c>
      <c r="I23" s="4">
        <f t="shared" si="2"/>
        <v>0</v>
      </c>
    </row>
    <row r="24" spans="1:9" x14ac:dyDescent="0.25">
      <c r="A24" t="s">
        <v>19</v>
      </c>
      <c r="B24" t="s">
        <v>28</v>
      </c>
      <c r="C24" s="10"/>
      <c r="D24" s="10"/>
      <c r="E24" s="10">
        <v>254</v>
      </c>
      <c r="F24" s="10"/>
      <c r="G24" s="10">
        <f t="shared" si="0"/>
        <v>254</v>
      </c>
      <c r="H24" s="19">
        <f t="shared" si="1"/>
        <v>0.03</v>
      </c>
      <c r="I24" s="4">
        <f t="shared" si="2"/>
        <v>0</v>
      </c>
    </row>
    <row r="25" spans="1:9" x14ac:dyDescent="0.25">
      <c r="A25" t="s">
        <v>19</v>
      </c>
      <c r="B25" t="s">
        <v>29</v>
      </c>
      <c r="C25" s="10"/>
      <c r="D25" s="10"/>
      <c r="E25" s="10">
        <v>4703</v>
      </c>
      <c r="F25" s="10"/>
      <c r="G25" s="10">
        <f t="shared" si="0"/>
        <v>4703</v>
      </c>
      <c r="H25" s="19">
        <f t="shared" si="1"/>
        <v>0.59</v>
      </c>
      <c r="I25" s="4">
        <f t="shared" si="2"/>
        <v>2E-3</v>
      </c>
    </row>
    <row r="26" spans="1:9" x14ac:dyDescent="0.25">
      <c r="A26" t="s">
        <v>19</v>
      </c>
      <c r="B26" t="s">
        <v>30</v>
      </c>
      <c r="C26" s="10"/>
      <c r="D26" s="10"/>
      <c r="E26" s="10">
        <v>1250</v>
      </c>
      <c r="F26" s="10"/>
      <c r="G26" s="10">
        <f t="shared" si="0"/>
        <v>1250</v>
      </c>
      <c r="H26" s="19">
        <f t="shared" si="1"/>
        <v>0.16</v>
      </c>
      <c r="I26" s="4">
        <f t="shared" si="2"/>
        <v>1E-3</v>
      </c>
    </row>
    <row r="27" spans="1:9" x14ac:dyDescent="0.25">
      <c r="A27" t="s">
        <v>19</v>
      </c>
      <c r="B27" t="s">
        <v>31</v>
      </c>
      <c r="C27" s="10"/>
      <c r="D27" s="10"/>
      <c r="E27" s="10">
        <v>630</v>
      </c>
      <c r="F27" s="10"/>
      <c r="G27" s="10">
        <f t="shared" si="0"/>
        <v>630</v>
      </c>
      <c r="H27" s="19">
        <f t="shared" si="1"/>
        <v>0.08</v>
      </c>
      <c r="I27" s="4">
        <f t="shared" si="2"/>
        <v>0</v>
      </c>
    </row>
    <row r="28" spans="1:9" x14ac:dyDescent="0.25">
      <c r="A28" t="s">
        <v>19</v>
      </c>
      <c r="B28" t="s">
        <v>32</v>
      </c>
      <c r="C28" s="10"/>
      <c r="D28" s="10"/>
      <c r="E28" s="10">
        <v>2410</v>
      </c>
      <c r="F28" s="10"/>
      <c r="G28" s="10">
        <f t="shared" si="0"/>
        <v>2410</v>
      </c>
      <c r="H28" s="19">
        <f t="shared" si="1"/>
        <v>0.3</v>
      </c>
      <c r="I28" s="4">
        <f t="shared" si="2"/>
        <v>1E-3</v>
      </c>
    </row>
    <row r="29" spans="1:9" x14ac:dyDescent="0.25">
      <c r="A29" t="s">
        <v>19</v>
      </c>
      <c r="B29" t="s">
        <v>42</v>
      </c>
      <c r="C29" s="10"/>
      <c r="D29" s="10">
        <v>507</v>
      </c>
      <c r="E29" s="10"/>
      <c r="F29" s="10"/>
      <c r="G29" s="10">
        <f t="shared" si="0"/>
        <v>507</v>
      </c>
      <c r="H29" s="19">
        <f t="shared" si="1"/>
        <v>0.06</v>
      </c>
      <c r="I29" s="4">
        <f t="shared" si="2"/>
        <v>0</v>
      </c>
    </row>
    <row r="30" spans="1:9" x14ac:dyDescent="0.25">
      <c r="A30" t="s">
        <v>19</v>
      </c>
      <c r="B30" t="s">
        <v>33</v>
      </c>
      <c r="C30" s="10"/>
      <c r="D30" s="10">
        <v>760</v>
      </c>
      <c r="E30" s="10">
        <v>370</v>
      </c>
      <c r="F30" s="10"/>
      <c r="G30" s="10">
        <f t="shared" si="0"/>
        <v>1130</v>
      </c>
      <c r="H30" s="19">
        <f t="shared" si="1"/>
        <v>0.14000000000000001</v>
      </c>
      <c r="I30" s="4">
        <f t="shared" si="2"/>
        <v>1E-3</v>
      </c>
    </row>
    <row r="31" spans="1:9" x14ac:dyDescent="0.25">
      <c r="A31" t="s">
        <v>19</v>
      </c>
      <c r="B31" t="s">
        <v>34</v>
      </c>
      <c r="C31" s="10"/>
      <c r="D31" s="10"/>
      <c r="E31" s="10">
        <v>4702</v>
      </c>
      <c r="F31" s="10"/>
      <c r="G31" s="10">
        <f t="shared" si="0"/>
        <v>4702</v>
      </c>
      <c r="H31" s="19">
        <f t="shared" si="1"/>
        <v>0.59</v>
      </c>
      <c r="I31" s="4">
        <f t="shared" si="2"/>
        <v>2E-3</v>
      </c>
    </row>
    <row r="32" spans="1:9" x14ac:dyDescent="0.25">
      <c r="A32" t="s">
        <v>19</v>
      </c>
      <c r="B32" t="s">
        <v>35</v>
      </c>
      <c r="C32" s="10"/>
      <c r="D32" s="10"/>
      <c r="E32" s="10">
        <v>13887</v>
      </c>
      <c r="F32" s="10"/>
      <c r="G32" s="10">
        <f t="shared" si="0"/>
        <v>13887</v>
      </c>
      <c r="H32" s="19">
        <f t="shared" si="1"/>
        <v>1.75</v>
      </c>
      <c r="I32" s="4">
        <f t="shared" si="2"/>
        <v>7.0000000000000001E-3</v>
      </c>
    </row>
    <row r="33" spans="1:9" x14ac:dyDescent="0.25">
      <c r="A33" t="s">
        <v>19</v>
      </c>
      <c r="B33" t="s">
        <v>40</v>
      </c>
      <c r="C33" s="10"/>
      <c r="D33" s="10"/>
      <c r="E33" s="10">
        <v>4522</v>
      </c>
      <c r="F33" s="10"/>
      <c r="G33" s="10">
        <f t="shared" si="0"/>
        <v>4522</v>
      </c>
      <c r="H33" s="19">
        <f t="shared" si="1"/>
        <v>0.56999999999999995</v>
      </c>
      <c r="I33" s="4">
        <f t="shared" si="2"/>
        <v>2E-3</v>
      </c>
    </row>
    <row r="34" spans="1:9" x14ac:dyDescent="0.25">
      <c r="A34" t="s">
        <v>19</v>
      </c>
      <c r="B34" t="s">
        <v>36</v>
      </c>
      <c r="C34" s="10"/>
      <c r="D34" s="10"/>
      <c r="E34" s="10">
        <v>89135</v>
      </c>
      <c r="F34" s="10"/>
      <c r="G34" s="10">
        <f t="shared" si="0"/>
        <v>89135</v>
      </c>
      <c r="H34" s="19">
        <f t="shared" si="1"/>
        <v>11.26</v>
      </c>
      <c r="I34" s="4">
        <f t="shared" si="2"/>
        <v>4.5999999999999999E-2</v>
      </c>
    </row>
    <row r="35" spans="1:9" x14ac:dyDescent="0.25">
      <c r="A35" t="s">
        <v>19</v>
      </c>
      <c r="B35" t="s">
        <v>38</v>
      </c>
      <c r="C35" s="10"/>
      <c r="D35" s="10"/>
      <c r="E35" s="10">
        <v>28330</v>
      </c>
      <c r="F35" s="10"/>
      <c r="G35" s="10">
        <f t="shared" si="0"/>
        <v>28330</v>
      </c>
      <c r="H35" s="19">
        <f t="shared" si="1"/>
        <v>3.58</v>
      </c>
      <c r="I35" s="4">
        <f t="shared" si="2"/>
        <v>1.4999999999999999E-2</v>
      </c>
    </row>
    <row r="36" spans="1:9" x14ac:dyDescent="0.25">
      <c r="A36" t="s">
        <v>19</v>
      </c>
      <c r="B36" t="s">
        <v>39</v>
      </c>
      <c r="C36" s="10"/>
      <c r="D36" s="10"/>
      <c r="E36" s="10">
        <v>199380</v>
      </c>
      <c r="F36" s="10"/>
      <c r="G36" s="10">
        <f t="shared" si="0"/>
        <v>199380</v>
      </c>
      <c r="H36" s="19">
        <f t="shared" si="1"/>
        <v>25.19</v>
      </c>
      <c r="I36" s="4">
        <f t="shared" si="2"/>
        <v>0.10299999999999999</v>
      </c>
    </row>
    <row r="37" spans="1:9" x14ac:dyDescent="0.25">
      <c r="A37" t="s">
        <v>19</v>
      </c>
      <c r="B37" t="s">
        <v>22</v>
      </c>
      <c r="C37" s="10"/>
      <c r="D37" s="10"/>
      <c r="E37" s="10"/>
      <c r="F37" s="10"/>
      <c r="G37" s="10">
        <f t="shared" si="0"/>
        <v>0</v>
      </c>
      <c r="H37" s="19">
        <f t="shared" si="1"/>
        <v>0</v>
      </c>
      <c r="I37" s="4">
        <f t="shared" si="2"/>
        <v>0</v>
      </c>
    </row>
    <row r="38" spans="1:9" x14ac:dyDescent="0.25">
      <c r="A38" t="s">
        <v>19</v>
      </c>
      <c r="B38" t="s">
        <v>67</v>
      </c>
      <c r="C38" s="10"/>
      <c r="D38" s="10"/>
      <c r="E38" s="10"/>
      <c r="F38" s="10"/>
      <c r="G38" s="10">
        <f t="shared" si="0"/>
        <v>0</v>
      </c>
      <c r="H38" s="19">
        <f t="shared" si="1"/>
        <v>0</v>
      </c>
      <c r="I38" s="4">
        <f t="shared" si="2"/>
        <v>0</v>
      </c>
    </row>
    <row r="39" spans="1:9" x14ac:dyDescent="0.25">
      <c r="A39" t="s">
        <v>43</v>
      </c>
      <c r="B39" t="s">
        <v>44</v>
      </c>
      <c r="C39" s="10">
        <v>429930</v>
      </c>
      <c r="D39" s="10"/>
      <c r="E39" s="10"/>
      <c r="F39" s="10"/>
      <c r="G39" s="10">
        <f t="shared" si="0"/>
        <v>429930</v>
      </c>
      <c r="H39" s="19">
        <f t="shared" si="1"/>
        <v>54.33</v>
      </c>
      <c r="I39" s="4">
        <f t="shared" si="2"/>
        <v>0.223</v>
      </c>
    </row>
    <row r="40" spans="1:9" x14ac:dyDescent="0.25">
      <c r="A40" t="s">
        <v>43</v>
      </c>
      <c r="B40" t="s">
        <v>46</v>
      </c>
      <c r="C40" s="10"/>
      <c r="D40" s="10"/>
      <c r="E40" s="10"/>
      <c r="F40" s="10">
        <v>42420</v>
      </c>
      <c r="G40" s="10">
        <f t="shared" si="0"/>
        <v>42420</v>
      </c>
      <c r="H40" s="19">
        <f t="shared" si="1"/>
        <v>5.36</v>
      </c>
      <c r="I40" s="4">
        <f t="shared" si="2"/>
        <v>2.1999999999999999E-2</v>
      </c>
    </row>
    <row r="41" spans="1:9" x14ac:dyDescent="0.25">
      <c r="A41" t="s">
        <v>43</v>
      </c>
      <c r="B41" t="s">
        <v>45</v>
      </c>
      <c r="C41" s="10"/>
      <c r="D41" s="10"/>
      <c r="E41" s="10">
        <v>80600</v>
      </c>
      <c r="F41" s="10"/>
      <c r="G41" s="10">
        <f t="shared" si="0"/>
        <v>80600</v>
      </c>
      <c r="H41" s="19">
        <f t="shared" si="1"/>
        <v>10.18</v>
      </c>
      <c r="I41" s="4">
        <f t="shared" ref="I41" si="3">ROUND(G41/$G$42,3)</f>
        <v>4.2000000000000003E-2</v>
      </c>
    </row>
    <row r="42" spans="1:9" x14ac:dyDescent="0.25">
      <c r="A42" s="3" t="s">
        <v>253</v>
      </c>
      <c r="B42" s="3"/>
      <c r="C42" s="8">
        <f t="shared" ref="C42:H42" si="4">SUM(C8:C41)</f>
        <v>1304040</v>
      </c>
      <c r="D42" s="8">
        <f t="shared" si="4"/>
        <v>1267</v>
      </c>
      <c r="E42" s="8">
        <f t="shared" si="4"/>
        <v>582757</v>
      </c>
      <c r="F42" s="8">
        <f t="shared" si="4"/>
        <v>43145</v>
      </c>
      <c r="G42" s="8">
        <f t="shared" si="4"/>
        <v>1931209</v>
      </c>
      <c r="H42" s="20">
        <f t="shared" si="4"/>
        <v>244.00000000000006</v>
      </c>
      <c r="I42" s="4"/>
    </row>
    <row r="43" spans="1:9" x14ac:dyDescent="0.25">
      <c r="A43" s="3" t="s">
        <v>14</v>
      </c>
      <c r="B43" s="3"/>
      <c r="C43" s="12">
        <f>ROUND(C42/G42,2)</f>
        <v>0.68</v>
      </c>
      <c r="D43" s="12">
        <f>ROUND(D42/G42,2)</f>
        <v>0</v>
      </c>
      <c r="E43" s="12">
        <f>ROUND(E42/G42,2)</f>
        <v>0.3</v>
      </c>
      <c r="F43" s="12">
        <f>ROUND(F42/G42,2)</f>
        <v>0.02</v>
      </c>
      <c r="G43" s="7"/>
      <c r="H43" s="7"/>
      <c r="I43" s="6"/>
    </row>
    <row r="44" spans="1:9" x14ac:dyDescent="0.25">
      <c r="A44" s="3" t="s">
        <v>47</v>
      </c>
      <c r="B44" s="3"/>
      <c r="C44" s="3"/>
      <c r="D44" s="3"/>
      <c r="E44" s="3"/>
      <c r="F44" s="3"/>
      <c r="G44" s="3"/>
      <c r="H44" s="3"/>
    </row>
    <row r="45" spans="1:9" x14ac:dyDescent="0.25">
      <c r="A45" s="3" t="s">
        <v>48</v>
      </c>
      <c r="B45" s="3"/>
      <c r="C45" s="8">
        <v>874110</v>
      </c>
      <c r="D45" s="8">
        <v>1267</v>
      </c>
      <c r="E45" s="8">
        <v>502157</v>
      </c>
      <c r="F45" s="8">
        <v>600</v>
      </c>
      <c r="G45" s="8">
        <f>SUM(C45:F45)</f>
        <v>1378134</v>
      </c>
      <c r="H45" s="20">
        <f>ROUND(G45/7914,2)</f>
        <v>174.14</v>
      </c>
    </row>
    <row r="46" spans="1:9" x14ac:dyDescent="0.25">
      <c r="A46" s="3" t="s">
        <v>49</v>
      </c>
      <c r="B46" s="3"/>
      <c r="C46" s="8">
        <v>429930</v>
      </c>
      <c r="D46" s="8">
        <v>0</v>
      </c>
      <c r="E46" s="8">
        <v>80600</v>
      </c>
      <c r="F46" s="8">
        <v>42420</v>
      </c>
      <c r="G46" s="8">
        <f>SUM(C46:F46)</f>
        <v>552950</v>
      </c>
      <c r="H46" s="20">
        <f>ROUND(G46/7914,2)</f>
        <v>69.87</v>
      </c>
    </row>
    <row r="47" spans="1:9" x14ac:dyDescent="0.25">
      <c r="A47" s="3" t="s">
        <v>50</v>
      </c>
      <c r="B47" s="3"/>
      <c r="C47" s="8">
        <v>0</v>
      </c>
      <c r="D47" s="8">
        <v>0</v>
      </c>
      <c r="E47" s="8">
        <v>0</v>
      </c>
      <c r="F47" s="8">
        <v>125</v>
      </c>
      <c r="G47" s="8">
        <f>SUM(C47:F47)</f>
        <v>125</v>
      </c>
      <c r="H47" s="20">
        <f>ROUND(G47/7914,2)</f>
        <v>0.02</v>
      </c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 t="s">
        <v>2</v>
      </c>
      <c r="D49" s="3">
        <v>2022</v>
      </c>
      <c r="E49" s="3" t="s">
        <v>51</v>
      </c>
      <c r="F49" s="3"/>
      <c r="G49" s="3"/>
      <c r="H49" s="3"/>
    </row>
    <row r="50" spans="1:8" x14ac:dyDescent="0.25">
      <c r="A50" s="3" t="s">
        <v>52</v>
      </c>
      <c r="B50" s="3"/>
      <c r="C50" s="12">
        <v>0.76190000000000002</v>
      </c>
      <c r="D50" s="12">
        <v>0.75490000000000002</v>
      </c>
      <c r="E50" s="12">
        <v>0.77659999999999996</v>
      </c>
      <c r="F50" s="3"/>
      <c r="G50" s="3"/>
      <c r="H50" s="3"/>
    </row>
    <row r="51" spans="1:8" x14ac:dyDescent="0.25">
      <c r="A51" s="3" t="s">
        <v>53</v>
      </c>
      <c r="B51" s="3"/>
      <c r="C51" s="12">
        <v>0.75380000000000003</v>
      </c>
      <c r="D51" s="12">
        <v>0.74490000000000001</v>
      </c>
      <c r="E51" s="12">
        <v>0.75900000000000001</v>
      </c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 t="s">
        <v>256</v>
      </c>
      <c r="B53" s="3"/>
      <c r="C53" s="3" t="s">
        <v>2</v>
      </c>
      <c r="D53" s="3" t="s">
        <v>214</v>
      </c>
      <c r="E53" s="3" t="s">
        <v>55</v>
      </c>
      <c r="F53" s="3" t="s">
        <v>254</v>
      </c>
      <c r="G53" s="3"/>
      <c r="H53" s="3"/>
    </row>
    <row r="54" spans="1:8" x14ac:dyDescent="0.25">
      <c r="A54" s="3" t="s">
        <v>56</v>
      </c>
      <c r="B54" s="3"/>
      <c r="C54" s="3"/>
      <c r="D54" s="3">
        <v>94.24</v>
      </c>
      <c r="E54" s="3">
        <v>81.5</v>
      </c>
      <c r="F54" s="3">
        <v>50.61</v>
      </c>
      <c r="G54" s="3"/>
      <c r="H54" s="3"/>
    </row>
    <row r="55" spans="1:8" x14ac:dyDescent="0.25">
      <c r="A55" s="3" t="s">
        <v>57</v>
      </c>
      <c r="B55" s="3"/>
      <c r="C55" s="3"/>
      <c r="D55" s="3">
        <v>81.64</v>
      </c>
      <c r="E55" s="3">
        <v>58.24</v>
      </c>
      <c r="F55" s="3">
        <v>57.37</v>
      </c>
      <c r="G55" s="3"/>
      <c r="H55" s="3"/>
    </row>
    <row r="56" spans="1:8" x14ac:dyDescent="0.25">
      <c r="A56" s="3" t="s">
        <v>58</v>
      </c>
      <c r="B56" s="3"/>
      <c r="C56" s="3"/>
      <c r="D56" s="3">
        <v>307.73</v>
      </c>
      <c r="E56" s="3">
        <v>261.52999999999997</v>
      </c>
      <c r="F56" s="3">
        <v>249.57</v>
      </c>
      <c r="G56" s="3"/>
      <c r="H56" s="3"/>
    </row>
    <row r="57" spans="1:8" x14ac:dyDescent="0.25">
      <c r="A57" s="3" t="s">
        <v>59</v>
      </c>
      <c r="B57" s="3"/>
      <c r="C57" s="3"/>
      <c r="D57" s="3">
        <v>121.26</v>
      </c>
      <c r="E57" s="3">
        <v>103.11</v>
      </c>
      <c r="F57" s="3">
        <v>71.400000000000006</v>
      </c>
      <c r="G57" s="3"/>
      <c r="H5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I60"/>
  <sheetViews>
    <sheetView topLeftCell="A33" workbookViewId="0">
      <selection activeCell="G57" sqref="G57:G60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7109375" bestFit="1" customWidth="1"/>
    <col min="4" max="4" width="38.42578125" bestFit="1" customWidth="1"/>
    <col min="5" max="5" width="13.85546875" bestFit="1" customWidth="1"/>
    <col min="6" max="6" width="9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215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5688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92</v>
      </c>
      <c r="F9" s="10"/>
      <c r="G9" s="10">
        <f t="shared" ref="G9:G44" si="0">SUM(C9:F9)</f>
        <v>92</v>
      </c>
      <c r="H9" s="19">
        <f t="shared" ref="H9:H44" si="1">ROUND(G9/5688,2)</f>
        <v>0.02</v>
      </c>
      <c r="I9" s="4">
        <f t="shared" ref="I9:I40" si="2">ROUND(G9/$G$45,3)</f>
        <v>0</v>
      </c>
    </row>
    <row r="10" spans="1:9" x14ac:dyDescent="0.25">
      <c r="A10" t="s">
        <v>19</v>
      </c>
      <c r="B10" t="s">
        <v>65</v>
      </c>
      <c r="C10" s="10">
        <v>20780</v>
      </c>
      <c r="D10" s="10"/>
      <c r="E10" s="10">
        <v>3010</v>
      </c>
      <c r="F10" s="10"/>
      <c r="G10" s="10">
        <f t="shared" si="0"/>
        <v>23790</v>
      </c>
      <c r="H10" s="19">
        <f t="shared" si="1"/>
        <v>4.18</v>
      </c>
      <c r="I10" s="4">
        <f t="shared" si="2"/>
        <v>2.3E-2</v>
      </c>
    </row>
    <row r="11" spans="1:9" x14ac:dyDescent="0.25">
      <c r="A11" t="s">
        <v>19</v>
      </c>
      <c r="B11" t="s">
        <v>20</v>
      </c>
      <c r="C11" s="10">
        <v>73360</v>
      </c>
      <c r="D11" s="10"/>
      <c r="E11" s="10"/>
      <c r="F11" s="10"/>
      <c r="G11" s="10">
        <f t="shared" si="0"/>
        <v>73360</v>
      </c>
      <c r="H11" s="19">
        <f t="shared" si="1"/>
        <v>12.9</v>
      </c>
      <c r="I11" s="4">
        <f t="shared" si="2"/>
        <v>7.0999999999999994E-2</v>
      </c>
    </row>
    <row r="12" spans="1:9" x14ac:dyDescent="0.25">
      <c r="A12" t="s">
        <v>19</v>
      </c>
      <c r="B12" t="s">
        <v>21</v>
      </c>
      <c r="C12" s="10">
        <v>86380</v>
      </c>
      <c r="D12" s="10"/>
      <c r="E12" s="10"/>
      <c r="F12" s="10"/>
      <c r="G12" s="10">
        <f t="shared" si="0"/>
        <v>86380</v>
      </c>
      <c r="H12" s="19">
        <f t="shared" si="1"/>
        <v>15.19</v>
      </c>
      <c r="I12" s="4">
        <f t="shared" si="2"/>
        <v>8.4000000000000005E-2</v>
      </c>
    </row>
    <row r="13" spans="1:9" x14ac:dyDescent="0.25">
      <c r="A13" t="s">
        <v>19</v>
      </c>
      <c r="B13" t="s">
        <v>76</v>
      </c>
      <c r="C13" s="10"/>
      <c r="D13" s="10"/>
      <c r="E13" s="10">
        <v>146</v>
      </c>
      <c r="F13" s="10"/>
      <c r="G13" s="10">
        <f t="shared" si="0"/>
        <v>146</v>
      </c>
      <c r="H13" s="19">
        <f t="shared" si="1"/>
        <v>0.03</v>
      </c>
      <c r="I13" s="4">
        <f t="shared" si="2"/>
        <v>0</v>
      </c>
    </row>
    <row r="14" spans="1:9" x14ac:dyDescent="0.25">
      <c r="A14" t="s">
        <v>19</v>
      </c>
      <c r="B14" t="s">
        <v>41</v>
      </c>
      <c r="C14" s="10"/>
      <c r="D14" s="10"/>
      <c r="E14" s="10">
        <v>249</v>
      </c>
      <c r="F14" s="10"/>
      <c r="G14" s="10">
        <f t="shared" si="0"/>
        <v>249</v>
      </c>
      <c r="H14" s="19">
        <f t="shared" si="1"/>
        <v>0.04</v>
      </c>
      <c r="I14" s="4">
        <f t="shared" si="2"/>
        <v>0</v>
      </c>
    </row>
    <row r="15" spans="1:9" x14ac:dyDescent="0.25">
      <c r="A15" t="s">
        <v>19</v>
      </c>
      <c r="B15" t="s">
        <v>22</v>
      </c>
      <c r="C15" s="10"/>
      <c r="D15" s="10"/>
      <c r="E15" s="10">
        <v>1190</v>
      </c>
      <c r="F15" s="10"/>
      <c r="G15" s="10">
        <f t="shared" si="0"/>
        <v>1190</v>
      </c>
      <c r="H15" s="19">
        <f t="shared" si="1"/>
        <v>0.21</v>
      </c>
      <c r="I15" s="4">
        <f t="shared" si="2"/>
        <v>1E-3</v>
      </c>
    </row>
    <row r="16" spans="1:9" x14ac:dyDescent="0.25">
      <c r="A16" t="s">
        <v>19</v>
      </c>
      <c r="B16" t="s">
        <v>23</v>
      </c>
      <c r="C16" s="10"/>
      <c r="D16" s="10"/>
      <c r="E16" s="10">
        <v>52580</v>
      </c>
      <c r="F16" s="10"/>
      <c r="G16" s="10">
        <f t="shared" si="0"/>
        <v>52580</v>
      </c>
      <c r="H16" s="19">
        <f t="shared" si="1"/>
        <v>9.24</v>
      </c>
      <c r="I16" s="4">
        <f t="shared" si="2"/>
        <v>5.0999999999999997E-2</v>
      </c>
    </row>
    <row r="17" spans="1:9" x14ac:dyDescent="0.25">
      <c r="A17" t="s">
        <v>19</v>
      </c>
      <c r="B17" t="s">
        <v>24</v>
      </c>
      <c r="C17" s="10">
        <v>113920</v>
      </c>
      <c r="D17" s="10"/>
      <c r="E17" s="10"/>
      <c r="F17" s="10"/>
      <c r="G17" s="10">
        <f t="shared" si="0"/>
        <v>113920</v>
      </c>
      <c r="H17" s="19">
        <f t="shared" si="1"/>
        <v>20.03</v>
      </c>
      <c r="I17" s="4">
        <f t="shared" si="2"/>
        <v>0.111</v>
      </c>
    </row>
    <row r="18" spans="1:9" x14ac:dyDescent="0.25">
      <c r="A18" t="s">
        <v>19</v>
      </c>
      <c r="B18" t="s">
        <v>66</v>
      </c>
      <c r="C18" s="10"/>
      <c r="D18" s="10"/>
      <c r="E18" s="10">
        <v>7175</v>
      </c>
      <c r="F18" s="10"/>
      <c r="G18" s="10">
        <f t="shared" si="0"/>
        <v>7175</v>
      </c>
      <c r="H18" s="19">
        <f t="shared" si="1"/>
        <v>1.26</v>
      </c>
      <c r="I18" s="4">
        <f t="shared" si="2"/>
        <v>7.0000000000000001E-3</v>
      </c>
    </row>
    <row r="19" spans="1:9" x14ac:dyDescent="0.25">
      <c r="A19" t="s">
        <v>19</v>
      </c>
      <c r="B19" t="s">
        <v>25</v>
      </c>
      <c r="C19" s="10">
        <v>117400</v>
      </c>
      <c r="D19" s="10"/>
      <c r="E19" s="10"/>
      <c r="F19" s="10">
        <v>3020</v>
      </c>
      <c r="G19" s="10">
        <f t="shared" si="0"/>
        <v>120420</v>
      </c>
      <c r="H19" s="19">
        <f t="shared" si="1"/>
        <v>21.17</v>
      </c>
      <c r="I19" s="4">
        <f t="shared" si="2"/>
        <v>0.11700000000000001</v>
      </c>
    </row>
    <row r="20" spans="1:9" x14ac:dyDescent="0.25">
      <c r="A20" t="s">
        <v>19</v>
      </c>
      <c r="B20" t="s">
        <v>26</v>
      </c>
      <c r="C20" s="10"/>
      <c r="D20" s="10"/>
      <c r="E20" s="10">
        <v>808</v>
      </c>
      <c r="F20" s="10"/>
      <c r="G20" s="10">
        <f t="shared" si="0"/>
        <v>808</v>
      </c>
      <c r="H20" s="19">
        <f t="shared" si="1"/>
        <v>0.14000000000000001</v>
      </c>
      <c r="I20" s="4">
        <f t="shared" si="2"/>
        <v>1E-3</v>
      </c>
    </row>
    <row r="21" spans="1:9" x14ac:dyDescent="0.25">
      <c r="A21" t="s">
        <v>19</v>
      </c>
      <c r="B21" t="s">
        <v>27</v>
      </c>
      <c r="C21" s="10"/>
      <c r="D21" s="10"/>
      <c r="E21" s="10">
        <v>677</v>
      </c>
      <c r="F21" s="10"/>
      <c r="G21" s="10">
        <f t="shared" si="0"/>
        <v>677</v>
      </c>
      <c r="H21" s="19">
        <f t="shared" si="1"/>
        <v>0.12</v>
      </c>
      <c r="I21" s="4">
        <f t="shared" si="2"/>
        <v>1E-3</v>
      </c>
    </row>
    <row r="22" spans="1:9" x14ac:dyDescent="0.25">
      <c r="A22" t="s">
        <v>19</v>
      </c>
      <c r="B22" t="s">
        <v>28</v>
      </c>
      <c r="C22" s="10"/>
      <c r="D22" s="10"/>
      <c r="E22" s="10">
        <v>271</v>
      </c>
      <c r="F22" s="10"/>
      <c r="G22" s="10">
        <f t="shared" si="0"/>
        <v>271</v>
      </c>
      <c r="H22" s="19">
        <f t="shared" si="1"/>
        <v>0.05</v>
      </c>
      <c r="I22" s="4">
        <f t="shared" si="2"/>
        <v>0</v>
      </c>
    </row>
    <row r="23" spans="1:9" x14ac:dyDescent="0.25">
      <c r="A23" t="s">
        <v>19</v>
      </c>
      <c r="B23" t="s">
        <v>29</v>
      </c>
      <c r="C23" s="10"/>
      <c r="D23" s="10"/>
      <c r="E23" s="10">
        <v>6800</v>
      </c>
      <c r="F23" s="10"/>
      <c r="G23" s="10">
        <f t="shared" si="0"/>
        <v>6800</v>
      </c>
      <c r="H23" s="19">
        <f t="shared" si="1"/>
        <v>1.2</v>
      </c>
      <c r="I23" s="4">
        <f t="shared" si="2"/>
        <v>7.0000000000000001E-3</v>
      </c>
    </row>
    <row r="24" spans="1:9" x14ac:dyDescent="0.25">
      <c r="A24" t="s">
        <v>19</v>
      </c>
      <c r="B24" t="s">
        <v>30</v>
      </c>
      <c r="C24" s="10"/>
      <c r="D24" s="10"/>
      <c r="E24" s="10">
        <v>2290</v>
      </c>
      <c r="F24" s="10"/>
      <c r="G24" s="10">
        <f t="shared" si="0"/>
        <v>2290</v>
      </c>
      <c r="H24" s="19">
        <f t="shared" si="1"/>
        <v>0.4</v>
      </c>
      <c r="I24" s="4">
        <f t="shared" si="2"/>
        <v>2E-3</v>
      </c>
    </row>
    <row r="25" spans="1:9" x14ac:dyDescent="0.25">
      <c r="A25" t="s">
        <v>19</v>
      </c>
      <c r="B25" t="s">
        <v>31</v>
      </c>
      <c r="C25" s="10"/>
      <c r="D25" s="10"/>
      <c r="E25" s="10">
        <v>1000</v>
      </c>
      <c r="F25" s="10"/>
      <c r="G25" s="10">
        <f t="shared" si="0"/>
        <v>1000</v>
      </c>
      <c r="H25" s="19">
        <f t="shared" si="1"/>
        <v>0.18</v>
      </c>
      <c r="I25" s="4">
        <f t="shared" si="2"/>
        <v>1E-3</v>
      </c>
    </row>
    <row r="26" spans="1:9" x14ac:dyDescent="0.25">
      <c r="A26" t="s">
        <v>19</v>
      </c>
      <c r="B26" t="s">
        <v>32</v>
      </c>
      <c r="C26" s="10"/>
      <c r="D26" s="10"/>
      <c r="E26" s="10">
        <v>1570</v>
      </c>
      <c r="F26" s="10"/>
      <c r="G26" s="10">
        <f t="shared" si="0"/>
        <v>1570</v>
      </c>
      <c r="H26" s="19">
        <f t="shared" si="1"/>
        <v>0.28000000000000003</v>
      </c>
      <c r="I26" s="4">
        <f t="shared" si="2"/>
        <v>2E-3</v>
      </c>
    </row>
    <row r="27" spans="1:9" x14ac:dyDescent="0.25">
      <c r="A27" t="s">
        <v>19</v>
      </c>
      <c r="B27" t="s">
        <v>42</v>
      </c>
      <c r="C27" s="10"/>
      <c r="D27" s="10">
        <v>112</v>
      </c>
      <c r="E27" s="10"/>
      <c r="F27" s="10"/>
      <c r="G27" s="10">
        <f t="shared" si="0"/>
        <v>112</v>
      </c>
      <c r="H27" s="19">
        <f t="shared" si="1"/>
        <v>0.02</v>
      </c>
      <c r="I27" s="4">
        <f t="shared" si="2"/>
        <v>0</v>
      </c>
    </row>
    <row r="28" spans="1:9" x14ac:dyDescent="0.25">
      <c r="A28" t="s">
        <v>19</v>
      </c>
      <c r="B28" t="s">
        <v>67</v>
      </c>
      <c r="C28" s="10"/>
      <c r="D28" s="10"/>
      <c r="E28" s="10">
        <v>1890</v>
      </c>
      <c r="F28" s="10"/>
      <c r="G28" s="10">
        <f t="shared" si="0"/>
        <v>1890</v>
      </c>
      <c r="H28" s="19">
        <f t="shared" si="1"/>
        <v>0.33</v>
      </c>
      <c r="I28" s="4">
        <f t="shared" si="2"/>
        <v>2E-3</v>
      </c>
    </row>
    <row r="29" spans="1:9" x14ac:dyDescent="0.25">
      <c r="A29" t="s">
        <v>19</v>
      </c>
      <c r="B29" t="s">
        <v>34</v>
      </c>
      <c r="C29" s="10"/>
      <c r="D29" s="10"/>
      <c r="E29" s="10">
        <v>2130</v>
      </c>
      <c r="F29" s="10"/>
      <c r="G29" s="10">
        <f t="shared" si="0"/>
        <v>2130</v>
      </c>
      <c r="H29" s="19">
        <f t="shared" si="1"/>
        <v>0.37</v>
      </c>
      <c r="I29" s="4">
        <f t="shared" si="2"/>
        <v>2E-3</v>
      </c>
    </row>
    <row r="30" spans="1:9" x14ac:dyDescent="0.25">
      <c r="A30" t="s">
        <v>19</v>
      </c>
      <c r="B30" t="s">
        <v>40</v>
      </c>
      <c r="C30" s="10"/>
      <c r="D30" s="10"/>
      <c r="E30" s="10">
        <v>8956</v>
      </c>
      <c r="F30" s="10"/>
      <c r="G30" s="10">
        <f t="shared" si="0"/>
        <v>8956</v>
      </c>
      <c r="H30" s="19">
        <f t="shared" si="1"/>
        <v>1.57</v>
      </c>
      <c r="I30" s="4">
        <f t="shared" si="2"/>
        <v>8.9999999999999993E-3</v>
      </c>
    </row>
    <row r="31" spans="1:9" x14ac:dyDescent="0.25">
      <c r="A31" t="s">
        <v>19</v>
      </c>
      <c r="B31" t="s">
        <v>35</v>
      </c>
      <c r="C31" s="10"/>
      <c r="D31" s="10"/>
      <c r="E31" s="10">
        <v>9590</v>
      </c>
      <c r="F31" s="10"/>
      <c r="G31" s="10">
        <f t="shared" si="0"/>
        <v>9590</v>
      </c>
      <c r="H31" s="19">
        <f t="shared" si="1"/>
        <v>1.69</v>
      </c>
      <c r="I31" s="4">
        <f t="shared" si="2"/>
        <v>8.9999999999999993E-3</v>
      </c>
    </row>
    <row r="32" spans="1:9" x14ac:dyDescent="0.25">
      <c r="A32" t="s">
        <v>19</v>
      </c>
      <c r="B32" t="s">
        <v>36</v>
      </c>
      <c r="C32" s="10"/>
      <c r="D32" s="10"/>
      <c r="E32" s="10">
        <v>82280</v>
      </c>
      <c r="F32" s="10"/>
      <c r="G32" s="10">
        <f t="shared" si="0"/>
        <v>82280</v>
      </c>
      <c r="H32" s="19">
        <f t="shared" si="1"/>
        <v>14.47</v>
      </c>
      <c r="I32" s="4">
        <f t="shared" si="2"/>
        <v>0.08</v>
      </c>
    </row>
    <row r="33" spans="1:9" x14ac:dyDescent="0.25">
      <c r="A33" t="s">
        <v>19</v>
      </c>
      <c r="B33" t="s">
        <v>37</v>
      </c>
      <c r="C33" s="10"/>
      <c r="D33" s="10"/>
      <c r="E33" s="10">
        <v>5630</v>
      </c>
      <c r="F33" s="10"/>
      <c r="G33" s="10">
        <f t="shared" si="0"/>
        <v>5630</v>
      </c>
      <c r="H33" s="19">
        <f t="shared" si="1"/>
        <v>0.99</v>
      </c>
      <c r="I33" s="4">
        <f t="shared" si="2"/>
        <v>5.0000000000000001E-3</v>
      </c>
    </row>
    <row r="34" spans="1:9" x14ac:dyDescent="0.25">
      <c r="A34" t="s">
        <v>19</v>
      </c>
      <c r="B34" t="s">
        <v>38</v>
      </c>
      <c r="C34" s="10"/>
      <c r="D34" s="10"/>
      <c r="E34" s="10">
        <v>34040</v>
      </c>
      <c r="F34" s="10"/>
      <c r="G34" s="10">
        <f t="shared" si="0"/>
        <v>34040</v>
      </c>
      <c r="H34" s="19">
        <f t="shared" si="1"/>
        <v>5.98</v>
      </c>
      <c r="I34" s="4">
        <f t="shared" si="2"/>
        <v>3.3000000000000002E-2</v>
      </c>
    </row>
    <row r="35" spans="1:9" x14ac:dyDescent="0.25">
      <c r="A35" t="s">
        <v>19</v>
      </c>
      <c r="B35" t="s">
        <v>39</v>
      </c>
      <c r="C35" s="10"/>
      <c r="D35" s="10"/>
      <c r="E35" s="10">
        <v>45960</v>
      </c>
      <c r="F35" s="10"/>
      <c r="G35" s="10">
        <f t="shared" si="0"/>
        <v>45960</v>
      </c>
      <c r="H35" s="19">
        <f t="shared" si="1"/>
        <v>8.08</v>
      </c>
      <c r="I35" s="4">
        <f t="shared" si="2"/>
        <v>4.4999999999999998E-2</v>
      </c>
    </row>
    <row r="36" spans="1:9" x14ac:dyDescent="0.25">
      <c r="A36" t="s">
        <v>19</v>
      </c>
      <c r="B36" t="s">
        <v>33</v>
      </c>
      <c r="C36" s="10"/>
      <c r="D36" s="10"/>
      <c r="E36" s="10"/>
      <c r="F36" s="10"/>
      <c r="G36" s="10">
        <f t="shared" si="0"/>
        <v>0</v>
      </c>
      <c r="H36" s="19">
        <f t="shared" si="1"/>
        <v>0</v>
      </c>
      <c r="I36" s="4">
        <f t="shared" si="2"/>
        <v>0</v>
      </c>
    </row>
    <row r="37" spans="1:9" x14ac:dyDescent="0.25">
      <c r="A37" t="s">
        <v>19</v>
      </c>
      <c r="B37" t="s">
        <v>72</v>
      </c>
      <c r="C37" s="10"/>
      <c r="D37" s="10"/>
      <c r="E37" s="10"/>
      <c r="F37" s="10"/>
      <c r="G37" s="10">
        <f t="shared" si="0"/>
        <v>0</v>
      </c>
      <c r="H37" s="19">
        <f t="shared" si="1"/>
        <v>0</v>
      </c>
      <c r="I37" s="4">
        <f t="shared" si="2"/>
        <v>0</v>
      </c>
    </row>
    <row r="38" spans="1:9" x14ac:dyDescent="0.25">
      <c r="A38" t="s">
        <v>43</v>
      </c>
      <c r="B38" t="s">
        <v>44</v>
      </c>
      <c r="C38" s="10">
        <v>265540</v>
      </c>
      <c r="D38" s="10">
        <v>7220</v>
      </c>
      <c r="E38" s="10"/>
      <c r="F38" s="10">
        <v>24600</v>
      </c>
      <c r="G38" s="10">
        <f t="shared" si="0"/>
        <v>297360</v>
      </c>
      <c r="H38" s="19">
        <f t="shared" si="1"/>
        <v>52.28</v>
      </c>
      <c r="I38" s="4">
        <f t="shared" si="2"/>
        <v>0.28899999999999998</v>
      </c>
    </row>
    <row r="39" spans="1:9" x14ac:dyDescent="0.25">
      <c r="A39" t="s">
        <v>43</v>
      </c>
      <c r="B39" t="s">
        <v>46</v>
      </c>
      <c r="C39" s="10"/>
      <c r="D39" s="10"/>
      <c r="E39" s="10"/>
      <c r="F39" s="10">
        <v>1420</v>
      </c>
      <c r="G39" s="10">
        <f t="shared" si="0"/>
        <v>1420</v>
      </c>
      <c r="H39" s="19">
        <f t="shared" si="1"/>
        <v>0.25</v>
      </c>
      <c r="I39" s="4">
        <f t="shared" si="2"/>
        <v>1E-3</v>
      </c>
    </row>
    <row r="40" spans="1:9" x14ac:dyDescent="0.25">
      <c r="A40" t="s">
        <v>43</v>
      </c>
      <c r="B40" t="s">
        <v>45</v>
      </c>
      <c r="C40" s="10"/>
      <c r="D40" s="10"/>
      <c r="E40" s="10">
        <v>46390</v>
      </c>
      <c r="F40" s="10"/>
      <c r="G40" s="10">
        <f t="shared" si="0"/>
        <v>46390</v>
      </c>
      <c r="H40" s="19">
        <f t="shared" si="1"/>
        <v>8.16</v>
      </c>
      <c r="I40" s="4">
        <f t="shared" si="2"/>
        <v>4.4999999999999998E-2</v>
      </c>
    </row>
    <row r="41" spans="1:9" x14ac:dyDescent="0.25">
      <c r="A41" t="s">
        <v>15</v>
      </c>
      <c r="B41" t="s">
        <v>18</v>
      </c>
      <c r="C41" s="10"/>
      <c r="D41" s="10"/>
      <c r="E41" s="10"/>
      <c r="F41" s="10"/>
      <c r="G41" s="10">
        <f t="shared" si="0"/>
        <v>0</v>
      </c>
      <c r="H41" s="19">
        <f t="shared" si="1"/>
        <v>0</v>
      </c>
      <c r="I41" s="4">
        <f t="shared" ref="I41" si="3">ROUND(G41/$G$45,3)</f>
        <v>0</v>
      </c>
    </row>
    <row r="42" spans="1:9" x14ac:dyDescent="0.25">
      <c r="A42" t="s">
        <v>15</v>
      </c>
      <c r="B42" t="s">
        <v>63</v>
      </c>
      <c r="C42" s="10"/>
      <c r="D42" s="10"/>
      <c r="E42" s="10"/>
      <c r="F42" s="10"/>
      <c r="G42" s="10">
        <f t="shared" si="0"/>
        <v>0</v>
      </c>
      <c r="H42" s="19">
        <f t="shared" si="1"/>
        <v>0</v>
      </c>
      <c r="I42" s="4">
        <f>ROUND(G42/$G$45,3)</f>
        <v>0</v>
      </c>
    </row>
    <row r="43" spans="1:9" x14ac:dyDescent="0.25">
      <c r="A43" t="s">
        <v>15</v>
      </c>
      <c r="B43" t="s">
        <v>17</v>
      </c>
      <c r="C43" s="10"/>
      <c r="D43" s="10"/>
      <c r="E43" s="10"/>
      <c r="F43" s="10"/>
      <c r="G43" s="10">
        <f t="shared" si="0"/>
        <v>0</v>
      </c>
      <c r="H43" s="19">
        <f t="shared" si="1"/>
        <v>0</v>
      </c>
      <c r="I43" s="4">
        <f>ROUND(G43/$G$45,3)</f>
        <v>0</v>
      </c>
    </row>
    <row r="44" spans="1:9" x14ac:dyDescent="0.25">
      <c r="A44" t="s">
        <v>15</v>
      </c>
      <c r="B44" t="s">
        <v>16</v>
      </c>
      <c r="C44" s="10"/>
      <c r="D44" s="10"/>
      <c r="E44" s="10"/>
      <c r="F44" s="10"/>
      <c r="G44" s="10">
        <f t="shared" si="0"/>
        <v>0</v>
      </c>
      <c r="H44" s="19">
        <f t="shared" si="1"/>
        <v>0</v>
      </c>
      <c r="I44" s="4">
        <f>ROUND(G44/$G$45,3)</f>
        <v>0</v>
      </c>
    </row>
    <row r="45" spans="1:9" x14ac:dyDescent="0.25">
      <c r="A45" s="3" t="s">
        <v>253</v>
      </c>
      <c r="B45" s="3"/>
      <c r="C45" s="8">
        <f t="shared" ref="C45:H45" si="4">SUM(C8:C44)</f>
        <v>677380</v>
      </c>
      <c r="D45" s="8">
        <f t="shared" si="4"/>
        <v>7332</v>
      </c>
      <c r="E45" s="8">
        <f t="shared" si="4"/>
        <v>314724</v>
      </c>
      <c r="F45" s="8">
        <f t="shared" si="4"/>
        <v>29040</v>
      </c>
      <c r="G45" s="8">
        <f t="shared" si="4"/>
        <v>1028476</v>
      </c>
      <c r="H45" s="20">
        <f t="shared" si="4"/>
        <v>180.83</v>
      </c>
      <c r="I45" s="4"/>
    </row>
    <row r="46" spans="1:9" x14ac:dyDescent="0.25">
      <c r="A46" s="3" t="s">
        <v>14</v>
      </c>
      <c r="B46" s="3"/>
      <c r="C46" s="12">
        <f>ROUND(C45/G45,2)</f>
        <v>0.66</v>
      </c>
      <c r="D46" s="12">
        <f>ROUND(D45/G45,2)</f>
        <v>0.01</v>
      </c>
      <c r="E46" s="12">
        <f>ROUND(E45/G45,2)</f>
        <v>0.31</v>
      </c>
      <c r="F46" s="12">
        <f>ROUND(F45/G45,2)</f>
        <v>0.03</v>
      </c>
      <c r="G46" s="3"/>
      <c r="H46" s="3"/>
    </row>
    <row r="47" spans="1:9" x14ac:dyDescent="0.25">
      <c r="A47" s="3" t="s">
        <v>47</v>
      </c>
      <c r="B47" s="3"/>
      <c r="C47" s="3"/>
      <c r="D47" s="3"/>
      <c r="E47" s="3"/>
      <c r="F47" s="3"/>
      <c r="G47" s="3"/>
      <c r="H47" s="3"/>
    </row>
    <row r="48" spans="1:9" x14ac:dyDescent="0.25">
      <c r="A48" s="3" t="s">
        <v>48</v>
      </c>
      <c r="B48" s="3"/>
      <c r="C48" s="8">
        <v>411840</v>
      </c>
      <c r="D48" s="8">
        <v>112</v>
      </c>
      <c r="E48" s="8">
        <v>268334</v>
      </c>
      <c r="F48" s="8">
        <v>3020</v>
      </c>
      <c r="G48" s="8">
        <f>SUM(C48:F48)</f>
        <v>683306</v>
      </c>
      <c r="H48" s="20">
        <f>ROUND(G48/5688,2)</f>
        <v>120.13</v>
      </c>
    </row>
    <row r="49" spans="1:8" x14ac:dyDescent="0.25">
      <c r="A49" s="3" t="s">
        <v>49</v>
      </c>
      <c r="B49" s="3"/>
      <c r="C49" s="8">
        <v>265540</v>
      </c>
      <c r="D49" s="8">
        <v>7220</v>
      </c>
      <c r="E49" s="8">
        <v>46390</v>
      </c>
      <c r="F49" s="8">
        <v>26020</v>
      </c>
      <c r="G49" s="8">
        <f>SUM(C49:F49)</f>
        <v>345170</v>
      </c>
      <c r="H49" s="20">
        <f>ROUND(G49/5688,2)</f>
        <v>60.68</v>
      </c>
    </row>
    <row r="50" spans="1:8" x14ac:dyDescent="0.25">
      <c r="A50" s="3" t="s">
        <v>50</v>
      </c>
      <c r="B50" s="3"/>
      <c r="C50" s="8">
        <v>0</v>
      </c>
      <c r="D50" s="8">
        <v>0</v>
      </c>
      <c r="E50" s="8">
        <v>0</v>
      </c>
      <c r="F50" s="8">
        <v>0</v>
      </c>
      <c r="G50" s="8">
        <f>SUM(C50:F50)</f>
        <v>0</v>
      </c>
      <c r="H50" s="20">
        <f>ROUND(G50/5688,2)</f>
        <v>0</v>
      </c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 t="s">
        <v>2</v>
      </c>
      <c r="D52" s="3">
        <v>2022</v>
      </c>
      <c r="E52" s="3" t="s">
        <v>51</v>
      </c>
      <c r="F52" s="3"/>
      <c r="G52" s="3"/>
      <c r="H52" s="3"/>
    </row>
    <row r="53" spans="1:8" x14ac:dyDescent="0.25">
      <c r="A53" s="3" t="s">
        <v>52</v>
      </c>
      <c r="B53" s="3"/>
      <c r="C53" s="12">
        <v>0.69489999999999996</v>
      </c>
      <c r="D53" s="12">
        <v>0.65959999999999996</v>
      </c>
      <c r="E53" s="12">
        <v>0.77659999999999996</v>
      </c>
      <c r="F53" s="3"/>
      <c r="G53" s="3"/>
      <c r="H53" s="3"/>
    </row>
    <row r="54" spans="1:8" x14ac:dyDescent="0.25">
      <c r="A54" s="3" t="s">
        <v>53</v>
      </c>
      <c r="B54" s="3"/>
      <c r="C54" s="12">
        <v>0.68530000000000002</v>
      </c>
      <c r="D54" s="12">
        <v>0.65010000000000001</v>
      </c>
      <c r="E54" s="12">
        <v>0.75900000000000001</v>
      </c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 t="s">
        <v>256</v>
      </c>
      <c r="B56" s="3"/>
      <c r="C56" s="3" t="s">
        <v>2</v>
      </c>
      <c r="D56" s="3" t="s">
        <v>216</v>
      </c>
      <c r="E56" s="3" t="s">
        <v>55</v>
      </c>
      <c r="F56" s="3" t="s">
        <v>254</v>
      </c>
      <c r="G56" s="3"/>
      <c r="H56" s="3"/>
    </row>
    <row r="57" spans="1:8" x14ac:dyDescent="0.25">
      <c r="A57" s="3" t="s">
        <v>56</v>
      </c>
      <c r="B57" s="3"/>
      <c r="C57" s="3"/>
      <c r="D57" s="3">
        <v>86.77</v>
      </c>
      <c r="E57" s="3">
        <v>81.5</v>
      </c>
      <c r="F57" s="3">
        <v>50.61</v>
      </c>
      <c r="G57" s="3"/>
      <c r="H57" s="3"/>
    </row>
    <row r="58" spans="1:8" x14ac:dyDescent="0.25">
      <c r="A58" s="3" t="s">
        <v>57</v>
      </c>
      <c r="B58" s="3"/>
      <c r="C58" s="3"/>
      <c r="D58" s="3">
        <v>40.659999999999997</v>
      </c>
      <c r="E58" s="3">
        <v>58.24</v>
      </c>
      <c r="F58" s="3">
        <v>57.37</v>
      </c>
      <c r="G58" s="3"/>
      <c r="H58" s="3"/>
    </row>
    <row r="59" spans="1:8" x14ac:dyDescent="0.25">
      <c r="A59" s="3" t="s">
        <v>58</v>
      </c>
      <c r="B59" s="3"/>
      <c r="C59" s="3"/>
      <c r="D59" s="3">
        <v>230.44</v>
      </c>
      <c r="E59" s="3">
        <v>261.52999999999997</v>
      </c>
      <c r="F59" s="3">
        <v>249.57</v>
      </c>
      <c r="G59" s="3"/>
      <c r="H59" s="3"/>
    </row>
    <row r="60" spans="1:8" x14ac:dyDescent="0.25">
      <c r="A60" s="3" t="s">
        <v>59</v>
      </c>
      <c r="B60" s="3"/>
      <c r="C60" s="3"/>
      <c r="D60" s="3">
        <v>100.72</v>
      </c>
      <c r="E60" s="3">
        <v>103.11</v>
      </c>
      <c r="F60" s="3">
        <v>71.400000000000006</v>
      </c>
      <c r="G60" s="3"/>
      <c r="H6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I59"/>
  <sheetViews>
    <sheetView topLeftCell="A33" workbookViewId="0">
      <selection activeCell="G56" sqref="G56:G59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7109375" bestFit="1" customWidth="1"/>
    <col min="4" max="4" width="40.42578125" bestFit="1" customWidth="1"/>
    <col min="5" max="5" width="13.85546875" bestFit="1" customWidth="1"/>
    <col min="6" max="6" width="9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217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6023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17</v>
      </c>
      <c r="C9" s="10"/>
      <c r="D9" s="10"/>
      <c r="E9" s="10"/>
      <c r="F9" s="10">
        <v>185</v>
      </c>
      <c r="G9" s="10">
        <f t="shared" ref="G9:G43" si="0">SUM(C9:F9)</f>
        <v>185</v>
      </c>
      <c r="H9" s="19">
        <f t="shared" ref="H9:H43" si="1">ROUND(G9/6023,2)</f>
        <v>0.03</v>
      </c>
      <c r="I9" s="4">
        <f t="shared" ref="I9:I40" si="2">ROUND(G9/$G$44,3)</f>
        <v>0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 s="19">
        <f t="shared" si="1"/>
        <v>0</v>
      </c>
      <c r="I10" s="4">
        <f t="shared" si="2"/>
        <v>0</v>
      </c>
    </row>
    <row r="11" spans="1:9" x14ac:dyDescent="0.25">
      <c r="A11" t="s">
        <v>15</v>
      </c>
      <c r="B11" t="s">
        <v>16</v>
      </c>
      <c r="C11" s="10"/>
      <c r="D11" s="10"/>
      <c r="E11" s="10"/>
      <c r="F11" s="10"/>
      <c r="G11" s="10">
        <f t="shared" si="0"/>
        <v>0</v>
      </c>
      <c r="H11" s="19">
        <f t="shared" si="1"/>
        <v>0</v>
      </c>
      <c r="I11" s="4">
        <f t="shared" si="2"/>
        <v>0</v>
      </c>
    </row>
    <row r="12" spans="1:9" x14ac:dyDescent="0.25">
      <c r="A12" t="s">
        <v>15</v>
      </c>
      <c r="B12" t="s">
        <v>63</v>
      </c>
      <c r="C12" s="10"/>
      <c r="D12" s="10"/>
      <c r="E12" s="10"/>
      <c r="F12" s="10"/>
      <c r="G12" s="10">
        <f t="shared" si="0"/>
        <v>0</v>
      </c>
      <c r="H12" s="19">
        <f t="shared" si="1"/>
        <v>0</v>
      </c>
      <c r="I12" s="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48</v>
      </c>
      <c r="F13" s="10"/>
      <c r="G13" s="10">
        <f t="shared" si="0"/>
        <v>48</v>
      </c>
      <c r="H13" s="19">
        <f t="shared" si="1"/>
        <v>0.01</v>
      </c>
      <c r="I13" s="4">
        <f t="shared" si="2"/>
        <v>0</v>
      </c>
    </row>
    <row r="14" spans="1:9" x14ac:dyDescent="0.25">
      <c r="A14" t="s">
        <v>19</v>
      </c>
      <c r="B14" t="s">
        <v>20</v>
      </c>
      <c r="C14" s="10">
        <v>125560</v>
      </c>
      <c r="D14" s="10"/>
      <c r="E14" s="10">
        <v>2280</v>
      </c>
      <c r="F14" s="10"/>
      <c r="G14" s="10">
        <f t="shared" si="0"/>
        <v>127840</v>
      </c>
      <c r="H14" s="19">
        <f t="shared" si="1"/>
        <v>21.23</v>
      </c>
      <c r="I14" s="4">
        <f t="shared" si="2"/>
        <v>0.115</v>
      </c>
    </row>
    <row r="15" spans="1:9" x14ac:dyDescent="0.25">
      <c r="A15" t="s">
        <v>19</v>
      </c>
      <c r="B15" t="s">
        <v>21</v>
      </c>
      <c r="C15" s="10">
        <v>114550</v>
      </c>
      <c r="D15" s="10"/>
      <c r="E15" s="10"/>
      <c r="F15" s="10"/>
      <c r="G15" s="10">
        <f t="shared" si="0"/>
        <v>114550</v>
      </c>
      <c r="H15" s="19">
        <f t="shared" si="1"/>
        <v>19.02</v>
      </c>
      <c r="I15" s="4">
        <f t="shared" si="2"/>
        <v>0.10299999999999999</v>
      </c>
    </row>
    <row r="16" spans="1:9" x14ac:dyDescent="0.25">
      <c r="A16" t="s">
        <v>19</v>
      </c>
      <c r="B16" t="s">
        <v>76</v>
      </c>
      <c r="C16" s="10"/>
      <c r="D16" s="10"/>
      <c r="E16" s="10">
        <v>73</v>
      </c>
      <c r="F16" s="10"/>
      <c r="G16" s="10">
        <f t="shared" si="0"/>
        <v>73</v>
      </c>
      <c r="H16" s="19">
        <f t="shared" si="1"/>
        <v>0.01</v>
      </c>
      <c r="I16" s="4">
        <f t="shared" si="2"/>
        <v>0</v>
      </c>
    </row>
    <row r="17" spans="1:9" x14ac:dyDescent="0.25">
      <c r="A17" t="s">
        <v>19</v>
      </c>
      <c r="B17" t="s">
        <v>41</v>
      </c>
      <c r="C17" s="10"/>
      <c r="D17" s="10"/>
      <c r="E17" s="10">
        <v>102</v>
      </c>
      <c r="F17" s="10"/>
      <c r="G17" s="10">
        <f t="shared" si="0"/>
        <v>102</v>
      </c>
      <c r="H17" s="19">
        <f t="shared" si="1"/>
        <v>0.02</v>
      </c>
      <c r="I17" s="4">
        <f t="shared" si="2"/>
        <v>0</v>
      </c>
    </row>
    <row r="18" spans="1:9" x14ac:dyDescent="0.25">
      <c r="A18" t="s">
        <v>19</v>
      </c>
      <c r="B18" t="s">
        <v>22</v>
      </c>
      <c r="C18" s="10"/>
      <c r="D18" s="10"/>
      <c r="E18" s="10">
        <v>1000</v>
      </c>
      <c r="F18" s="10"/>
      <c r="G18" s="10">
        <f t="shared" si="0"/>
        <v>1000</v>
      </c>
      <c r="H18" s="19">
        <f t="shared" si="1"/>
        <v>0.17</v>
      </c>
      <c r="I18" s="4">
        <f t="shared" si="2"/>
        <v>1E-3</v>
      </c>
    </row>
    <row r="19" spans="1:9" x14ac:dyDescent="0.25">
      <c r="A19" t="s">
        <v>19</v>
      </c>
      <c r="B19" t="s">
        <v>23</v>
      </c>
      <c r="C19" s="10"/>
      <c r="D19" s="10"/>
      <c r="E19" s="10">
        <v>20080</v>
      </c>
      <c r="F19" s="10">
        <v>40</v>
      </c>
      <c r="G19" s="10">
        <f t="shared" si="0"/>
        <v>20120</v>
      </c>
      <c r="H19" s="19">
        <f t="shared" si="1"/>
        <v>3.34</v>
      </c>
      <c r="I19" s="4">
        <f t="shared" si="2"/>
        <v>1.7999999999999999E-2</v>
      </c>
    </row>
    <row r="20" spans="1:9" x14ac:dyDescent="0.25">
      <c r="A20" t="s">
        <v>19</v>
      </c>
      <c r="B20" t="s">
        <v>24</v>
      </c>
      <c r="C20" s="10">
        <v>159140</v>
      </c>
      <c r="D20" s="10"/>
      <c r="E20" s="10">
        <v>12020</v>
      </c>
      <c r="F20" s="10"/>
      <c r="G20" s="10">
        <f t="shared" si="0"/>
        <v>171160</v>
      </c>
      <c r="H20" s="19">
        <f t="shared" si="1"/>
        <v>28.42</v>
      </c>
      <c r="I20" s="4">
        <f t="shared" si="2"/>
        <v>0.154</v>
      </c>
    </row>
    <row r="21" spans="1:9" x14ac:dyDescent="0.25">
      <c r="A21" t="s">
        <v>19</v>
      </c>
      <c r="B21" t="s">
        <v>66</v>
      </c>
      <c r="C21" s="10"/>
      <c r="D21" s="10"/>
      <c r="E21" s="10">
        <v>3190</v>
      </c>
      <c r="F21" s="10"/>
      <c r="G21" s="10">
        <f t="shared" si="0"/>
        <v>3190</v>
      </c>
      <c r="H21" s="19">
        <f t="shared" si="1"/>
        <v>0.53</v>
      </c>
      <c r="I21" s="4">
        <f t="shared" si="2"/>
        <v>3.0000000000000001E-3</v>
      </c>
    </row>
    <row r="22" spans="1:9" x14ac:dyDescent="0.25">
      <c r="A22" t="s">
        <v>19</v>
      </c>
      <c r="B22" t="s">
        <v>25</v>
      </c>
      <c r="C22" s="10">
        <v>186650</v>
      </c>
      <c r="D22" s="10"/>
      <c r="E22" s="10"/>
      <c r="F22" s="10">
        <v>570</v>
      </c>
      <c r="G22" s="10">
        <f t="shared" si="0"/>
        <v>187220</v>
      </c>
      <c r="H22" s="19">
        <f t="shared" si="1"/>
        <v>31.08</v>
      </c>
      <c r="I22" s="4">
        <f t="shared" si="2"/>
        <v>0.16900000000000001</v>
      </c>
    </row>
    <row r="23" spans="1:9" x14ac:dyDescent="0.25">
      <c r="A23" t="s">
        <v>19</v>
      </c>
      <c r="B23" t="s">
        <v>26</v>
      </c>
      <c r="C23" s="10"/>
      <c r="D23" s="10"/>
      <c r="E23" s="10">
        <v>613</v>
      </c>
      <c r="F23" s="10"/>
      <c r="G23" s="10">
        <f t="shared" si="0"/>
        <v>613</v>
      </c>
      <c r="H23" s="19">
        <f t="shared" si="1"/>
        <v>0.1</v>
      </c>
      <c r="I23" s="4">
        <f t="shared" si="2"/>
        <v>1E-3</v>
      </c>
    </row>
    <row r="24" spans="1:9" x14ac:dyDescent="0.25">
      <c r="A24" t="s">
        <v>19</v>
      </c>
      <c r="B24" t="s">
        <v>27</v>
      </c>
      <c r="C24" s="10"/>
      <c r="D24" s="10"/>
      <c r="E24" s="10">
        <v>290</v>
      </c>
      <c r="F24" s="10"/>
      <c r="G24" s="10">
        <f t="shared" si="0"/>
        <v>290</v>
      </c>
      <c r="H24" s="19">
        <f t="shared" si="1"/>
        <v>0.05</v>
      </c>
      <c r="I24" s="4">
        <f t="shared" si="2"/>
        <v>0</v>
      </c>
    </row>
    <row r="25" spans="1:9" x14ac:dyDescent="0.25">
      <c r="A25" t="s">
        <v>19</v>
      </c>
      <c r="B25" t="s">
        <v>28</v>
      </c>
      <c r="C25" s="10"/>
      <c r="D25" s="10"/>
      <c r="E25" s="10">
        <v>89</v>
      </c>
      <c r="F25" s="10"/>
      <c r="G25" s="10">
        <f t="shared" si="0"/>
        <v>89</v>
      </c>
      <c r="H25" s="19">
        <f t="shared" si="1"/>
        <v>0.01</v>
      </c>
      <c r="I25" s="4">
        <f t="shared" si="2"/>
        <v>0</v>
      </c>
    </row>
    <row r="26" spans="1:9" x14ac:dyDescent="0.25">
      <c r="A26" t="s">
        <v>19</v>
      </c>
      <c r="B26" t="s">
        <v>29</v>
      </c>
      <c r="C26" s="10"/>
      <c r="D26" s="10"/>
      <c r="E26" s="10">
        <v>3390</v>
      </c>
      <c r="F26" s="10"/>
      <c r="G26" s="10">
        <f t="shared" si="0"/>
        <v>3390</v>
      </c>
      <c r="H26" s="19">
        <f t="shared" si="1"/>
        <v>0.56000000000000005</v>
      </c>
      <c r="I26" s="4">
        <f t="shared" si="2"/>
        <v>3.0000000000000001E-3</v>
      </c>
    </row>
    <row r="27" spans="1:9" x14ac:dyDescent="0.25">
      <c r="A27" t="s">
        <v>19</v>
      </c>
      <c r="B27" t="s">
        <v>30</v>
      </c>
      <c r="C27" s="10"/>
      <c r="D27" s="10"/>
      <c r="E27" s="10">
        <v>520</v>
      </c>
      <c r="F27" s="10"/>
      <c r="G27" s="10">
        <f t="shared" si="0"/>
        <v>520</v>
      </c>
      <c r="H27" s="19">
        <f t="shared" si="1"/>
        <v>0.09</v>
      </c>
      <c r="I27" s="4">
        <f t="shared" si="2"/>
        <v>0</v>
      </c>
    </row>
    <row r="28" spans="1:9" x14ac:dyDescent="0.25">
      <c r="A28" t="s">
        <v>19</v>
      </c>
      <c r="B28" t="s">
        <v>31</v>
      </c>
      <c r="C28" s="10"/>
      <c r="D28" s="10"/>
      <c r="E28" s="10">
        <v>450</v>
      </c>
      <c r="F28" s="10"/>
      <c r="G28" s="10">
        <f t="shared" si="0"/>
        <v>450</v>
      </c>
      <c r="H28" s="19">
        <f t="shared" si="1"/>
        <v>7.0000000000000007E-2</v>
      </c>
      <c r="I28" s="4">
        <f t="shared" si="2"/>
        <v>0</v>
      </c>
    </row>
    <row r="29" spans="1:9" x14ac:dyDescent="0.25">
      <c r="A29" t="s">
        <v>19</v>
      </c>
      <c r="B29" t="s">
        <v>32</v>
      </c>
      <c r="C29" s="10"/>
      <c r="D29" s="10"/>
      <c r="E29" s="10">
        <v>1245</v>
      </c>
      <c r="F29" s="10"/>
      <c r="G29" s="10">
        <f t="shared" si="0"/>
        <v>1245</v>
      </c>
      <c r="H29" s="19">
        <f t="shared" si="1"/>
        <v>0.21</v>
      </c>
      <c r="I29" s="4">
        <f t="shared" si="2"/>
        <v>1E-3</v>
      </c>
    </row>
    <row r="30" spans="1:9" x14ac:dyDescent="0.25">
      <c r="A30" t="s">
        <v>19</v>
      </c>
      <c r="B30" t="s">
        <v>42</v>
      </c>
      <c r="C30" s="10"/>
      <c r="D30" s="10">
        <v>226</v>
      </c>
      <c r="E30" s="10"/>
      <c r="F30" s="10"/>
      <c r="G30" s="10">
        <f t="shared" si="0"/>
        <v>226</v>
      </c>
      <c r="H30" s="19">
        <f t="shared" si="1"/>
        <v>0.04</v>
      </c>
      <c r="I30" s="4">
        <f t="shared" si="2"/>
        <v>0</v>
      </c>
    </row>
    <row r="31" spans="1:9" x14ac:dyDescent="0.25">
      <c r="A31" t="s">
        <v>19</v>
      </c>
      <c r="B31" t="s">
        <v>34</v>
      </c>
      <c r="C31" s="10"/>
      <c r="D31" s="10"/>
      <c r="E31" s="10">
        <v>2190</v>
      </c>
      <c r="F31" s="10"/>
      <c r="G31" s="10">
        <f t="shared" si="0"/>
        <v>2190</v>
      </c>
      <c r="H31" s="19">
        <f t="shared" si="1"/>
        <v>0.36</v>
      </c>
      <c r="I31" s="4">
        <f t="shared" si="2"/>
        <v>2E-3</v>
      </c>
    </row>
    <row r="32" spans="1:9" x14ac:dyDescent="0.25">
      <c r="A32" t="s">
        <v>19</v>
      </c>
      <c r="B32" t="s">
        <v>35</v>
      </c>
      <c r="C32" s="10"/>
      <c r="D32" s="10"/>
      <c r="E32" s="10">
        <v>4486</v>
      </c>
      <c r="F32" s="10"/>
      <c r="G32" s="10">
        <f t="shared" si="0"/>
        <v>4486</v>
      </c>
      <c r="H32" s="19">
        <f t="shared" si="1"/>
        <v>0.74</v>
      </c>
      <c r="I32" s="4">
        <f t="shared" si="2"/>
        <v>4.0000000000000001E-3</v>
      </c>
    </row>
    <row r="33" spans="1:9" x14ac:dyDescent="0.25">
      <c r="A33" t="s">
        <v>19</v>
      </c>
      <c r="B33" t="s">
        <v>40</v>
      </c>
      <c r="C33" s="10"/>
      <c r="D33" s="10"/>
      <c r="E33" s="10">
        <v>3087</v>
      </c>
      <c r="F33" s="10"/>
      <c r="G33" s="10">
        <f t="shared" si="0"/>
        <v>3087</v>
      </c>
      <c r="H33" s="19">
        <f t="shared" si="1"/>
        <v>0.51</v>
      </c>
      <c r="I33" s="4">
        <f t="shared" si="2"/>
        <v>3.0000000000000001E-3</v>
      </c>
    </row>
    <row r="34" spans="1:9" x14ac:dyDescent="0.25">
      <c r="A34" t="s">
        <v>19</v>
      </c>
      <c r="B34" t="s">
        <v>36</v>
      </c>
      <c r="C34" s="10"/>
      <c r="D34" s="10"/>
      <c r="E34" s="10">
        <v>72090</v>
      </c>
      <c r="F34" s="10"/>
      <c r="G34" s="10">
        <f t="shared" si="0"/>
        <v>72090</v>
      </c>
      <c r="H34" s="19">
        <f t="shared" si="1"/>
        <v>11.97</v>
      </c>
      <c r="I34" s="4">
        <f t="shared" si="2"/>
        <v>6.5000000000000002E-2</v>
      </c>
    </row>
    <row r="35" spans="1:9" x14ac:dyDescent="0.25">
      <c r="A35" t="s">
        <v>19</v>
      </c>
      <c r="B35" t="s">
        <v>37</v>
      </c>
      <c r="C35" s="10"/>
      <c r="D35" s="10"/>
      <c r="E35" s="10">
        <v>2840</v>
      </c>
      <c r="F35" s="10"/>
      <c r="G35" s="10">
        <f t="shared" si="0"/>
        <v>2840</v>
      </c>
      <c r="H35" s="19">
        <f t="shared" si="1"/>
        <v>0.47</v>
      </c>
      <c r="I35" s="4">
        <f t="shared" si="2"/>
        <v>3.0000000000000001E-3</v>
      </c>
    </row>
    <row r="36" spans="1:9" x14ac:dyDescent="0.25">
      <c r="A36" t="s">
        <v>19</v>
      </c>
      <c r="B36" t="s">
        <v>38</v>
      </c>
      <c r="C36" s="10"/>
      <c r="D36" s="10"/>
      <c r="E36" s="10">
        <v>8690</v>
      </c>
      <c r="F36" s="10"/>
      <c r="G36" s="10">
        <f t="shared" si="0"/>
        <v>8690</v>
      </c>
      <c r="H36" s="19">
        <f t="shared" si="1"/>
        <v>1.44</v>
      </c>
      <c r="I36" s="4">
        <f t="shared" si="2"/>
        <v>8.0000000000000002E-3</v>
      </c>
    </row>
    <row r="37" spans="1:9" x14ac:dyDescent="0.25">
      <c r="A37" t="s">
        <v>19</v>
      </c>
      <c r="B37" t="s">
        <v>39</v>
      </c>
      <c r="C37" s="10"/>
      <c r="D37" s="10"/>
      <c r="E37" s="10">
        <v>141600</v>
      </c>
      <c r="F37" s="10"/>
      <c r="G37" s="10">
        <f t="shared" si="0"/>
        <v>141600</v>
      </c>
      <c r="H37" s="19">
        <f t="shared" si="1"/>
        <v>23.51</v>
      </c>
      <c r="I37" s="4">
        <f t="shared" si="2"/>
        <v>0.127</v>
      </c>
    </row>
    <row r="38" spans="1:9" x14ac:dyDescent="0.25">
      <c r="A38" t="s">
        <v>19</v>
      </c>
      <c r="B38" t="s">
        <v>67</v>
      </c>
      <c r="C38" s="10"/>
      <c r="D38" s="10"/>
      <c r="E38" s="10"/>
      <c r="F38" s="10"/>
      <c r="G38" s="10">
        <f t="shared" si="0"/>
        <v>0</v>
      </c>
      <c r="H38" s="19">
        <f t="shared" si="1"/>
        <v>0</v>
      </c>
      <c r="I38" s="4">
        <f t="shared" si="2"/>
        <v>0</v>
      </c>
    </row>
    <row r="39" spans="1:9" x14ac:dyDescent="0.25">
      <c r="A39" t="s">
        <v>19</v>
      </c>
      <c r="B39" t="s">
        <v>33</v>
      </c>
      <c r="C39" s="10"/>
      <c r="D39" s="10"/>
      <c r="E39" s="10"/>
      <c r="F39" s="10"/>
      <c r="G39" s="10">
        <f t="shared" si="0"/>
        <v>0</v>
      </c>
      <c r="H39" s="19">
        <f t="shared" si="1"/>
        <v>0</v>
      </c>
      <c r="I39" s="4">
        <f t="shared" si="2"/>
        <v>0</v>
      </c>
    </row>
    <row r="40" spans="1:9" x14ac:dyDescent="0.25">
      <c r="A40" t="s">
        <v>19</v>
      </c>
      <c r="B40" t="s">
        <v>177</v>
      </c>
      <c r="C40" s="10"/>
      <c r="D40" s="10"/>
      <c r="E40" s="10"/>
      <c r="F40" s="10"/>
      <c r="G40" s="10">
        <f t="shared" si="0"/>
        <v>0</v>
      </c>
      <c r="H40" s="19">
        <f t="shared" si="1"/>
        <v>0</v>
      </c>
      <c r="I40" s="4">
        <f t="shared" si="2"/>
        <v>0</v>
      </c>
    </row>
    <row r="41" spans="1:9" x14ac:dyDescent="0.25">
      <c r="A41" t="s">
        <v>43</v>
      </c>
      <c r="B41" t="s">
        <v>44</v>
      </c>
      <c r="C41" s="10">
        <v>182640</v>
      </c>
      <c r="D41" s="10"/>
      <c r="E41" s="10"/>
      <c r="F41" s="10"/>
      <c r="G41" s="10">
        <f t="shared" si="0"/>
        <v>182640</v>
      </c>
      <c r="H41" s="19">
        <f t="shared" si="1"/>
        <v>30.32</v>
      </c>
      <c r="I41" s="4">
        <f t="shared" ref="I41" si="3">ROUND(G41/$G$44,3)</f>
        <v>0.16400000000000001</v>
      </c>
    </row>
    <row r="42" spans="1:9" x14ac:dyDescent="0.25">
      <c r="A42" t="s">
        <v>43</v>
      </c>
      <c r="B42" t="s">
        <v>46</v>
      </c>
      <c r="C42" s="10"/>
      <c r="D42" s="10"/>
      <c r="E42" s="10"/>
      <c r="F42" s="10">
        <v>21340</v>
      </c>
      <c r="G42" s="10">
        <f t="shared" si="0"/>
        <v>21340</v>
      </c>
      <c r="H42" s="19">
        <f t="shared" si="1"/>
        <v>3.54</v>
      </c>
      <c r="I42" s="4">
        <f>ROUND(G42/$G$44,3)</f>
        <v>1.9E-2</v>
      </c>
    </row>
    <row r="43" spans="1:9" x14ac:dyDescent="0.25">
      <c r="A43" t="s">
        <v>43</v>
      </c>
      <c r="B43" t="s">
        <v>45</v>
      </c>
      <c r="C43" s="10"/>
      <c r="D43" s="10"/>
      <c r="E43" s="10">
        <v>39750</v>
      </c>
      <c r="F43" s="10"/>
      <c r="G43" s="10">
        <f t="shared" si="0"/>
        <v>39750</v>
      </c>
      <c r="H43" s="19">
        <f t="shared" si="1"/>
        <v>6.6</v>
      </c>
      <c r="I43" s="4">
        <f>ROUND(G43/$G$44,3)</f>
        <v>3.5999999999999997E-2</v>
      </c>
    </row>
    <row r="44" spans="1:9" x14ac:dyDescent="0.25">
      <c r="A44" s="3" t="s">
        <v>253</v>
      </c>
      <c r="B44" s="3"/>
      <c r="C44" s="8">
        <f t="shared" ref="C44:H44" si="4">SUM(C8:C43)</f>
        <v>768540</v>
      </c>
      <c r="D44" s="8">
        <f t="shared" si="4"/>
        <v>226</v>
      </c>
      <c r="E44" s="8">
        <f t="shared" si="4"/>
        <v>320123</v>
      </c>
      <c r="F44" s="8">
        <f t="shared" si="4"/>
        <v>22135</v>
      </c>
      <c r="G44" s="8">
        <f t="shared" si="4"/>
        <v>1111024</v>
      </c>
      <c r="H44" s="20">
        <f t="shared" si="4"/>
        <v>184.44999999999996</v>
      </c>
      <c r="I44" s="12"/>
    </row>
    <row r="45" spans="1:9" x14ac:dyDescent="0.25">
      <c r="A45" s="3" t="s">
        <v>14</v>
      </c>
      <c r="B45" s="3"/>
      <c r="C45" s="12">
        <f>ROUND(C44/G44,2)</f>
        <v>0.69</v>
      </c>
      <c r="D45" s="12">
        <f>ROUND(D44/G44,2)</f>
        <v>0</v>
      </c>
      <c r="E45" s="12">
        <f>ROUND(E44/G44,2)</f>
        <v>0.28999999999999998</v>
      </c>
      <c r="F45" s="12">
        <f>ROUND(F44/G44,2)</f>
        <v>0.02</v>
      </c>
      <c r="G45" s="7"/>
      <c r="H45" s="7"/>
      <c r="I45" s="3"/>
    </row>
    <row r="46" spans="1:9" x14ac:dyDescent="0.25">
      <c r="A46" s="3" t="s">
        <v>47</v>
      </c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 t="s">
        <v>48</v>
      </c>
      <c r="B47" s="3"/>
      <c r="C47" s="8">
        <v>585900</v>
      </c>
      <c r="D47" s="8">
        <v>226</v>
      </c>
      <c r="E47" s="8">
        <v>280373</v>
      </c>
      <c r="F47" s="8">
        <v>610</v>
      </c>
      <c r="G47" s="8">
        <f>SUM(C47:F47)</f>
        <v>867109</v>
      </c>
      <c r="H47" s="20">
        <f>ROUND(G47/6023,2)</f>
        <v>143.97</v>
      </c>
      <c r="I47" s="3"/>
    </row>
    <row r="48" spans="1:9" x14ac:dyDescent="0.25">
      <c r="A48" s="3" t="s">
        <v>49</v>
      </c>
      <c r="B48" s="3"/>
      <c r="C48" s="8">
        <v>182640</v>
      </c>
      <c r="D48" s="8">
        <v>0</v>
      </c>
      <c r="E48" s="8">
        <v>39750</v>
      </c>
      <c r="F48" s="8">
        <v>21340</v>
      </c>
      <c r="G48" s="8">
        <f>SUM(C48:F48)</f>
        <v>243730</v>
      </c>
      <c r="H48" s="20">
        <f>ROUND(G48/6023,2)</f>
        <v>40.47</v>
      </c>
      <c r="I48" s="3"/>
    </row>
    <row r="49" spans="1:9" x14ac:dyDescent="0.25">
      <c r="A49" s="3" t="s">
        <v>50</v>
      </c>
      <c r="B49" s="3"/>
      <c r="C49" s="8">
        <v>0</v>
      </c>
      <c r="D49" s="8">
        <v>0</v>
      </c>
      <c r="E49" s="8">
        <v>0</v>
      </c>
      <c r="F49" s="8">
        <v>185</v>
      </c>
      <c r="G49" s="8">
        <f>SUM(C49:F49)</f>
        <v>185</v>
      </c>
      <c r="H49" s="20">
        <f>ROUND(G49/6023,2)</f>
        <v>0.03</v>
      </c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 t="s">
        <v>2</v>
      </c>
      <c r="D51" s="3">
        <v>2022</v>
      </c>
      <c r="E51" s="3" t="s">
        <v>51</v>
      </c>
      <c r="F51" s="3"/>
      <c r="G51" s="3"/>
      <c r="H51" s="3"/>
      <c r="I51" s="3"/>
    </row>
    <row r="52" spans="1:9" x14ac:dyDescent="0.25">
      <c r="A52" s="3" t="s">
        <v>52</v>
      </c>
      <c r="B52" s="3"/>
      <c r="C52" s="12">
        <v>0.83240000000000003</v>
      </c>
      <c r="D52" s="12">
        <v>0.83230000000000004</v>
      </c>
      <c r="E52" s="12">
        <v>0.77659999999999996</v>
      </c>
      <c r="F52" s="3"/>
      <c r="G52" s="3"/>
      <c r="H52" s="3"/>
      <c r="I52" s="3"/>
    </row>
    <row r="53" spans="1:9" x14ac:dyDescent="0.25">
      <c r="A53" s="3" t="s">
        <v>53</v>
      </c>
      <c r="B53" s="3"/>
      <c r="C53" s="12">
        <v>0.82089999999999996</v>
      </c>
      <c r="D53" s="12">
        <v>0.81769999999999998</v>
      </c>
      <c r="E53" s="12">
        <v>0.75900000000000001</v>
      </c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 t="s">
        <v>256</v>
      </c>
      <c r="B55" s="3"/>
      <c r="C55" s="3" t="s">
        <v>2</v>
      </c>
      <c r="D55" s="3" t="s">
        <v>218</v>
      </c>
      <c r="E55" s="3" t="s">
        <v>55</v>
      </c>
      <c r="F55" s="3" t="s">
        <v>254</v>
      </c>
      <c r="G55" s="3"/>
      <c r="H55" s="3"/>
      <c r="I55" s="3"/>
    </row>
    <row r="56" spans="1:9" x14ac:dyDescent="0.25">
      <c r="A56" s="3" t="s">
        <v>56</v>
      </c>
      <c r="B56" s="3"/>
      <c r="C56" s="3"/>
      <c r="D56" s="3">
        <v>70.849999999999994</v>
      </c>
      <c r="E56" s="3">
        <v>81.5</v>
      </c>
      <c r="F56" s="3">
        <v>50.61</v>
      </c>
      <c r="G56" s="3"/>
      <c r="H56" s="3"/>
      <c r="I56" s="3"/>
    </row>
    <row r="57" spans="1:9" x14ac:dyDescent="0.25">
      <c r="A57" s="3" t="s">
        <v>57</v>
      </c>
      <c r="B57" s="3"/>
      <c r="C57" s="3"/>
      <c r="D57" s="3">
        <v>55.93</v>
      </c>
      <c r="E57" s="3">
        <v>58.24</v>
      </c>
      <c r="F57" s="3">
        <v>57.37</v>
      </c>
      <c r="G57" s="3"/>
      <c r="H57" s="3"/>
      <c r="I57" s="3"/>
    </row>
    <row r="58" spans="1:9" x14ac:dyDescent="0.25">
      <c r="A58" s="3" t="s">
        <v>58</v>
      </c>
      <c r="B58" s="3"/>
      <c r="C58" s="3"/>
      <c r="D58" s="3">
        <v>302.17</v>
      </c>
      <c r="E58" s="3">
        <v>261.52999999999997</v>
      </c>
      <c r="F58" s="3">
        <v>249.57</v>
      </c>
      <c r="G58" s="3"/>
      <c r="H58" s="3"/>
      <c r="I58" s="3"/>
    </row>
    <row r="59" spans="1:9" x14ac:dyDescent="0.25">
      <c r="A59" s="3" t="s">
        <v>59</v>
      </c>
      <c r="B59" s="3"/>
      <c r="C59" s="3"/>
      <c r="D59" s="3">
        <v>94.51</v>
      </c>
      <c r="E59" s="3">
        <v>103.11</v>
      </c>
      <c r="F59" s="3">
        <v>71.400000000000006</v>
      </c>
      <c r="G59" s="3"/>
      <c r="H59" s="3"/>
      <c r="I5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I53"/>
  <sheetViews>
    <sheetView topLeftCell="A22" workbookViewId="0">
      <selection activeCell="G50" sqref="G50:G53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34.5703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219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1666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14</v>
      </c>
      <c r="F9" s="10"/>
      <c r="G9" s="10">
        <f t="shared" ref="G9:G37" si="0">SUM(C9:F9)</f>
        <v>14</v>
      </c>
      <c r="H9" s="19">
        <f t="shared" ref="H9:H37" si="1">ROUND(G9/1666,2)</f>
        <v>0.01</v>
      </c>
      <c r="I9" s="4">
        <f t="shared" ref="I9:I37" si="2">ROUND(G9/$G$38,3)</f>
        <v>0</v>
      </c>
    </row>
    <row r="10" spans="1:9" x14ac:dyDescent="0.25">
      <c r="A10" t="s">
        <v>19</v>
      </c>
      <c r="B10" t="s">
        <v>20</v>
      </c>
      <c r="C10" s="10">
        <v>26520</v>
      </c>
      <c r="D10" s="10"/>
      <c r="E10" s="10"/>
      <c r="F10" s="10"/>
      <c r="G10" s="10">
        <f t="shared" si="0"/>
        <v>26520</v>
      </c>
      <c r="H10" s="19">
        <f t="shared" si="1"/>
        <v>15.92</v>
      </c>
      <c r="I10" s="4">
        <f t="shared" si="2"/>
        <v>0.109</v>
      </c>
    </row>
    <row r="11" spans="1:9" x14ac:dyDescent="0.25">
      <c r="A11" t="s">
        <v>19</v>
      </c>
      <c r="B11" t="s">
        <v>21</v>
      </c>
      <c r="C11" s="10">
        <v>39600</v>
      </c>
      <c r="D11" s="10"/>
      <c r="E11" s="10"/>
      <c r="F11" s="10"/>
      <c r="G11" s="10">
        <f t="shared" si="0"/>
        <v>39600</v>
      </c>
      <c r="H11" s="19">
        <f t="shared" si="1"/>
        <v>23.77</v>
      </c>
      <c r="I11" s="4">
        <f t="shared" si="2"/>
        <v>0.16300000000000001</v>
      </c>
    </row>
    <row r="12" spans="1:9" x14ac:dyDescent="0.25">
      <c r="A12" t="s">
        <v>19</v>
      </c>
      <c r="B12" t="s">
        <v>41</v>
      </c>
      <c r="C12" s="10"/>
      <c r="D12" s="10"/>
      <c r="E12" s="10">
        <v>90</v>
      </c>
      <c r="F12" s="10"/>
      <c r="G12" s="10">
        <f t="shared" si="0"/>
        <v>90</v>
      </c>
      <c r="H12" s="19">
        <f t="shared" si="1"/>
        <v>0.05</v>
      </c>
      <c r="I12" s="4">
        <f t="shared" si="2"/>
        <v>0</v>
      </c>
    </row>
    <row r="13" spans="1:9" x14ac:dyDescent="0.25">
      <c r="A13" t="s">
        <v>19</v>
      </c>
      <c r="B13" t="s">
        <v>22</v>
      </c>
      <c r="C13" s="10"/>
      <c r="D13" s="10"/>
      <c r="E13" s="10">
        <v>700</v>
      </c>
      <c r="F13" s="10"/>
      <c r="G13" s="10">
        <f t="shared" si="0"/>
        <v>700</v>
      </c>
      <c r="H13" s="19">
        <f t="shared" si="1"/>
        <v>0.42</v>
      </c>
      <c r="I13" s="4">
        <f t="shared" si="2"/>
        <v>3.0000000000000001E-3</v>
      </c>
    </row>
    <row r="14" spans="1:9" x14ac:dyDescent="0.25">
      <c r="A14" t="s">
        <v>19</v>
      </c>
      <c r="B14" t="s">
        <v>23</v>
      </c>
      <c r="C14" s="10"/>
      <c r="D14" s="10"/>
      <c r="E14" s="10">
        <v>8820</v>
      </c>
      <c r="F14" s="10"/>
      <c r="G14" s="10">
        <f t="shared" si="0"/>
        <v>8820</v>
      </c>
      <c r="H14" s="19">
        <f t="shared" si="1"/>
        <v>5.29</v>
      </c>
      <c r="I14" s="4">
        <f t="shared" si="2"/>
        <v>3.5999999999999997E-2</v>
      </c>
    </row>
    <row r="15" spans="1:9" x14ac:dyDescent="0.25">
      <c r="A15" t="s">
        <v>19</v>
      </c>
      <c r="B15" t="s">
        <v>24</v>
      </c>
      <c r="C15" s="10">
        <v>33240</v>
      </c>
      <c r="D15" s="10"/>
      <c r="E15" s="10"/>
      <c r="F15" s="10"/>
      <c r="G15" s="10">
        <f t="shared" si="0"/>
        <v>33240</v>
      </c>
      <c r="H15" s="19">
        <f t="shared" si="1"/>
        <v>19.95</v>
      </c>
      <c r="I15" s="4">
        <f t="shared" si="2"/>
        <v>0.13700000000000001</v>
      </c>
    </row>
    <row r="16" spans="1:9" x14ac:dyDescent="0.25">
      <c r="A16" t="s">
        <v>19</v>
      </c>
      <c r="B16" t="s">
        <v>25</v>
      </c>
      <c r="C16" s="10">
        <v>50650</v>
      </c>
      <c r="D16" s="10"/>
      <c r="E16" s="10"/>
      <c r="F16" s="10">
        <v>140</v>
      </c>
      <c r="G16" s="10">
        <f t="shared" si="0"/>
        <v>50790</v>
      </c>
      <c r="H16" s="19">
        <f t="shared" si="1"/>
        <v>30.49</v>
      </c>
      <c r="I16" s="4">
        <f t="shared" si="2"/>
        <v>0.20899999999999999</v>
      </c>
    </row>
    <row r="17" spans="1:9" x14ac:dyDescent="0.25">
      <c r="A17" t="s">
        <v>19</v>
      </c>
      <c r="B17" t="s">
        <v>26</v>
      </c>
      <c r="C17" s="10"/>
      <c r="D17" s="10"/>
      <c r="E17" s="10">
        <v>156</v>
      </c>
      <c r="F17" s="10"/>
      <c r="G17" s="10">
        <f t="shared" si="0"/>
        <v>156</v>
      </c>
      <c r="H17" s="19">
        <f t="shared" si="1"/>
        <v>0.09</v>
      </c>
      <c r="I17" s="4">
        <f t="shared" si="2"/>
        <v>1E-3</v>
      </c>
    </row>
    <row r="18" spans="1:9" x14ac:dyDescent="0.25">
      <c r="A18" t="s">
        <v>19</v>
      </c>
      <c r="B18" t="s">
        <v>27</v>
      </c>
      <c r="C18" s="10"/>
      <c r="D18" s="10"/>
      <c r="E18" s="10">
        <v>75</v>
      </c>
      <c r="F18" s="10"/>
      <c r="G18" s="10">
        <f t="shared" si="0"/>
        <v>75</v>
      </c>
      <c r="H18" s="19">
        <f t="shared" si="1"/>
        <v>0.05</v>
      </c>
      <c r="I18" s="4">
        <f t="shared" si="2"/>
        <v>0</v>
      </c>
    </row>
    <row r="19" spans="1:9" x14ac:dyDescent="0.25">
      <c r="A19" t="s">
        <v>19</v>
      </c>
      <c r="B19" t="s">
        <v>29</v>
      </c>
      <c r="C19" s="10"/>
      <c r="D19" s="10"/>
      <c r="E19" s="10">
        <v>1170</v>
      </c>
      <c r="F19" s="10"/>
      <c r="G19" s="10">
        <f t="shared" si="0"/>
        <v>1170</v>
      </c>
      <c r="H19" s="19">
        <f t="shared" si="1"/>
        <v>0.7</v>
      </c>
      <c r="I19" s="4">
        <f t="shared" si="2"/>
        <v>5.0000000000000001E-3</v>
      </c>
    </row>
    <row r="20" spans="1:9" x14ac:dyDescent="0.25">
      <c r="A20" t="s">
        <v>19</v>
      </c>
      <c r="B20" t="s">
        <v>32</v>
      </c>
      <c r="C20" s="10"/>
      <c r="D20" s="10"/>
      <c r="E20" s="10">
        <v>670</v>
      </c>
      <c r="F20" s="10"/>
      <c r="G20" s="10">
        <f t="shared" si="0"/>
        <v>670</v>
      </c>
      <c r="H20" s="19">
        <f t="shared" si="1"/>
        <v>0.4</v>
      </c>
      <c r="I20" s="4">
        <f t="shared" si="2"/>
        <v>3.0000000000000001E-3</v>
      </c>
    </row>
    <row r="21" spans="1:9" x14ac:dyDescent="0.25">
      <c r="A21" t="s">
        <v>19</v>
      </c>
      <c r="B21" t="s">
        <v>42</v>
      </c>
      <c r="C21" s="10"/>
      <c r="D21" s="10">
        <v>143</v>
      </c>
      <c r="E21" s="10"/>
      <c r="F21" s="10"/>
      <c r="G21" s="10">
        <f t="shared" si="0"/>
        <v>143</v>
      </c>
      <c r="H21" s="19">
        <f t="shared" si="1"/>
        <v>0.09</v>
      </c>
      <c r="I21" s="4">
        <f t="shared" si="2"/>
        <v>1E-3</v>
      </c>
    </row>
    <row r="22" spans="1:9" x14ac:dyDescent="0.25">
      <c r="A22" t="s">
        <v>19</v>
      </c>
      <c r="B22" t="s">
        <v>33</v>
      </c>
      <c r="C22" s="10"/>
      <c r="D22" s="10">
        <v>115</v>
      </c>
      <c r="E22" s="10"/>
      <c r="F22" s="10"/>
      <c r="G22" s="10">
        <f t="shared" si="0"/>
        <v>115</v>
      </c>
      <c r="H22" s="19">
        <f t="shared" si="1"/>
        <v>7.0000000000000007E-2</v>
      </c>
      <c r="I22" s="4">
        <f t="shared" si="2"/>
        <v>0</v>
      </c>
    </row>
    <row r="23" spans="1:9" x14ac:dyDescent="0.25">
      <c r="A23" t="s">
        <v>19</v>
      </c>
      <c r="B23" t="s">
        <v>40</v>
      </c>
      <c r="C23" s="10"/>
      <c r="D23" s="10"/>
      <c r="E23" s="10">
        <v>1150</v>
      </c>
      <c r="F23" s="10"/>
      <c r="G23" s="10">
        <f t="shared" si="0"/>
        <v>1150</v>
      </c>
      <c r="H23" s="19">
        <f t="shared" si="1"/>
        <v>0.69</v>
      </c>
      <c r="I23" s="4">
        <f t="shared" si="2"/>
        <v>5.0000000000000001E-3</v>
      </c>
    </row>
    <row r="24" spans="1:9" x14ac:dyDescent="0.25">
      <c r="A24" t="s">
        <v>19</v>
      </c>
      <c r="B24" t="s">
        <v>36</v>
      </c>
      <c r="C24" s="10"/>
      <c r="D24" s="10"/>
      <c r="E24" s="10">
        <v>15440</v>
      </c>
      <c r="F24" s="10"/>
      <c r="G24" s="10">
        <f t="shared" si="0"/>
        <v>15440</v>
      </c>
      <c r="H24" s="19">
        <f t="shared" si="1"/>
        <v>9.27</v>
      </c>
      <c r="I24" s="4">
        <f t="shared" si="2"/>
        <v>6.4000000000000001E-2</v>
      </c>
    </row>
    <row r="25" spans="1:9" x14ac:dyDescent="0.25">
      <c r="A25" t="s">
        <v>19</v>
      </c>
      <c r="B25" t="s">
        <v>38</v>
      </c>
      <c r="C25" s="10"/>
      <c r="D25" s="10"/>
      <c r="E25" s="10">
        <v>1260</v>
      </c>
      <c r="F25" s="10"/>
      <c r="G25" s="10">
        <f t="shared" si="0"/>
        <v>1260</v>
      </c>
      <c r="H25" s="19">
        <f t="shared" si="1"/>
        <v>0.76</v>
      </c>
      <c r="I25" s="4">
        <f t="shared" si="2"/>
        <v>5.0000000000000001E-3</v>
      </c>
    </row>
    <row r="26" spans="1:9" x14ac:dyDescent="0.25">
      <c r="A26" t="s">
        <v>19</v>
      </c>
      <c r="B26" t="s">
        <v>39</v>
      </c>
      <c r="C26" s="10"/>
      <c r="D26" s="10"/>
      <c r="E26" s="10">
        <v>6620</v>
      </c>
      <c r="F26" s="10"/>
      <c r="G26" s="10">
        <f t="shared" si="0"/>
        <v>6620</v>
      </c>
      <c r="H26" s="19">
        <f t="shared" si="1"/>
        <v>3.97</v>
      </c>
      <c r="I26" s="4">
        <f t="shared" si="2"/>
        <v>2.7E-2</v>
      </c>
    </row>
    <row r="27" spans="1:9" x14ac:dyDescent="0.25">
      <c r="A27" t="s">
        <v>19</v>
      </c>
      <c r="B27" t="s">
        <v>66</v>
      </c>
      <c r="C27" s="10"/>
      <c r="D27" s="10"/>
      <c r="E27" s="10"/>
      <c r="F27" s="10"/>
      <c r="G27" s="10">
        <f t="shared" si="0"/>
        <v>0</v>
      </c>
      <c r="H27" s="19">
        <f t="shared" si="1"/>
        <v>0</v>
      </c>
      <c r="I27" s="4">
        <f t="shared" si="2"/>
        <v>0</v>
      </c>
    </row>
    <row r="28" spans="1:9" x14ac:dyDescent="0.25">
      <c r="A28" t="s">
        <v>19</v>
      </c>
      <c r="B28" t="s">
        <v>28</v>
      </c>
      <c r="C28" s="10"/>
      <c r="D28" s="10"/>
      <c r="E28" s="10"/>
      <c r="F28" s="10"/>
      <c r="G28" s="10">
        <f t="shared" si="0"/>
        <v>0</v>
      </c>
      <c r="H28" s="19">
        <f t="shared" si="1"/>
        <v>0</v>
      </c>
      <c r="I28" s="4">
        <f t="shared" si="2"/>
        <v>0</v>
      </c>
    </row>
    <row r="29" spans="1:9" x14ac:dyDescent="0.25">
      <c r="A29" t="s">
        <v>19</v>
      </c>
      <c r="B29" t="s">
        <v>34</v>
      </c>
      <c r="C29" s="10"/>
      <c r="D29" s="10"/>
      <c r="E29" s="10"/>
      <c r="F29" s="10"/>
      <c r="G29" s="10">
        <f t="shared" si="0"/>
        <v>0</v>
      </c>
      <c r="H29" s="19">
        <f t="shared" si="1"/>
        <v>0</v>
      </c>
      <c r="I29" s="4">
        <f t="shared" si="2"/>
        <v>0</v>
      </c>
    </row>
    <row r="30" spans="1:9" x14ac:dyDescent="0.25">
      <c r="A30" t="s">
        <v>19</v>
      </c>
      <c r="B30" t="s">
        <v>35</v>
      </c>
      <c r="C30" s="10"/>
      <c r="D30" s="10"/>
      <c r="E30" s="10"/>
      <c r="F30" s="10"/>
      <c r="G30" s="10">
        <f t="shared" si="0"/>
        <v>0</v>
      </c>
      <c r="H30" s="19">
        <f t="shared" si="1"/>
        <v>0</v>
      </c>
      <c r="I30" s="4">
        <f t="shared" si="2"/>
        <v>0</v>
      </c>
    </row>
    <row r="31" spans="1:9" x14ac:dyDescent="0.25">
      <c r="A31" t="s">
        <v>19</v>
      </c>
      <c r="B31" t="s">
        <v>76</v>
      </c>
      <c r="C31" s="10"/>
      <c r="D31" s="10"/>
      <c r="E31" s="10"/>
      <c r="F31" s="10"/>
      <c r="G31" s="10">
        <f t="shared" si="0"/>
        <v>0</v>
      </c>
      <c r="H31" s="19">
        <f t="shared" si="1"/>
        <v>0</v>
      </c>
      <c r="I31" s="4">
        <f t="shared" si="2"/>
        <v>0</v>
      </c>
    </row>
    <row r="32" spans="1:9" x14ac:dyDescent="0.25">
      <c r="A32" t="s">
        <v>19</v>
      </c>
      <c r="B32" t="s">
        <v>31</v>
      </c>
      <c r="C32" s="10"/>
      <c r="D32" s="10"/>
      <c r="E32" s="10"/>
      <c r="F32" s="10"/>
      <c r="G32" s="10">
        <f t="shared" si="0"/>
        <v>0</v>
      </c>
      <c r="H32" s="19">
        <f t="shared" si="1"/>
        <v>0</v>
      </c>
      <c r="I32" s="4">
        <f t="shared" si="2"/>
        <v>0</v>
      </c>
    </row>
    <row r="33" spans="1:9" x14ac:dyDescent="0.25">
      <c r="A33" t="s">
        <v>19</v>
      </c>
      <c r="B33" t="s">
        <v>30</v>
      </c>
      <c r="C33" s="10"/>
      <c r="D33" s="10"/>
      <c r="E33" s="10"/>
      <c r="F33" s="10"/>
      <c r="G33" s="10">
        <f t="shared" si="0"/>
        <v>0</v>
      </c>
      <c r="H33" s="19">
        <f t="shared" si="1"/>
        <v>0</v>
      </c>
      <c r="I33" s="4">
        <f t="shared" si="2"/>
        <v>0</v>
      </c>
    </row>
    <row r="34" spans="1:9" x14ac:dyDescent="0.25">
      <c r="A34" t="s">
        <v>43</v>
      </c>
      <c r="B34" t="s">
        <v>44</v>
      </c>
      <c r="C34" s="10">
        <v>37200</v>
      </c>
      <c r="D34" s="10"/>
      <c r="E34" s="10"/>
      <c r="F34" s="10"/>
      <c r="G34" s="10">
        <f t="shared" si="0"/>
        <v>37200</v>
      </c>
      <c r="H34" s="19">
        <f t="shared" si="1"/>
        <v>22.33</v>
      </c>
      <c r="I34" s="4">
        <f t="shared" si="2"/>
        <v>0.153</v>
      </c>
    </row>
    <row r="35" spans="1:9" x14ac:dyDescent="0.25">
      <c r="A35" t="s">
        <v>43</v>
      </c>
      <c r="B35" t="s">
        <v>45</v>
      </c>
      <c r="C35" s="10"/>
      <c r="D35" s="10"/>
      <c r="E35" s="10">
        <v>19300</v>
      </c>
      <c r="F35" s="10"/>
      <c r="G35" s="10">
        <f t="shared" si="0"/>
        <v>19300</v>
      </c>
      <c r="H35" s="19">
        <f t="shared" si="1"/>
        <v>11.58</v>
      </c>
      <c r="I35" s="4">
        <f t="shared" si="2"/>
        <v>7.9000000000000001E-2</v>
      </c>
    </row>
    <row r="36" spans="1:9" x14ac:dyDescent="0.25">
      <c r="A36" t="s">
        <v>43</v>
      </c>
      <c r="B36" t="s">
        <v>46</v>
      </c>
      <c r="C36" s="10"/>
      <c r="D36" s="10"/>
      <c r="E36" s="10"/>
      <c r="F36" s="10"/>
      <c r="G36" s="10">
        <f t="shared" si="0"/>
        <v>0</v>
      </c>
      <c r="H36" s="19">
        <f t="shared" si="1"/>
        <v>0</v>
      </c>
      <c r="I36" s="4">
        <f t="shared" si="2"/>
        <v>0</v>
      </c>
    </row>
    <row r="37" spans="1:9" x14ac:dyDescent="0.25">
      <c r="A37" t="s">
        <v>15</v>
      </c>
      <c r="B37" t="s">
        <v>18</v>
      </c>
      <c r="C37" s="10"/>
      <c r="D37" s="10"/>
      <c r="E37" s="10"/>
      <c r="F37" s="10"/>
      <c r="G37" s="10">
        <f t="shared" si="0"/>
        <v>0</v>
      </c>
      <c r="H37" s="19">
        <f t="shared" si="1"/>
        <v>0</v>
      </c>
      <c r="I37" s="4">
        <f t="shared" si="2"/>
        <v>0</v>
      </c>
    </row>
    <row r="38" spans="1:9" x14ac:dyDescent="0.25">
      <c r="A38" s="3" t="s">
        <v>253</v>
      </c>
      <c r="B38" s="3"/>
      <c r="C38" s="8">
        <f t="shared" ref="C38:H38" si="3">SUM(C8:C37)</f>
        <v>187210</v>
      </c>
      <c r="D38" s="8">
        <f t="shared" si="3"/>
        <v>258</v>
      </c>
      <c r="E38" s="8">
        <f t="shared" si="3"/>
        <v>55465</v>
      </c>
      <c r="F38" s="8">
        <f t="shared" si="3"/>
        <v>140</v>
      </c>
      <c r="G38" s="8">
        <f t="shared" si="3"/>
        <v>243073</v>
      </c>
      <c r="H38" s="20">
        <f t="shared" si="3"/>
        <v>145.9</v>
      </c>
      <c r="I38" s="4"/>
    </row>
    <row r="39" spans="1:9" x14ac:dyDescent="0.25">
      <c r="A39" s="3" t="s">
        <v>14</v>
      </c>
      <c r="B39" s="3"/>
      <c r="C39" s="12">
        <f>ROUND(C38/G38,2)</f>
        <v>0.77</v>
      </c>
      <c r="D39" s="12">
        <f>ROUND(D38/G38,2)</f>
        <v>0</v>
      </c>
      <c r="E39" s="12">
        <f>ROUND(E38/G38,2)</f>
        <v>0.23</v>
      </c>
      <c r="F39" s="12">
        <f>ROUND(F38/G38,2)</f>
        <v>0</v>
      </c>
      <c r="G39" s="7"/>
      <c r="H39" s="7"/>
    </row>
    <row r="40" spans="1:9" x14ac:dyDescent="0.25">
      <c r="A40" s="3" t="s">
        <v>47</v>
      </c>
      <c r="B40" s="3"/>
      <c r="C40" s="3"/>
      <c r="D40" s="3"/>
      <c r="E40" s="3"/>
      <c r="F40" s="3"/>
      <c r="G40" s="3"/>
      <c r="H40" s="3"/>
    </row>
    <row r="41" spans="1:9" x14ac:dyDescent="0.25">
      <c r="A41" s="3" t="s">
        <v>48</v>
      </c>
      <c r="B41" s="3"/>
      <c r="C41" s="8">
        <v>150010</v>
      </c>
      <c r="D41" s="8">
        <v>258</v>
      </c>
      <c r="E41" s="8">
        <v>36165</v>
      </c>
      <c r="F41" s="8">
        <v>140</v>
      </c>
      <c r="G41" s="8">
        <f>SUM(C41:F41)</f>
        <v>186573</v>
      </c>
      <c r="H41" s="20">
        <f>ROUND(G41/1666,2)</f>
        <v>111.99</v>
      </c>
    </row>
    <row r="42" spans="1:9" x14ac:dyDescent="0.25">
      <c r="A42" s="3" t="s">
        <v>49</v>
      </c>
      <c r="B42" s="3"/>
      <c r="C42" s="8">
        <v>37200</v>
      </c>
      <c r="D42" s="8">
        <v>0</v>
      </c>
      <c r="E42" s="8">
        <v>19300</v>
      </c>
      <c r="F42" s="8">
        <v>0</v>
      </c>
      <c r="G42" s="8">
        <f>SUM(C42:F42)</f>
        <v>56500</v>
      </c>
      <c r="H42" s="20">
        <f>ROUND(G42/1666,2)</f>
        <v>33.909999999999997</v>
      </c>
    </row>
    <row r="43" spans="1:9" x14ac:dyDescent="0.25">
      <c r="A43" s="3" t="s">
        <v>50</v>
      </c>
      <c r="B43" s="3"/>
      <c r="C43" s="8">
        <v>0</v>
      </c>
      <c r="D43" s="8">
        <v>0</v>
      </c>
      <c r="E43" s="8">
        <v>0</v>
      </c>
      <c r="F43" s="8">
        <v>0</v>
      </c>
      <c r="G43" s="8">
        <f>SUM(C43:F43)</f>
        <v>0</v>
      </c>
      <c r="H43" s="20">
        <f>ROUND(G43/1666,2)</f>
        <v>0</v>
      </c>
    </row>
    <row r="44" spans="1:9" x14ac:dyDescent="0.25">
      <c r="A44" s="3"/>
      <c r="B44" s="3"/>
      <c r="C44" s="3"/>
      <c r="D44" s="3"/>
      <c r="E44" s="3"/>
      <c r="F44" s="3"/>
      <c r="G44" s="3"/>
      <c r="H44" s="3"/>
    </row>
    <row r="45" spans="1:9" x14ac:dyDescent="0.25">
      <c r="A45" s="3"/>
      <c r="B45" s="3"/>
      <c r="C45" s="3" t="s">
        <v>2</v>
      </c>
      <c r="D45" s="3">
        <v>2022</v>
      </c>
      <c r="E45" s="3" t="s">
        <v>51</v>
      </c>
      <c r="F45" s="3"/>
      <c r="G45" s="3"/>
      <c r="H45" s="3"/>
    </row>
    <row r="46" spans="1:9" x14ac:dyDescent="0.25">
      <c r="A46" s="3" t="s">
        <v>52</v>
      </c>
      <c r="B46" s="3"/>
      <c r="C46" s="12">
        <v>0.8407</v>
      </c>
      <c r="D46" s="12">
        <v>0.83420000000000005</v>
      </c>
      <c r="E46" s="12">
        <v>0.77659999999999996</v>
      </c>
      <c r="F46" s="3"/>
      <c r="G46" s="3"/>
      <c r="H46" s="3"/>
    </row>
    <row r="47" spans="1:9" x14ac:dyDescent="0.25">
      <c r="A47" s="3" t="s">
        <v>53</v>
      </c>
      <c r="B47" s="3"/>
      <c r="C47" s="12">
        <v>0.82609999999999995</v>
      </c>
      <c r="D47" s="12">
        <v>0.82</v>
      </c>
      <c r="E47" s="12">
        <v>0.75900000000000001</v>
      </c>
      <c r="F47" s="3"/>
      <c r="G47" s="3"/>
      <c r="H47" s="3"/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 t="s">
        <v>256</v>
      </c>
      <c r="B49" s="3"/>
      <c r="C49" s="3" t="s">
        <v>2</v>
      </c>
      <c r="D49" s="3" t="s">
        <v>220</v>
      </c>
      <c r="E49" s="3" t="s">
        <v>55</v>
      </c>
      <c r="F49" s="3" t="s">
        <v>254</v>
      </c>
      <c r="G49" s="3"/>
      <c r="H49" s="3"/>
    </row>
    <row r="50" spans="1:8" x14ac:dyDescent="0.25">
      <c r="A50" s="3" t="s">
        <v>56</v>
      </c>
      <c r="B50" s="3"/>
      <c r="C50" s="3"/>
      <c r="D50" s="3">
        <v>36.08</v>
      </c>
      <c r="E50" s="3">
        <v>81.5</v>
      </c>
      <c r="F50" s="3">
        <v>50.61</v>
      </c>
      <c r="G50" s="3"/>
      <c r="H50" s="3"/>
    </row>
    <row r="51" spans="1:8" x14ac:dyDescent="0.25">
      <c r="A51" s="3" t="s">
        <v>57</v>
      </c>
      <c r="B51" s="3"/>
      <c r="C51" s="3"/>
      <c r="D51" s="3">
        <v>56.39</v>
      </c>
      <c r="E51" s="3">
        <v>58.24</v>
      </c>
      <c r="F51" s="3">
        <v>57.37</v>
      </c>
      <c r="G51" s="3"/>
      <c r="H51" s="3"/>
    </row>
    <row r="52" spans="1:8" x14ac:dyDescent="0.25">
      <c r="A52" s="3" t="s">
        <v>58</v>
      </c>
      <c r="B52" s="3"/>
      <c r="C52" s="3"/>
      <c r="D52" s="3">
        <v>214.2</v>
      </c>
      <c r="E52" s="3">
        <v>261.52999999999997</v>
      </c>
      <c r="F52" s="3">
        <v>249.57</v>
      </c>
      <c r="G52" s="3"/>
      <c r="H52" s="3"/>
    </row>
    <row r="53" spans="1:8" x14ac:dyDescent="0.25">
      <c r="A53" s="3" t="s">
        <v>59</v>
      </c>
      <c r="B53" s="3"/>
      <c r="C53" s="3"/>
      <c r="D53" s="3">
        <v>53.65</v>
      </c>
      <c r="E53" s="3">
        <v>103.11</v>
      </c>
      <c r="F53" s="3">
        <v>71.400000000000006</v>
      </c>
      <c r="G53" s="3"/>
      <c r="H53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I56"/>
  <sheetViews>
    <sheetView topLeftCell="A30" workbookViewId="0">
      <selection activeCell="G53" sqref="G53:G56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7109375" bestFit="1" customWidth="1"/>
    <col min="4" max="4" width="22.7109375" bestFit="1" customWidth="1"/>
    <col min="5" max="5" width="13.85546875" bestFit="1" customWidth="1"/>
    <col min="6" max="6" width="9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221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1314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33</v>
      </c>
      <c r="G9" s="10">
        <f t="shared" ref="G9:G40" si="0">SUM(C9:F9)</f>
        <v>33</v>
      </c>
      <c r="H9" s="19">
        <f t="shared" ref="H9:H40" si="1">ROUND(G9/1314,2)</f>
        <v>0.03</v>
      </c>
      <c r="I9" s="4">
        <f t="shared" ref="I9:I40" si="2">ROUND(G9/$G$41,3)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196</v>
      </c>
      <c r="G10" s="10">
        <f t="shared" si="0"/>
        <v>196</v>
      </c>
      <c r="H10" s="19">
        <f t="shared" si="1"/>
        <v>0.15</v>
      </c>
      <c r="I10" s="4">
        <f t="shared" si="2"/>
        <v>0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 s="19">
        <f t="shared" si="1"/>
        <v>0</v>
      </c>
      <c r="I11" s="4">
        <f t="shared" si="2"/>
        <v>0</v>
      </c>
    </row>
    <row r="12" spans="1:9" x14ac:dyDescent="0.25">
      <c r="A12" t="s">
        <v>19</v>
      </c>
      <c r="B12" t="s">
        <v>65</v>
      </c>
      <c r="C12" s="10"/>
      <c r="D12" s="10">
        <v>3160</v>
      </c>
      <c r="E12" s="10"/>
      <c r="F12" s="10"/>
      <c r="G12" s="10">
        <f t="shared" si="0"/>
        <v>3160</v>
      </c>
      <c r="H12" s="19">
        <f t="shared" si="1"/>
        <v>2.4</v>
      </c>
      <c r="I12" s="4">
        <f t="shared" si="2"/>
        <v>7.0000000000000001E-3</v>
      </c>
    </row>
    <row r="13" spans="1:9" x14ac:dyDescent="0.25">
      <c r="A13" t="s">
        <v>19</v>
      </c>
      <c r="B13" t="s">
        <v>20</v>
      </c>
      <c r="C13" s="10"/>
      <c r="D13" s="10">
        <v>42190</v>
      </c>
      <c r="E13" s="10"/>
      <c r="F13" s="10"/>
      <c r="G13" s="10">
        <f t="shared" si="0"/>
        <v>42190</v>
      </c>
      <c r="H13" s="19">
        <f t="shared" si="1"/>
        <v>32.11</v>
      </c>
      <c r="I13" s="4">
        <f t="shared" si="2"/>
        <v>9.9000000000000005E-2</v>
      </c>
    </row>
    <row r="14" spans="1:9" x14ac:dyDescent="0.25">
      <c r="A14" t="s">
        <v>19</v>
      </c>
      <c r="B14" t="s">
        <v>21</v>
      </c>
      <c r="C14" s="10"/>
      <c r="D14" s="10">
        <v>62800</v>
      </c>
      <c r="E14" s="10"/>
      <c r="F14" s="10"/>
      <c r="G14" s="10">
        <f t="shared" si="0"/>
        <v>62800</v>
      </c>
      <c r="H14" s="19">
        <f t="shared" si="1"/>
        <v>47.79</v>
      </c>
      <c r="I14" s="4">
        <f t="shared" si="2"/>
        <v>0.14799999999999999</v>
      </c>
    </row>
    <row r="15" spans="1:9" x14ac:dyDescent="0.25">
      <c r="A15" t="s">
        <v>19</v>
      </c>
      <c r="B15" t="s">
        <v>22</v>
      </c>
      <c r="C15" s="10"/>
      <c r="D15" s="10"/>
      <c r="E15" s="10">
        <v>2700</v>
      </c>
      <c r="F15" s="10"/>
      <c r="G15" s="10">
        <f t="shared" si="0"/>
        <v>2700</v>
      </c>
      <c r="H15" s="19">
        <f t="shared" si="1"/>
        <v>2.0499999999999998</v>
      </c>
      <c r="I15" s="4">
        <f t="shared" si="2"/>
        <v>6.0000000000000001E-3</v>
      </c>
    </row>
    <row r="16" spans="1:9" x14ac:dyDescent="0.25">
      <c r="A16" t="s">
        <v>19</v>
      </c>
      <c r="B16" t="s">
        <v>177</v>
      </c>
      <c r="C16" s="10"/>
      <c r="D16" s="10"/>
      <c r="E16" s="10"/>
      <c r="F16" s="10">
        <v>77</v>
      </c>
      <c r="G16" s="10">
        <f t="shared" si="0"/>
        <v>77</v>
      </c>
      <c r="H16" s="19">
        <f t="shared" si="1"/>
        <v>0.06</v>
      </c>
      <c r="I16" s="4">
        <f t="shared" si="2"/>
        <v>0</v>
      </c>
    </row>
    <row r="17" spans="1:9" x14ac:dyDescent="0.25">
      <c r="A17" t="s">
        <v>19</v>
      </c>
      <c r="B17" t="s">
        <v>77</v>
      </c>
      <c r="C17" s="10"/>
      <c r="D17" s="10"/>
      <c r="E17" s="10"/>
      <c r="F17" s="10">
        <v>127</v>
      </c>
      <c r="G17" s="10">
        <f t="shared" si="0"/>
        <v>127</v>
      </c>
      <c r="H17" s="19">
        <f t="shared" si="1"/>
        <v>0.1</v>
      </c>
      <c r="I17" s="4">
        <f t="shared" si="2"/>
        <v>0</v>
      </c>
    </row>
    <row r="18" spans="1:9" x14ac:dyDescent="0.25">
      <c r="A18" t="s">
        <v>19</v>
      </c>
      <c r="B18" t="s">
        <v>23</v>
      </c>
      <c r="C18" s="10"/>
      <c r="D18" s="10"/>
      <c r="E18" s="10">
        <v>8770</v>
      </c>
      <c r="F18" s="10"/>
      <c r="G18" s="10">
        <f t="shared" si="0"/>
        <v>8770</v>
      </c>
      <c r="H18" s="19">
        <f t="shared" si="1"/>
        <v>6.67</v>
      </c>
      <c r="I18" s="4">
        <f t="shared" si="2"/>
        <v>2.1000000000000001E-2</v>
      </c>
    </row>
    <row r="19" spans="1:9" x14ac:dyDescent="0.25">
      <c r="A19" t="s">
        <v>19</v>
      </c>
      <c r="B19" t="s">
        <v>24</v>
      </c>
      <c r="C19" s="10"/>
      <c r="D19" s="10">
        <v>58950</v>
      </c>
      <c r="E19" s="10"/>
      <c r="F19" s="10"/>
      <c r="G19" s="10">
        <f t="shared" si="0"/>
        <v>58950</v>
      </c>
      <c r="H19" s="19">
        <f t="shared" si="1"/>
        <v>44.86</v>
      </c>
      <c r="I19" s="4">
        <f t="shared" si="2"/>
        <v>0.13900000000000001</v>
      </c>
    </row>
    <row r="20" spans="1:9" x14ac:dyDescent="0.25">
      <c r="A20" t="s">
        <v>19</v>
      </c>
      <c r="B20" t="s">
        <v>25</v>
      </c>
      <c r="C20" s="10"/>
      <c r="D20" s="10">
        <v>55920</v>
      </c>
      <c r="E20" s="10"/>
      <c r="F20" s="10"/>
      <c r="G20" s="10">
        <f t="shared" si="0"/>
        <v>55920</v>
      </c>
      <c r="H20" s="19">
        <f t="shared" si="1"/>
        <v>42.56</v>
      </c>
      <c r="I20" s="4">
        <f t="shared" si="2"/>
        <v>0.13200000000000001</v>
      </c>
    </row>
    <row r="21" spans="1:9" x14ac:dyDescent="0.25">
      <c r="A21" t="s">
        <v>19</v>
      </c>
      <c r="B21" t="s">
        <v>30</v>
      </c>
      <c r="C21" s="10"/>
      <c r="D21" s="10"/>
      <c r="E21" s="10">
        <v>90</v>
      </c>
      <c r="F21" s="10"/>
      <c r="G21" s="10">
        <f t="shared" si="0"/>
        <v>90</v>
      </c>
      <c r="H21" s="19">
        <f t="shared" si="1"/>
        <v>7.0000000000000007E-2</v>
      </c>
      <c r="I21" s="4">
        <f t="shared" si="2"/>
        <v>0</v>
      </c>
    </row>
    <row r="22" spans="1:9" x14ac:dyDescent="0.25">
      <c r="A22" t="s">
        <v>19</v>
      </c>
      <c r="B22" t="s">
        <v>42</v>
      </c>
      <c r="C22" s="10"/>
      <c r="D22" s="10">
        <v>255</v>
      </c>
      <c r="E22" s="10"/>
      <c r="F22" s="10"/>
      <c r="G22" s="10">
        <f t="shared" si="0"/>
        <v>255</v>
      </c>
      <c r="H22" s="19">
        <f t="shared" si="1"/>
        <v>0.19</v>
      </c>
      <c r="I22" s="4">
        <f t="shared" si="2"/>
        <v>1E-3</v>
      </c>
    </row>
    <row r="23" spans="1:9" x14ac:dyDescent="0.25">
      <c r="A23" t="s">
        <v>19</v>
      </c>
      <c r="B23" t="s">
        <v>33</v>
      </c>
      <c r="C23" s="10"/>
      <c r="D23" s="10"/>
      <c r="E23" s="10">
        <v>491</v>
      </c>
      <c r="F23" s="10"/>
      <c r="G23" s="10">
        <f t="shared" si="0"/>
        <v>491</v>
      </c>
      <c r="H23" s="19">
        <f t="shared" si="1"/>
        <v>0.37</v>
      </c>
      <c r="I23" s="4">
        <f t="shared" si="2"/>
        <v>1E-3</v>
      </c>
    </row>
    <row r="24" spans="1:9" x14ac:dyDescent="0.25">
      <c r="A24" t="s">
        <v>19</v>
      </c>
      <c r="B24" t="s">
        <v>34</v>
      </c>
      <c r="C24" s="10"/>
      <c r="D24" s="10"/>
      <c r="E24" s="10">
        <v>1450</v>
      </c>
      <c r="F24" s="10"/>
      <c r="G24" s="10">
        <f t="shared" si="0"/>
        <v>1450</v>
      </c>
      <c r="H24" s="19">
        <f t="shared" si="1"/>
        <v>1.1000000000000001</v>
      </c>
      <c r="I24" s="4">
        <f t="shared" si="2"/>
        <v>3.0000000000000001E-3</v>
      </c>
    </row>
    <row r="25" spans="1:9" x14ac:dyDescent="0.25">
      <c r="A25" t="s">
        <v>19</v>
      </c>
      <c r="B25" t="s">
        <v>40</v>
      </c>
      <c r="C25" s="10"/>
      <c r="D25" s="10"/>
      <c r="E25" s="10">
        <v>1092</v>
      </c>
      <c r="F25" s="10"/>
      <c r="G25" s="10">
        <f t="shared" si="0"/>
        <v>1092</v>
      </c>
      <c r="H25" s="19">
        <f t="shared" si="1"/>
        <v>0.83</v>
      </c>
      <c r="I25" s="4">
        <f t="shared" si="2"/>
        <v>3.0000000000000001E-3</v>
      </c>
    </row>
    <row r="26" spans="1:9" x14ac:dyDescent="0.25">
      <c r="A26" t="s">
        <v>19</v>
      </c>
      <c r="B26" t="s">
        <v>36</v>
      </c>
      <c r="C26" s="10"/>
      <c r="D26" s="10"/>
      <c r="E26" s="10">
        <v>5610</v>
      </c>
      <c r="F26" s="10">
        <v>10070</v>
      </c>
      <c r="G26" s="10">
        <f t="shared" si="0"/>
        <v>15680</v>
      </c>
      <c r="H26" s="19">
        <f t="shared" si="1"/>
        <v>11.93</v>
      </c>
      <c r="I26" s="4">
        <f t="shared" si="2"/>
        <v>3.6999999999999998E-2</v>
      </c>
    </row>
    <row r="27" spans="1:9" x14ac:dyDescent="0.25">
      <c r="A27" t="s">
        <v>19</v>
      </c>
      <c r="B27" t="s">
        <v>38</v>
      </c>
      <c r="C27" s="10"/>
      <c r="D27" s="10"/>
      <c r="E27" s="10">
        <v>3570</v>
      </c>
      <c r="F27" s="10"/>
      <c r="G27" s="10">
        <f t="shared" si="0"/>
        <v>3570</v>
      </c>
      <c r="H27" s="19">
        <f t="shared" si="1"/>
        <v>2.72</v>
      </c>
      <c r="I27" s="4">
        <f t="shared" si="2"/>
        <v>8.0000000000000002E-3</v>
      </c>
    </row>
    <row r="28" spans="1:9" x14ac:dyDescent="0.25">
      <c r="A28" t="s">
        <v>19</v>
      </c>
      <c r="B28" t="s">
        <v>35</v>
      </c>
      <c r="C28" s="10"/>
      <c r="D28" s="10"/>
      <c r="E28" s="10"/>
      <c r="F28" s="10"/>
      <c r="G28" s="10">
        <f t="shared" si="0"/>
        <v>0</v>
      </c>
      <c r="H28" s="19">
        <f t="shared" si="1"/>
        <v>0</v>
      </c>
      <c r="I28" s="4">
        <f t="shared" si="2"/>
        <v>0</v>
      </c>
    </row>
    <row r="29" spans="1:9" x14ac:dyDescent="0.25">
      <c r="A29" t="s">
        <v>19</v>
      </c>
      <c r="B29" t="s">
        <v>37</v>
      </c>
      <c r="C29" s="10"/>
      <c r="D29" s="10"/>
      <c r="E29" s="10"/>
      <c r="F29" s="10"/>
      <c r="G29" s="10">
        <f t="shared" si="0"/>
        <v>0</v>
      </c>
      <c r="H29" s="19">
        <f t="shared" si="1"/>
        <v>0</v>
      </c>
      <c r="I29" s="4">
        <f t="shared" si="2"/>
        <v>0</v>
      </c>
    </row>
    <row r="30" spans="1:9" x14ac:dyDescent="0.25">
      <c r="A30" t="s">
        <v>19</v>
      </c>
      <c r="B30" t="s">
        <v>39</v>
      </c>
      <c r="C30" s="10"/>
      <c r="D30" s="10"/>
      <c r="E30" s="10"/>
      <c r="F30" s="10"/>
      <c r="G30" s="10">
        <f t="shared" si="0"/>
        <v>0</v>
      </c>
      <c r="H30" s="19">
        <f t="shared" si="1"/>
        <v>0</v>
      </c>
      <c r="I30" s="4">
        <f t="shared" si="2"/>
        <v>0</v>
      </c>
    </row>
    <row r="31" spans="1:9" x14ac:dyDescent="0.25">
      <c r="A31" t="s">
        <v>19</v>
      </c>
      <c r="B31" t="s">
        <v>29</v>
      </c>
      <c r="C31" s="10"/>
      <c r="D31" s="10"/>
      <c r="E31" s="10"/>
      <c r="F31" s="10"/>
      <c r="G31" s="10">
        <f t="shared" si="0"/>
        <v>0</v>
      </c>
      <c r="H31" s="19">
        <f t="shared" si="1"/>
        <v>0</v>
      </c>
      <c r="I31" s="4">
        <f t="shared" si="2"/>
        <v>0</v>
      </c>
    </row>
    <row r="32" spans="1:9" x14ac:dyDescent="0.25">
      <c r="A32" t="s">
        <v>19</v>
      </c>
      <c r="B32" t="s">
        <v>66</v>
      </c>
      <c r="C32" s="10"/>
      <c r="D32" s="10"/>
      <c r="E32" s="10"/>
      <c r="F32" s="10"/>
      <c r="G32" s="10">
        <f t="shared" si="0"/>
        <v>0</v>
      </c>
      <c r="H32" s="19">
        <f t="shared" si="1"/>
        <v>0</v>
      </c>
      <c r="I32" s="4">
        <f t="shared" si="2"/>
        <v>0</v>
      </c>
    </row>
    <row r="33" spans="1:9" x14ac:dyDescent="0.25">
      <c r="A33" t="s">
        <v>19</v>
      </c>
      <c r="B33" t="s">
        <v>28</v>
      </c>
      <c r="C33" s="10"/>
      <c r="D33" s="10"/>
      <c r="E33" s="10"/>
      <c r="F33" s="10"/>
      <c r="G33" s="10">
        <f t="shared" si="0"/>
        <v>0</v>
      </c>
      <c r="H33" s="19">
        <f t="shared" si="1"/>
        <v>0</v>
      </c>
      <c r="I33" s="4">
        <f t="shared" si="2"/>
        <v>0</v>
      </c>
    </row>
    <row r="34" spans="1:9" x14ac:dyDescent="0.25">
      <c r="A34" t="s">
        <v>19</v>
      </c>
      <c r="B34" t="s">
        <v>67</v>
      </c>
      <c r="C34" s="10"/>
      <c r="D34" s="10"/>
      <c r="E34" s="10"/>
      <c r="F34" s="10"/>
      <c r="G34" s="10">
        <f t="shared" si="0"/>
        <v>0</v>
      </c>
      <c r="H34" s="19">
        <f t="shared" si="1"/>
        <v>0</v>
      </c>
      <c r="I34" s="4">
        <f t="shared" si="2"/>
        <v>0</v>
      </c>
    </row>
    <row r="35" spans="1:9" x14ac:dyDescent="0.25">
      <c r="A35" t="s">
        <v>19</v>
      </c>
      <c r="B35" t="s">
        <v>41</v>
      </c>
      <c r="C35" s="10"/>
      <c r="D35" s="10"/>
      <c r="E35" s="10"/>
      <c r="F35" s="10"/>
      <c r="G35" s="10">
        <f t="shared" si="0"/>
        <v>0</v>
      </c>
      <c r="H35" s="19">
        <f t="shared" si="1"/>
        <v>0</v>
      </c>
      <c r="I35" s="4">
        <f t="shared" si="2"/>
        <v>0</v>
      </c>
    </row>
    <row r="36" spans="1:9" x14ac:dyDescent="0.25">
      <c r="A36" t="s">
        <v>19</v>
      </c>
      <c r="B36" t="s">
        <v>31</v>
      </c>
      <c r="C36" s="10"/>
      <c r="D36" s="10"/>
      <c r="E36" s="10"/>
      <c r="F36" s="10"/>
      <c r="G36" s="10">
        <f t="shared" si="0"/>
        <v>0</v>
      </c>
      <c r="H36" s="19">
        <f t="shared" si="1"/>
        <v>0</v>
      </c>
      <c r="I36" s="4">
        <f t="shared" si="2"/>
        <v>0</v>
      </c>
    </row>
    <row r="37" spans="1:9" x14ac:dyDescent="0.25">
      <c r="A37" t="s">
        <v>19</v>
      </c>
      <c r="B37" t="s">
        <v>32</v>
      </c>
      <c r="C37" s="10"/>
      <c r="D37" s="10"/>
      <c r="E37" s="10"/>
      <c r="F37" s="10"/>
      <c r="G37" s="10">
        <f t="shared" si="0"/>
        <v>0</v>
      </c>
      <c r="H37" s="19">
        <f t="shared" si="1"/>
        <v>0</v>
      </c>
      <c r="I37" s="4">
        <f t="shared" si="2"/>
        <v>0</v>
      </c>
    </row>
    <row r="38" spans="1:9" x14ac:dyDescent="0.25">
      <c r="A38" t="s">
        <v>43</v>
      </c>
      <c r="B38" t="s">
        <v>44</v>
      </c>
      <c r="C38" s="10"/>
      <c r="D38" s="10">
        <v>154690</v>
      </c>
      <c r="E38" s="10"/>
      <c r="F38" s="10"/>
      <c r="G38" s="10">
        <f t="shared" si="0"/>
        <v>154690</v>
      </c>
      <c r="H38" s="19">
        <f t="shared" si="1"/>
        <v>117.72</v>
      </c>
      <c r="I38" s="4">
        <f t="shared" si="2"/>
        <v>0.36499999999999999</v>
      </c>
    </row>
    <row r="39" spans="1:9" x14ac:dyDescent="0.25">
      <c r="A39" t="s">
        <v>43</v>
      </c>
      <c r="B39" t="s">
        <v>45</v>
      </c>
      <c r="C39" s="10"/>
      <c r="D39" s="10"/>
      <c r="E39" s="10">
        <v>5960</v>
      </c>
      <c r="F39" s="10">
        <v>6060</v>
      </c>
      <c r="G39" s="10">
        <f t="shared" si="0"/>
        <v>12020</v>
      </c>
      <c r="H39" s="19">
        <f t="shared" si="1"/>
        <v>9.15</v>
      </c>
      <c r="I39" s="4">
        <f t="shared" si="2"/>
        <v>2.8000000000000001E-2</v>
      </c>
    </row>
    <row r="40" spans="1:9" x14ac:dyDescent="0.25">
      <c r="A40" t="s">
        <v>43</v>
      </c>
      <c r="B40" t="s">
        <v>46</v>
      </c>
      <c r="C40" s="10"/>
      <c r="D40" s="10"/>
      <c r="E40" s="10"/>
      <c r="F40" s="10"/>
      <c r="G40" s="10">
        <f t="shared" si="0"/>
        <v>0</v>
      </c>
      <c r="H40" s="19">
        <f t="shared" si="1"/>
        <v>0</v>
      </c>
      <c r="I40" s="4">
        <f t="shared" si="2"/>
        <v>0</v>
      </c>
    </row>
    <row r="41" spans="1:9" x14ac:dyDescent="0.25">
      <c r="A41" s="3" t="s">
        <v>253</v>
      </c>
      <c r="B41" s="3"/>
      <c r="C41" s="8">
        <f t="shared" ref="C41:H41" si="3">SUM(C8:C40)</f>
        <v>0</v>
      </c>
      <c r="D41" s="8">
        <f t="shared" si="3"/>
        <v>377965</v>
      </c>
      <c r="E41" s="8">
        <f t="shared" si="3"/>
        <v>29733</v>
      </c>
      <c r="F41" s="8">
        <f t="shared" si="3"/>
        <v>16563</v>
      </c>
      <c r="G41" s="8">
        <f t="shared" si="3"/>
        <v>424261</v>
      </c>
      <c r="H41" s="20">
        <f t="shared" si="3"/>
        <v>322.85999999999996</v>
      </c>
    </row>
    <row r="42" spans="1:9" x14ac:dyDescent="0.25">
      <c r="A42" s="3" t="s">
        <v>14</v>
      </c>
      <c r="B42" s="3"/>
      <c r="C42" s="7">
        <f>ROUND(C41/G41,2)</f>
        <v>0</v>
      </c>
      <c r="D42" s="7">
        <f>ROUND(D41/G41,2)</f>
        <v>0.89</v>
      </c>
      <c r="E42" s="7">
        <f>ROUND(E41/G41,2)</f>
        <v>7.0000000000000007E-2</v>
      </c>
      <c r="F42" s="7">
        <f>ROUND(F41/G41,2)</f>
        <v>0.04</v>
      </c>
      <c r="G42" s="7"/>
      <c r="H42" s="3"/>
    </row>
    <row r="43" spans="1:9" x14ac:dyDescent="0.25">
      <c r="A43" s="3" t="s">
        <v>47</v>
      </c>
      <c r="B43" s="3"/>
      <c r="C43" s="3"/>
      <c r="D43" s="3"/>
      <c r="E43" s="3"/>
      <c r="F43" s="3"/>
      <c r="G43" s="3"/>
      <c r="H43" s="3"/>
    </row>
    <row r="44" spans="1:9" x14ac:dyDescent="0.25">
      <c r="A44" s="3" t="s">
        <v>48</v>
      </c>
      <c r="B44" s="3"/>
      <c r="C44" s="8">
        <v>0</v>
      </c>
      <c r="D44" s="8">
        <v>223275</v>
      </c>
      <c r="E44" s="8">
        <v>23773</v>
      </c>
      <c r="F44" s="8">
        <v>10274</v>
      </c>
      <c r="G44" s="8">
        <f>SUM(C44:F44)</f>
        <v>257322</v>
      </c>
      <c r="H44" s="20">
        <f>ROUND(G44/1314,2)</f>
        <v>195.83</v>
      </c>
    </row>
    <row r="45" spans="1:9" x14ac:dyDescent="0.25">
      <c r="A45" s="3" t="s">
        <v>49</v>
      </c>
      <c r="B45" s="3"/>
      <c r="C45" s="8">
        <v>0</v>
      </c>
      <c r="D45" s="8">
        <v>154690</v>
      </c>
      <c r="E45" s="8">
        <v>5960</v>
      </c>
      <c r="F45" s="8">
        <v>6060</v>
      </c>
      <c r="G45" s="8">
        <f>SUM(C45:F45)</f>
        <v>166710</v>
      </c>
      <c r="H45" s="20">
        <f>ROUND(G45/1314,2)</f>
        <v>126.87</v>
      </c>
    </row>
    <row r="46" spans="1:9" x14ac:dyDescent="0.25">
      <c r="A46" s="3" t="s">
        <v>50</v>
      </c>
      <c r="B46" s="3"/>
      <c r="C46" s="8">
        <v>0</v>
      </c>
      <c r="D46" s="8">
        <v>0</v>
      </c>
      <c r="E46" s="8">
        <v>0</v>
      </c>
      <c r="F46" s="8">
        <v>229</v>
      </c>
      <c r="G46" s="8">
        <f>SUM(C46:F46)</f>
        <v>229</v>
      </c>
      <c r="H46" s="20">
        <f>ROUND(G46/1314,2)</f>
        <v>0.17</v>
      </c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A48" s="3"/>
      <c r="B48" s="3"/>
      <c r="C48" s="3" t="s">
        <v>2</v>
      </c>
      <c r="D48" s="3">
        <v>2022</v>
      </c>
      <c r="E48" s="3" t="s">
        <v>51</v>
      </c>
      <c r="F48" s="3"/>
      <c r="G48" s="3"/>
      <c r="H48" s="3"/>
    </row>
    <row r="49" spans="1:8" x14ac:dyDescent="0.25">
      <c r="A49" s="3" t="s">
        <v>52</v>
      </c>
      <c r="B49" s="3"/>
      <c r="C49" s="7">
        <v>0.62509999999999999</v>
      </c>
      <c r="D49" s="7">
        <v>0.6663</v>
      </c>
      <c r="E49" s="7">
        <v>0.77659999999999996</v>
      </c>
      <c r="F49" s="3"/>
      <c r="G49" s="3"/>
      <c r="H49" s="3"/>
    </row>
    <row r="50" spans="1:8" x14ac:dyDescent="0.25">
      <c r="A50" s="3" t="s">
        <v>53</v>
      </c>
      <c r="B50" s="3"/>
      <c r="C50" s="7">
        <v>0.62509999999999999</v>
      </c>
      <c r="D50" s="7">
        <v>0.62870000000000004</v>
      </c>
      <c r="E50" s="7">
        <v>0.75900000000000001</v>
      </c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 t="s">
        <v>256</v>
      </c>
      <c r="B52" s="3"/>
      <c r="C52" s="3" t="s">
        <v>2</v>
      </c>
      <c r="D52" s="3" t="s">
        <v>222</v>
      </c>
      <c r="E52" s="3" t="s">
        <v>55</v>
      </c>
      <c r="F52" s="3" t="s">
        <v>254</v>
      </c>
      <c r="G52" s="3"/>
      <c r="H52" s="3"/>
    </row>
    <row r="53" spans="1:8" x14ac:dyDescent="0.25">
      <c r="A53" s="3" t="s">
        <v>56</v>
      </c>
      <c r="B53" s="3"/>
      <c r="C53" s="3"/>
      <c r="D53" s="3">
        <v>212.97</v>
      </c>
      <c r="E53" s="3">
        <v>81.5</v>
      </c>
      <c r="F53" s="3">
        <v>50.61</v>
      </c>
      <c r="G53" s="3"/>
      <c r="H53" s="3"/>
    </row>
    <row r="54" spans="1:8" x14ac:dyDescent="0.25">
      <c r="A54" s="3" t="s">
        <v>57</v>
      </c>
      <c r="B54" s="3"/>
      <c r="C54" s="3"/>
      <c r="D54" s="3">
        <v>81.790000000000006</v>
      </c>
      <c r="E54" s="3">
        <v>58.24</v>
      </c>
      <c r="F54" s="3">
        <v>57.37</v>
      </c>
      <c r="G54" s="3"/>
      <c r="H54" s="3"/>
    </row>
    <row r="55" spans="1:8" x14ac:dyDescent="0.25">
      <c r="A55" s="3" t="s">
        <v>58</v>
      </c>
      <c r="B55" s="3"/>
      <c r="C55" s="3"/>
      <c r="D55" s="3">
        <v>429.94</v>
      </c>
      <c r="E55" s="3">
        <v>261.52999999999997</v>
      </c>
      <c r="F55" s="3">
        <v>249.57</v>
      </c>
      <c r="G55" s="3"/>
      <c r="H55" s="3"/>
    </row>
    <row r="56" spans="1:8" x14ac:dyDescent="0.25">
      <c r="A56" s="3" t="s">
        <v>59</v>
      </c>
      <c r="B56" s="3"/>
      <c r="C56" s="3"/>
      <c r="D56" s="3">
        <v>239.98</v>
      </c>
      <c r="E56" s="3">
        <v>103.11</v>
      </c>
      <c r="F56" s="3">
        <v>71.400000000000006</v>
      </c>
      <c r="G56" s="3"/>
      <c r="H56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I51"/>
  <sheetViews>
    <sheetView topLeftCell="A18" workbookViewId="0">
      <selection activeCell="G48" sqref="G48:G51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5703125" bestFit="1" customWidth="1"/>
    <col min="4" max="4" width="20.28515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223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389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12380</v>
      </c>
      <c r="D9" s="10"/>
      <c r="E9" s="10"/>
      <c r="F9" s="10"/>
      <c r="G9" s="10">
        <f t="shared" ref="G9:G35" si="0">SUM(C9:F9)</f>
        <v>12380</v>
      </c>
      <c r="H9" s="19">
        <f t="shared" ref="H9:H35" si="1">ROUND(G9/389,2)</f>
        <v>31.83</v>
      </c>
      <c r="I9" s="4">
        <f t="shared" ref="I9:I35" si="2">ROUND(G9/$G$36,3)</f>
        <v>9.0999999999999998E-2</v>
      </c>
    </row>
    <row r="10" spans="1:9" x14ac:dyDescent="0.25">
      <c r="A10" t="s">
        <v>19</v>
      </c>
      <c r="B10" t="s">
        <v>21</v>
      </c>
      <c r="C10" s="10">
        <v>19690</v>
      </c>
      <c r="D10" s="10"/>
      <c r="E10" s="10"/>
      <c r="F10" s="10"/>
      <c r="G10" s="10">
        <f t="shared" si="0"/>
        <v>19690</v>
      </c>
      <c r="H10" s="19">
        <f t="shared" si="1"/>
        <v>50.62</v>
      </c>
      <c r="I10" s="4">
        <f t="shared" si="2"/>
        <v>0.14499999999999999</v>
      </c>
    </row>
    <row r="11" spans="1:9" x14ac:dyDescent="0.25">
      <c r="A11" t="s">
        <v>19</v>
      </c>
      <c r="B11" t="s">
        <v>77</v>
      </c>
      <c r="C11" s="10"/>
      <c r="D11" s="10"/>
      <c r="E11" s="10"/>
      <c r="F11" s="10">
        <v>100</v>
      </c>
      <c r="G11" s="10">
        <f t="shared" si="0"/>
        <v>100</v>
      </c>
      <c r="H11" s="19">
        <f t="shared" si="1"/>
        <v>0.26</v>
      </c>
      <c r="I11" s="4">
        <f t="shared" si="2"/>
        <v>1E-3</v>
      </c>
    </row>
    <row r="12" spans="1:9" x14ac:dyDescent="0.25">
      <c r="A12" t="s">
        <v>19</v>
      </c>
      <c r="B12" t="s">
        <v>23</v>
      </c>
      <c r="C12" s="10"/>
      <c r="D12" s="10"/>
      <c r="E12" s="10">
        <v>9050</v>
      </c>
      <c r="F12" s="10"/>
      <c r="G12" s="10">
        <f t="shared" si="0"/>
        <v>9050</v>
      </c>
      <c r="H12" s="19">
        <f t="shared" si="1"/>
        <v>23.26</v>
      </c>
      <c r="I12" s="4">
        <f t="shared" si="2"/>
        <v>6.7000000000000004E-2</v>
      </c>
    </row>
    <row r="13" spans="1:9" x14ac:dyDescent="0.25">
      <c r="A13" t="s">
        <v>19</v>
      </c>
      <c r="B13" t="s">
        <v>24</v>
      </c>
      <c r="C13" s="10">
        <v>14530</v>
      </c>
      <c r="D13" s="10"/>
      <c r="E13" s="10"/>
      <c r="F13" s="10"/>
      <c r="G13" s="10">
        <f t="shared" si="0"/>
        <v>14530</v>
      </c>
      <c r="H13" s="19">
        <f t="shared" si="1"/>
        <v>37.35</v>
      </c>
      <c r="I13" s="4">
        <f t="shared" si="2"/>
        <v>0.107</v>
      </c>
    </row>
    <row r="14" spans="1:9" x14ac:dyDescent="0.25">
      <c r="A14" t="s">
        <v>19</v>
      </c>
      <c r="B14" t="s">
        <v>25</v>
      </c>
      <c r="C14" s="10">
        <v>21130</v>
      </c>
      <c r="D14" s="10"/>
      <c r="E14" s="10"/>
      <c r="F14" s="10"/>
      <c r="G14" s="10">
        <f t="shared" si="0"/>
        <v>21130</v>
      </c>
      <c r="H14" s="19">
        <f t="shared" si="1"/>
        <v>54.32</v>
      </c>
      <c r="I14" s="4">
        <f t="shared" si="2"/>
        <v>0.156</v>
      </c>
    </row>
    <row r="15" spans="1:9" x14ac:dyDescent="0.25">
      <c r="A15" t="s">
        <v>19</v>
      </c>
      <c r="B15" t="s">
        <v>29</v>
      </c>
      <c r="C15" s="10"/>
      <c r="D15" s="10"/>
      <c r="E15" s="10">
        <v>1060</v>
      </c>
      <c r="F15" s="10"/>
      <c r="G15" s="10">
        <f t="shared" si="0"/>
        <v>1060</v>
      </c>
      <c r="H15" s="19">
        <f t="shared" si="1"/>
        <v>2.72</v>
      </c>
      <c r="I15" s="4">
        <f t="shared" si="2"/>
        <v>8.0000000000000002E-3</v>
      </c>
    </row>
    <row r="16" spans="1:9" x14ac:dyDescent="0.25">
      <c r="A16" t="s">
        <v>19</v>
      </c>
      <c r="B16" t="s">
        <v>34</v>
      </c>
      <c r="C16" s="10"/>
      <c r="D16" s="10"/>
      <c r="E16" s="10">
        <v>710</v>
      </c>
      <c r="F16" s="10"/>
      <c r="G16" s="10">
        <f t="shared" si="0"/>
        <v>710</v>
      </c>
      <c r="H16" s="19">
        <f t="shared" si="1"/>
        <v>1.83</v>
      </c>
      <c r="I16" s="4">
        <f t="shared" si="2"/>
        <v>5.0000000000000001E-3</v>
      </c>
    </row>
    <row r="17" spans="1:9" x14ac:dyDescent="0.25">
      <c r="A17" t="s">
        <v>19</v>
      </c>
      <c r="B17" t="s">
        <v>35</v>
      </c>
      <c r="C17" s="10"/>
      <c r="D17" s="10"/>
      <c r="E17" s="10">
        <v>980</v>
      </c>
      <c r="F17" s="10"/>
      <c r="G17" s="10">
        <f t="shared" si="0"/>
        <v>980</v>
      </c>
      <c r="H17" s="19">
        <f t="shared" si="1"/>
        <v>2.52</v>
      </c>
      <c r="I17" s="4">
        <f t="shared" si="2"/>
        <v>7.0000000000000001E-3</v>
      </c>
    </row>
    <row r="18" spans="1:9" x14ac:dyDescent="0.25">
      <c r="A18" t="s">
        <v>19</v>
      </c>
      <c r="B18" t="s">
        <v>40</v>
      </c>
      <c r="C18" s="10"/>
      <c r="D18" s="10"/>
      <c r="E18" s="10">
        <v>910</v>
      </c>
      <c r="F18" s="10"/>
      <c r="G18" s="10">
        <f t="shared" si="0"/>
        <v>910</v>
      </c>
      <c r="H18" s="19">
        <f t="shared" si="1"/>
        <v>2.34</v>
      </c>
      <c r="I18" s="4">
        <f t="shared" si="2"/>
        <v>7.0000000000000001E-3</v>
      </c>
    </row>
    <row r="19" spans="1:9" x14ac:dyDescent="0.25">
      <c r="A19" t="s">
        <v>19</v>
      </c>
      <c r="B19" t="s">
        <v>36</v>
      </c>
      <c r="C19" s="10"/>
      <c r="D19" s="10"/>
      <c r="E19" s="10">
        <v>8430</v>
      </c>
      <c r="F19" s="10"/>
      <c r="G19" s="10">
        <f t="shared" si="0"/>
        <v>8430</v>
      </c>
      <c r="H19" s="19">
        <f t="shared" si="1"/>
        <v>21.67</v>
      </c>
      <c r="I19" s="4">
        <f t="shared" si="2"/>
        <v>6.2E-2</v>
      </c>
    </row>
    <row r="20" spans="1:9" x14ac:dyDescent="0.25">
      <c r="A20" t="s">
        <v>19</v>
      </c>
      <c r="B20" t="s">
        <v>38</v>
      </c>
      <c r="C20" s="10"/>
      <c r="D20" s="10"/>
      <c r="E20" s="10">
        <v>1870</v>
      </c>
      <c r="F20" s="10"/>
      <c r="G20" s="10">
        <f t="shared" si="0"/>
        <v>1870</v>
      </c>
      <c r="H20" s="19">
        <f t="shared" si="1"/>
        <v>4.8099999999999996</v>
      </c>
      <c r="I20" s="4">
        <f t="shared" si="2"/>
        <v>1.4E-2</v>
      </c>
    </row>
    <row r="21" spans="1:9" x14ac:dyDescent="0.25">
      <c r="A21" t="s">
        <v>19</v>
      </c>
      <c r="B21" t="s">
        <v>39</v>
      </c>
      <c r="C21" s="10"/>
      <c r="D21" s="10"/>
      <c r="E21" s="10">
        <v>1460</v>
      </c>
      <c r="F21" s="10"/>
      <c r="G21" s="10">
        <f t="shared" si="0"/>
        <v>1460</v>
      </c>
      <c r="H21" s="19">
        <f t="shared" si="1"/>
        <v>3.75</v>
      </c>
      <c r="I21" s="4">
        <f t="shared" si="2"/>
        <v>1.0999999999999999E-2</v>
      </c>
    </row>
    <row r="22" spans="1:9" x14ac:dyDescent="0.25">
      <c r="A22" t="s">
        <v>19</v>
      </c>
      <c r="B22" t="s">
        <v>28</v>
      </c>
      <c r="C22" s="10"/>
      <c r="D22" s="10"/>
      <c r="E22" s="10"/>
      <c r="F22" s="10"/>
      <c r="G22" s="10">
        <f t="shared" si="0"/>
        <v>0</v>
      </c>
      <c r="H22" s="19">
        <f t="shared" si="1"/>
        <v>0</v>
      </c>
      <c r="I22" s="4">
        <f t="shared" si="2"/>
        <v>0</v>
      </c>
    </row>
    <row r="23" spans="1:9" x14ac:dyDescent="0.25">
      <c r="A23" t="s">
        <v>19</v>
      </c>
      <c r="B23" t="s">
        <v>30</v>
      </c>
      <c r="C23" s="10"/>
      <c r="D23" s="10"/>
      <c r="E23" s="10"/>
      <c r="F23" s="10"/>
      <c r="G23" s="10">
        <f t="shared" si="0"/>
        <v>0</v>
      </c>
      <c r="H23" s="19">
        <f t="shared" si="1"/>
        <v>0</v>
      </c>
      <c r="I23" s="4">
        <f t="shared" si="2"/>
        <v>0</v>
      </c>
    </row>
    <row r="24" spans="1:9" x14ac:dyDescent="0.25">
      <c r="A24" t="s">
        <v>19</v>
      </c>
      <c r="B24" t="s">
        <v>41</v>
      </c>
      <c r="C24" s="10"/>
      <c r="D24" s="10"/>
      <c r="E24" s="10"/>
      <c r="F24" s="10"/>
      <c r="G24" s="10">
        <f t="shared" si="0"/>
        <v>0</v>
      </c>
      <c r="H24" s="19">
        <f t="shared" si="1"/>
        <v>0</v>
      </c>
      <c r="I24" s="4">
        <f t="shared" si="2"/>
        <v>0</v>
      </c>
    </row>
    <row r="25" spans="1:9" x14ac:dyDescent="0.25">
      <c r="A25" t="s">
        <v>19</v>
      </c>
      <c r="B25" t="s">
        <v>32</v>
      </c>
      <c r="C25" s="10"/>
      <c r="D25" s="10"/>
      <c r="E25" s="10"/>
      <c r="F25" s="10"/>
      <c r="G25" s="10">
        <f t="shared" si="0"/>
        <v>0</v>
      </c>
      <c r="H25" s="19">
        <f t="shared" si="1"/>
        <v>0</v>
      </c>
      <c r="I25" s="4">
        <f t="shared" si="2"/>
        <v>0</v>
      </c>
    </row>
    <row r="26" spans="1:9" x14ac:dyDescent="0.25">
      <c r="A26" t="s">
        <v>19</v>
      </c>
      <c r="B26" t="s">
        <v>71</v>
      </c>
      <c r="C26" s="10"/>
      <c r="D26" s="10"/>
      <c r="E26" s="10"/>
      <c r="F26" s="10"/>
      <c r="G26" s="10">
        <f t="shared" si="0"/>
        <v>0</v>
      </c>
      <c r="H26" s="19">
        <f t="shared" si="1"/>
        <v>0</v>
      </c>
      <c r="I26" s="4">
        <f t="shared" si="2"/>
        <v>0</v>
      </c>
    </row>
    <row r="27" spans="1:9" x14ac:dyDescent="0.25">
      <c r="A27" t="s">
        <v>19</v>
      </c>
      <c r="B27" t="s">
        <v>22</v>
      </c>
      <c r="C27" s="10"/>
      <c r="D27" s="10"/>
      <c r="E27" s="10"/>
      <c r="F27" s="10"/>
      <c r="G27" s="10">
        <f t="shared" si="0"/>
        <v>0</v>
      </c>
      <c r="H27" s="19">
        <f t="shared" si="1"/>
        <v>0</v>
      </c>
      <c r="I27" s="4">
        <f t="shared" si="2"/>
        <v>0</v>
      </c>
    </row>
    <row r="28" spans="1:9" x14ac:dyDescent="0.25">
      <c r="A28" t="s">
        <v>19</v>
      </c>
      <c r="B28" t="s">
        <v>31</v>
      </c>
      <c r="C28" s="10"/>
      <c r="D28" s="10"/>
      <c r="E28" s="10"/>
      <c r="F28" s="10"/>
      <c r="G28" s="10">
        <f t="shared" si="0"/>
        <v>0</v>
      </c>
      <c r="H28" s="19">
        <f t="shared" si="1"/>
        <v>0</v>
      </c>
      <c r="I28" s="4">
        <f t="shared" si="2"/>
        <v>0</v>
      </c>
    </row>
    <row r="29" spans="1:9" x14ac:dyDescent="0.25">
      <c r="A29" t="s">
        <v>19</v>
      </c>
      <c r="B29" t="s">
        <v>42</v>
      </c>
      <c r="C29" s="10"/>
      <c r="D29" s="10"/>
      <c r="E29" s="10"/>
      <c r="F29" s="10"/>
      <c r="G29" s="10">
        <f t="shared" si="0"/>
        <v>0</v>
      </c>
      <c r="H29" s="19">
        <f t="shared" si="1"/>
        <v>0</v>
      </c>
      <c r="I29" s="4">
        <f t="shared" si="2"/>
        <v>0</v>
      </c>
    </row>
    <row r="30" spans="1:9" x14ac:dyDescent="0.25">
      <c r="A30" t="s">
        <v>19</v>
      </c>
      <c r="B30" t="s">
        <v>33</v>
      </c>
      <c r="C30" s="10"/>
      <c r="D30" s="10"/>
      <c r="E30" s="10"/>
      <c r="F30" s="10"/>
      <c r="G30" s="10">
        <f t="shared" si="0"/>
        <v>0</v>
      </c>
      <c r="H30" s="19">
        <f t="shared" si="1"/>
        <v>0</v>
      </c>
      <c r="I30" s="4">
        <f t="shared" si="2"/>
        <v>0</v>
      </c>
    </row>
    <row r="31" spans="1:9" x14ac:dyDescent="0.25">
      <c r="A31" t="s">
        <v>19</v>
      </c>
      <c r="B31" t="s">
        <v>37</v>
      </c>
      <c r="C31" s="10"/>
      <c r="D31" s="10"/>
      <c r="E31" s="10"/>
      <c r="F31" s="10"/>
      <c r="G31" s="10">
        <f t="shared" si="0"/>
        <v>0</v>
      </c>
      <c r="H31" s="19">
        <f t="shared" si="1"/>
        <v>0</v>
      </c>
      <c r="I31" s="4">
        <f t="shared" si="2"/>
        <v>0</v>
      </c>
    </row>
    <row r="32" spans="1:9" x14ac:dyDescent="0.25">
      <c r="A32" t="s">
        <v>43</v>
      </c>
      <c r="B32" t="s">
        <v>44</v>
      </c>
      <c r="C32" s="10">
        <v>36620</v>
      </c>
      <c r="D32" s="10"/>
      <c r="E32" s="10"/>
      <c r="F32" s="10"/>
      <c r="G32" s="10">
        <f t="shared" si="0"/>
        <v>36620</v>
      </c>
      <c r="H32" s="19">
        <f t="shared" si="1"/>
        <v>94.14</v>
      </c>
      <c r="I32" s="4">
        <f t="shared" si="2"/>
        <v>0.27</v>
      </c>
    </row>
    <row r="33" spans="1:9" x14ac:dyDescent="0.25">
      <c r="A33" t="s">
        <v>43</v>
      </c>
      <c r="B33" t="s">
        <v>45</v>
      </c>
      <c r="C33" s="10"/>
      <c r="D33" s="10"/>
      <c r="E33" s="10">
        <v>6590</v>
      </c>
      <c r="F33" s="10"/>
      <c r="G33" s="10">
        <f t="shared" si="0"/>
        <v>6590</v>
      </c>
      <c r="H33" s="19">
        <f t="shared" si="1"/>
        <v>16.940000000000001</v>
      </c>
      <c r="I33" s="4">
        <f t="shared" si="2"/>
        <v>4.9000000000000002E-2</v>
      </c>
    </row>
    <row r="34" spans="1:9" x14ac:dyDescent="0.25">
      <c r="A34" t="s">
        <v>43</v>
      </c>
      <c r="B34" t="s">
        <v>46</v>
      </c>
      <c r="C34" s="10"/>
      <c r="D34" s="10"/>
      <c r="E34" s="10"/>
      <c r="F34" s="10"/>
      <c r="G34" s="10">
        <f t="shared" si="0"/>
        <v>0</v>
      </c>
      <c r="H34" s="19">
        <f t="shared" si="1"/>
        <v>0</v>
      </c>
      <c r="I34" s="4">
        <f t="shared" si="2"/>
        <v>0</v>
      </c>
    </row>
    <row r="35" spans="1:9" x14ac:dyDescent="0.25">
      <c r="A35" t="s">
        <v>15</v>
      </c>
      <c r="B35" t="s">
        <v>18</v>
      </c>
      <c r="C35" s="10"/>
      <c r="D35" s="10"/>
      <c r="E35" s="10"/>
      <c r="F35" s="10"/>
      <c r="G35" s="10">
        <f t="shared" si="0"/>
        <v>0</v>
      </c>
      <c r="H35" s="19">
        <f t="shared" si="1"/>
        <v>0</v>
      </c>
      <c r="I35" s="4">
        <f t="shared" si="2"/>
        <v>0</v>
      </c>
    </row>
    <row r="36" spans="1:9" x14ac:dyDescent="0.25">
      <c r="A36" s="3" t="s">
        <v>253</v>
      </c>
      <c r="B36" s="3"/>
      <c r="C36" s="8">
        <f t="shared" ref="C36:H36" si="3">SUM(C8:C35)</f>
        <v>104350</v>
      </c>
      <c r="D36" s="8">
        <f t="shared" si="3"/>
        <v>0</v>
      </c>
      <c r="E36" s="8">
        <f t="shared" si="3"/>
        <v>31060</v>
      </c>
      <c r="F36" s="8">
        <f t="shared" si="3"/>
        <v>100</v>
      </c>
      <c r="G36" s="8">
        <f t="shared" si="3"/>
        <v>135510</v>
      </c>
      <c r="H36" s="20">
        <f t="shared" si="3"/>
        <v>348.36</v>
      </c>
      <c r="I36" s="4"/>
    </row>
    <row r="37" spans="1:9" x14ac:dyDescent="0.25">
      <c r="A37" s="3" t="s">
        <v>14</v>
      </c>
      <c r="B37" s="3"/>
      <c r="C37" s="12">
        <f>ROUND(C36/G36,2)</f>
        <v>0.77</v>
      </c>
      <c r="D37" s="12">
        <f>ROUND(D36/G36,2)</f>
        <v>0</v>
      </c>
      <c r="E37" s="12">
        <f>ROUND(E36/G36,2)</f>
        <v>0.23</v>
      </c>
      <c r="F37" s="12">
        <f>ROUND(F36/G36,2)</f>
        <v>0</v>
      </c>
      <c r="G37" s="7"/>
      <c r="H37" s="7"/>
    </row>
    <row r="38" spans="1:9" x14ac:dyDescent="0.25">
      <c r="A38" s="3" t="s">
        <v>47</v>
      </c>
      <c r="B38" s="3"/>
      <c r="C38" s="3"/>
      <c r="D38" s="3"/>
      <c r="E38" s="3"/>
      <c r="F38" s="3"/>
      <c r="G38" s="3"/>
      <c r="H38" s="3"/>
    </row>
    <row r="39" spans="1:9" x14ac:dyDescent="0.25">
      <c r="A39" s="3" t="s">
        <v>48</v>
      </c>
      <c r="B39" s="3"/>
      <c r="C39" s="8">
        <v>67730</v>
      </c>
      <c r="D39" s="8">
        <v>0</v>
      </c>
      <c r="E39" s="8">
        <v>24470</v>
      </c>
      <c r="F39" s="8">
        <v>100</v>
      </c>
      <c r="G39" s="8">
        <f>SUM(C39:F39)</f>
        <v>92300</v>
      </c>
      <c r="H39" s="20">
        <f>ROUND(G39/389,2)</f>
        <v>237.28</v>
      </c>
    </row>
    <row r="40" spans="1:9" x14ac:dyDescent="0.25">
      <c r="A40" s="3" t="s">
        <v>49</v>
      </c>
      <c r="B40" s="3"/>
      <c r="C40" s="8">
        <v>36620</v>
      </c>
      <c r="D40" s="8">
        <v>0</v>
      </c>
      <c r="E40" s="8">
        <v>6590</v>
      </c>
      <c r="F40" s="8">
        <v>0</v>
      </c>
      <c r="G40" s="8">
        <f>SUM(C40:F40)</f>
        <v>43210</v>
      </c>
      <c r="H40" s="20">
        <f>ROUND(G40/389,2)</f>
        <v>111.08</v>
      </c>
    </row>
    <row r="41" spans="1:9" x14ac:dyDescent="0.25">
      <c r="A41" s="3" t="s">
        <v>50</v>
      </c>
      <c r="B41" s="3"/>
      <c r="C41" s="8">
        <v>0</v>
      </c>
      <c r="D41" s="8">
        <v>0</v>
      </c>
      <c r="E41" s="8">
        <v>0</v>
      </c>
      <c r="F41" s="8">
        <v>0</v>
      </c>
      <c r="G41" s="8">
        <f>SUM(C41:F41)</f>
        <v>0</v>
      </c>
      <c r="H41" s="20">
        <f>ROUND(G41/389,2)</f>
        <v>0</v>
      </c>
    </row>
    <row r="42" spans="1:9" x14ac:dyDescent="0.25">
      <c r="A42" s="3"/>
      <c r="B42" s="3"/>
      <c r="C42" s="3"/>
      <c r="D42" s="3"/>
      <c r="E42" s="3"/>
      <c r="F42" s="3"/>
      <c r="G42" s="3"/>
      <c r="H42" s="3"/>
    </row>
    <row r="43" spans="1:9" x14ac:dyDescent="0.25">
      <c r="A43" s="3"/>
      <c r="B43" s="3"/>
      <c r="C43" s="3" t="s">
        <v>2</v>
      </c>
      <c r="D43" s="3">
        <v>2022</v>
      </c>
      <c r="E43" s="3" t="s">
        <v>51</v>
      </c>
      <c r="F43" s="3"/>
      <c r="G43" s="3"/>
      <c r="H43" s="3"/>
    </row>
    <row r="44" spans="1:9" x14ac:dyDescent="0.25">
      <c r="A44" s="3" t="s">
        <v>52</v>
      </c>
      <c r="B44" s="3"/>
      <c r="C44" s="12">
        <v>0.71040000000000003</v>
      </c>
      <c r="D44" s="12">
        <v>0.72009999999999996</v>
      </c>
      <c r="E44" s="12">
        <v>0.77659999999999996</v>
      </c>
      <c r="F44" s="3"/>
      <c r="G44" s="3"/>
      <c r="H44" s="3"/>
    </row>
    <row r="45" spans="1:9" x14ac:dyDescent="0.25">
      <c r="A45" s="3" t="s">
        <v>53</v>
      </c>
      <c r="B45" s="3"/>
      <c r="C45" s="12">
        <v>0.71040000000000003</v>
      </c>
      <c r="D45" s="12">
        <v>0.68330000000000002</v>
      </c>
      <c r="E45" s="12">
        <v>0.75900000000000001</v>
      </c>
      <c r="F45" s="3"/>
      <c r="G45" s="3"/>
      <c r="H45" s="3"/>
    </row>
    <row r="46" spans="1:9" x14ac:dyDescent="0.25">
      <c r="A46" s="3"/>
      <c r="B46" s="3"/>
      <c r="C46" s="3"/>
      <c r="D46" s="3"/>
      <c r="E46" s="3"/>
      <c r="F46" s="3"/>
      <c r="G46" s="3"/>
      <c r="H46" s="3"/>
    </row>
    <row r="47" spans="1:9" x14ac:dyDescent="0.25">
      <c r="A47" s="3" t="s">
        <v>256</v>
      </c>
      <c r="B47" s="3"/>
      <c r="C47" s="3" t="s">
        <v>2</v>
      </c>
      <c r="D47" s="3" t="s">
        <v>224</v>
      </c>
      <c r="E47" s="3" t="s">
        <v>55</v>
      </c>
      <c r="F47" s="3" t="s">
        <v>254</v>
      </c>
      <c r="G47" s="3"/>
      <c r="H47" s="3"/>
    </row>
    <row r="48" spans="1:9" x14ac:dyDescent="0.25">
      <c r="A48" s="3" t="s">
        <v>56</v>
      </c>
      <c r="B48" s="3"/>
      <c r="C48" s="3"/>
      <c r="D48" s="3">
        <v>165.72</v>
      </c>
      <c r="E48" s="3">
        <v>81.5</v>
      </c>
      <c r="F48" s="3">
        <v>50.61</v>
      </c>
      <c r="G48" s="3"/>
      <c r="H48" s="3"/>
    </row>
    <row r="49" spans="1:8" x14ac:dyDescent="0.25">
      <c r="A49" s="3" t="s">
        <v>57</v>
      </c>
      <c r="B49" s="3"/>
      <c r="C49" s="3"/>
      <c r="D49" s="3">
        <v>88.05</v>
      </c>
      <c r="E49" s="3">
        <v>58.24</v>
      </c>
      <c r="F49" s="3">
        <v>57.37</v>
      </c>
      <c r="G49" s="3"/>
      <c r="H49" s="3"/>
    </row>
    <row r="50" spans="1:8" x14ac:dyDescent="0.25">
      <c r="A50" s="3" t="s">
        <v>58</v>
      </c>
      <c r="B50" s="3"/>
      <c r="C50" s="3"/>
      <c r="D50" s="3">
        <v>435.78</v>
      </c>
      <c r="E50" s="3">
        <v>261.52999999999997</v>
      </c>
      <c r="F50" s="3">
        <v>249.57</v>
      </c>
      <c r="G50" s="3"/>
      <c r="H50" s="3"/>
    </row>
    <row r="51" spans="1:8" x14ac:dyDescent="0.25">
      <c r="A51" s="3" t="s">
        <v>59</v>
      </c>
      <c r="B51" s="3"/>
      <c r="C51" s="3"/>
      <c r="D51" s="3">
        <v>222.5</v>
      </c>
      <c r="E51" s="3">
        <v>103.11</v>
      </c>
      <c r="F51" s="3">
        <v>71.400000000000006</v>
      </c>
      <c r="G51" s="3"/>
      <c r="H51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I60"/>
  <sheetViews>
    <sheetView topLeftCell="A33" workbookViewId="0">
      <selection activeCell="G57" sqref="G57:G60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7109375" bestFit="1" customWidth="1"/>
    <col min="4" max="4" width="25.42578125" bestFit="1" customWidth="1"/>
    <col min="5" max="5" width="13.85546875" bestFit="1" customWidth="1"/>
    <col min="6" max="6" width="9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225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3662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17</v>
      </c>
      <c r="C9" s="10"/>
      <c r="D9" s="10"/>
      <c r="E9" s="10"/>
      <c r="F9" s="10">
        <v>505</v>
      </c>
      <c r="G9" s="10">
        <f t="shared" ref="G9:G44" si="0">SUM(C9:F9)</f>
        <v>505</v>
      </c>
      <c r="H9" s="19">
        <f t="shared" ref="H9:H44" si="1">ROUND(G9/3662,2)</f>
        <v>0.14000000000000001</v>
      </c>
      <c r="I9" s="4">
        <f t="shared" ref="I9:I40" si="2">ROUND(G9/$G$45,3)</f>
        <v>1E-3</v>
      </c>
    </row>
    <row r="10" spans="1:9" x14ac:dyDescent="0.25">
      <c r="A10" t="s">
        <v>15</v>
      </c>
      <c r="B10" t="s">
        <v>18</v>
      </c>
      <c r="C10" s="10"/>
      <c r="D10" s="10"/>
      <c r="E10" s="10"/>
      <c r="F10" s="10"/>
      <c r="G10" s="10">
        <f t="shared" si="0"/>
        <v>0</v>
      </c>
      <c r="H10" s="19">
        <f t="shared" si="1"/>
        <v>0</v>
      </c>
      <c r="I10" s="4">
        <f t="shared" si="2"/>
        <v>0</v>
      </c>
    </row>
    <row r="11" spans="1:9" x14ac:dyDescent="0.25">
      <c r="A11" t="s">
        <v>19</v>
      </c>
      <c r="B11" t="s">
        <v>64</v>
      </c>
      <c r="C11" s="10"/>
      <c r="D11" s="10"/>
      <c r="E11" s="10">
        <v>30</v>
      </c>
      <c r="F11" s="10"/>
      <c r="G11" s="10">
        <f t="shared" si="0"/>
        <v>30</v>
      </c>
      <c r="H11" s="19">
        <f t="shared" si="1"/>
        <v>0.01</v>
      </c>
      <c r="I11" s="4">
        <f t="shared" si="2"/>
        <v>0</v>
      </c>
    </row>
    <row r="12" spans="1:9" x14ac:dyDescent="0.25">
      <c r="A12" t="s">
        <v>19</v>
      </c>
      <c r="B12" t="s">
        <v>20</v>
      </c>
      <c r="C12" s="10">
        <v>61470</v>
      </c>
      <c r="D12" s="10"/>
      <c r="E12" s="10">
        <v>1600</v>
      </c>
      <c r="F12" s="10">
        <v>500</v>
      </c>
      <c r="G12" s="10">
        <f t="shared" si="0"/>
        <v>63570</v>
      </c>
      <c r="H12" s="19">
        <f t="shared" si="1"/>
        <v>17.36</v>
      </c>
      <c r="I12" s="4">
        <f t="shared" si="2"/>
        <v>0.11799999999999999</v>
      </c>
    </row>
    <row r="13" spans="1:9" x14ac:dyDescent="0.25">
      <c r="A13" t="s">
        <v>19</v>
      </c>
      <c r="B13" t="s">
        <v>21</v>
      </c>
      <c r="C13" s="10">
        <v>63910</v>
      </c>
      <c r="D13" s="10"/>
      <c r="E13" s="10"/>
      <c r="F13" s="10"/>
      <c r="G13" s="10">
        <f t="shared" si="0"/>
        <v>63910</v>
      </c>
      <c r="H13" s="19">
        <f t="shared" si="1"/>
        <v>17.45</v>
      </c>
      <c r="I13" s="4">
        <f t="shared" si="2"/>
        <v>0.11899999999999999</v>
      </c>
    </row>
    <row r="14" spans="1:9" x14ac:dyDescent="0.25">
      <c r="A14" t="s">
        <v>19</v>
      </c>
      <c r="B14" t="s">
        <v>76</v>
      </c>
      <c r="C14" s="10"/>
      <c r="D14" s="10"/>
      <c r="E14" s="10">
        <v>48</v>
      </c>
      <c r="F14" s="10"/>
      <c r="G14" s="10">
        <f t="shared" si="0"/>
        <v>48</v>
      </c>
      <c r="H14" s="19">
        <f t="shared" si="1"/>
        <v>0.01</v>
      </c>
      <c r="I14" s="4">
        <f t="shared" si="2"/>
        <v>0</v>
      </c>
    </row>
    <row r="15" spans="1:9" x14ac:dyDescent="0.25">
      <c r="A15" t="s">
        <v>19</v>
      </c>
      <c r="B15" t="s">
        <v>41</v>
      </c>
      <c r="C15" s="10"/>
      <c r="D15" s="10"/>
      <c r="E15" s="10">
        <v>65</v>
      </c>
      <c r="F15" s="10"/>
      <c r="G15" s="10">
        <f t="shared" si="0"/>
        <v>65</v>
      </c>
      <c r="H15" s="19">
        <f t="shared" si="1"/>
        <v>0.02</v>
      </c>
      <c r="I15" s="4">
        <f t="shared" si="2"/>
        <v>0</v>
      </c>
    </row>
    <row r="16" spans="1:9" x14ac:dyDescent="0.25">
      <c r="A16" t="s">
        <v>19</v>
      </c>
      <c r="B16" t="s">
        <v>77</v>
      </c>
      <c r="C16" s="10"/>
      <c r="D16" s="10"/>
      <c r="E16" s="10"/>
      <c r="F16" s="10">
        <v>125</v>
      </c>
      <c r="G16" s="10">
        <f t="shared" si="0"/>
        <v>125</v>
      </c>
      <c r="H16" s="19">
        <f t="shared" si="1"/>
        <v>0.03</v>
      </c>
      <c r="I16" s="4">
        <f t="shared" si="2"/>
        <v>0</v>
      </c>
    </row>
    <row r="17" spans="1:9" x14ac:dyDescent="0.25">
      <c r="A17" t="s">
        <v>19</v>
      </c>
      <c r="B17" t="s">
        <v>23</v>
      </c>
      <c r="C17" s="10"/>
      <c r="D17" s="10"/>
      <c r="E17" s="10">
        <v>17300</v>
      </c>
      <c r="F17" s="10"/>
      <c r="G17" s="10">
        <f t="shared" si="0"/>
        <v>17300</v>
      </c>
      <c r="H17" s="19">
        <f t="shared" si="1"/>
        <v>4.72</v>
      </c>
      <c r="I17" s="4">
        <f t="shared" si="2"/>
        <v>3.2000000000000001E-2</v>
      </c>
    </row>
    <row r="18" spans="1:9" x14ac:dyDescent="0.25">
      <c r="A18" t="s">
        <v>19</v>
      </c>
      <c r="B18" t="s">
        <v>24</v>
      </c>
      <c r="C18" s="10">
        <v>82220</v>
      </c>
      <c r="D18" s="10"/>
      <c r="E18" s="10">
        <v>7130</v>
      </c>
      <c r="F18" s="10"/>
      <c r="G18" s="10">
        <f t="shared" si="0"/>
        <v>89350</v>
      </c>
      <c r="H18" s="19">
        <f t="shared" si="1"/>
        <v>24.4</v>
      </c>
      <c r="I18" s="4">
        <f t="shared" si="2"/>
        <v>0.16600000000000001</v>
      </c>
    </row>
    <row r="19" spans="1:9" x14ac:dyDescent="0.25">
      <c r="A19" t="s">
        <v>19</v>
      </c>
      <c r="B19" t="s">
        <v>66</v>
      </c>
      <c r="C19" s="10"/>
      <c r="D19" s="10"/>
      <c r="E19" s="10">
        <v>390</v>
      </c>
      <c r="F19" s="10"/>
      <c r="G19" s="10">
        <f t="shared" si="0"/>
        <v>390</v>
      </c>
      <c r="H19" s="19">
        <f t="shared" si="1"/>
        <v>0.11</v>
      </c>
      <c r="I19" s="4">
        <f t="shared" si="2"/>
        <v>1E-3</v>
      </c>
    </row>
    <row r="20" spans="1:9" x14ac:dyDescent="0.25">
      <c r="A20" t="s">
        <v>19</v>
      </c>
      <c r="B20" t="s">
        <v>25</v>
      </c>
      <c r="C20" s="10">
        <v>85090</v>
      </c>
      <c r="D20" s="10"/>
      <c r="E20" s="10"/>
      <c r="F20" s="10">
        <v>370</v>
      </c>
      <c r="G20" s="10">
        <f t="shared" si="0"/>
        <v>85460</v>
      </c>
      <c r="H20" s="19">
        <f t="shared" si="1"/>
        <v>23.34</v>
      </c>
      <c r="I20" s="4">
        <f t="shared" si="2"/>
        <v>0.159</v>
      </c>
    </row>
    <row r="21" spans="1:9" x14ac:dyDescent="0.25">
      <c r="A21" t="s">
        <v>19</v>
      </c>
      <c r="B21" t="s">
        <v>26</v>
      </c>
      <c r="C21" s="10"/>
      <c r="D21" s="10"/>
      <c r="E21" s="10">
        <v>599</v>
      </c>
      <c r="F21" s="10"/>
      <c r="G21" s="10">
        <f t="shared" si="0"/>
        <v>599</v>
      </c>
      <c r="H21" s="19">
        <f t="shared" si="1"/>
        <v>0.16</v>
      </c>
      <c r="I21" s="4">
        <f t="shared" si="2"/>
        <v>1E-3</v>
      </c>
    </row>
    <row r="22" spans="1:9" x14ac:dyDescent="0.25">
      <c r="A22" t="s">
        <v>19</v>
      </c>
      <c r="B22" t="s">
        <v>27</v>
      </c>
      <c r="C22" s="10"/>
      <c r="D22" s="10"/>
      <c r="E22" s="10">
        <v>130</v>
      </c>
      <c r="F22" s="10"/>
      <c r="G22" s="10">
        <f t="shared" si="0"/>
        <v>130</v>
      </c>
      <c r="H22" s="19">
        <f t="shared" si="1"/>
        <v>0.04</v>
      </c>
      <c r="I22" s="4">
        <f t="shared" si="2"/>
        <v>0</v>
      </c>
    </row>
    <row r="23" spans="1:9" x14ac:dyDescent="0.25">
      <c r="A23" t="s">
        <v>19</v>
      </c>
      <c r="B23" t="s">
        <v>28</v>
      </c>
      <c r="C23" s="10"/>
      <c r="D23" s="10"/>
      <c r="E23" s="10">
        <v>157</v>
      </c>
      <c r="F23" s="10"/>
      <c r="G23" s="10">
        <f t="shared" si="0"/>
        <v>157</v>
      </c>
      <c r="H23" s="19">
        <f t="shared" si="1"/>
        <v>0.04</v>
      </c>
      <c r="I23" s="4">
        <f t="shared" si="2"/>
        <v>0</v>
      </c>
    </row>
    <row r="24" spans="1:9" x14ac:dyDescent="0.25">
      <c r="A24" t="s">
        <v>19</v>
      </c>
      <c r="B24" t="s">
        <v>29</v>
      </c>
      <c r="C24" s="10"/>
      <c r="D24" s="10"/>
      <c r="E24" s="10">
        <v>3330</v>
      </c>
      <c r="F24" s="10"/>
      <c r="G24" s="10">
        <f t="shared" si="0"/>
        <v>3330</v>
      </c>
      <c r="H24" s="19">
        <f t="shared" si="1"/>
        <v>0.91</v>
      </c>
      <c r="I24" s="4">
        <f t="shared" si="2"/>
        <v>6.0000000000000001E-3</v>
      </c>
    </row>
    <row r="25" spans="1:9" x14ac:dyDescent="0.25">
      <c r="A25" t="s">
        <v>19</v>
      </c>
      <c r="B25" t="s">
        <v>30</v>
      </c>
      <c r="C25" s="10"/>
      <c r="D25" s="10"/>
      <c r="E25" s="10">
        <v>560</v>
      </c>
      <c r="F25" s="10"/>
      <c r="G25" s="10">
        <f t="shared" si="0"/>
        <v>560</v>
      </c>
      <c r="H25" s="19">
        <f t="shared" si="1"/>
        <v>0.15</v>
      </c>
      <c r="I25" s="4">
        <f t="shared" si="2"/>
        <v>1E-3</v>
      </c>
    </row>
    <row r="26" spans="1:9" x14ac:dyDescent="0.25">
      <c r="A26" t="s">
        <v>19</v>
      </c>
      <c r="B26" t="s">
        <v>31</v>
      </c>
      <c r="C26" s="10"/>
      <c r="D26" s="10"/>
      <c r="E26" s="10">
        <v>300</v>
      </c>
      <c r="F26" s="10"/>
      <c r="G26" s="10">
        <f t="shared" si="0"/>
        <v>300</v>
      </c>
      <c r="H26" s="19">
        <f t="shared" si="1"/>
        <v>0.08</v>
      </c>
      <c r="I26" s="4">
        <f t="shared" si="2"/>
        <v>1E-3</v>
      </c>
    </row>
    <row r="27" spans="1:9" x14ac:dyDescent="0.25">
      <c r="A27" t="s">
        <v>19</v>
      </c>
      <c r="B27" t="s">
        <v>32</v>
      </c>
      <c r="C27" s="10"/>
      <c r="D27" s="10"/>
      <c r="E27" s="10">
        <v>1380</v>
      </c>
      <c r="F27" s="10"/>
      <c r="G27" s="10">
        <f t="shared" si="0"/>
        <v>1380</v>
      </c>
      <c r="H27" s="19">
        <f t="shared" si="1"/>
        <v>0.38</v>
      </c>
      <c r="I27" s="4">
        <f t="shared" si="2"/>
        <v>3.0000000000000001E-3</v>
      </c>
    </row>
    <row r="28" spans="1:9" x14ac:dyDescent="0.25">
      <c r="A28" t="s">
        <v>19</v>
      </c>
      <c r="B28" t="s">
        <v>42</v>
      </c>
      <c r="C28" s="10"/>
      <c r="D28" s="10">
        <v>179</v>
      </c>
      <c r="E28" s="10"/>
      <c r="F28" s="10"/>
      <c r="G28" s="10">
        <f t="shared" si="0"/>
        <v>179</v>
      </c>
      <c r="H28" s="19">
        <f t="shared" si="1"/>
        <v>0.05</v>
      </c>
      <c r="I28" s="4">
        <f t="shared" si="2"/>
        <v>0</v>
      </c>
    </row>
    <row r="29" spans="1:9" x14ac:dyDescent="0.25">
      <c r="A29" t="s">
        <v>19</v>
      </c>
      <c r="B29" t="s">
        <v>33</v>
      </c>
      <c r="C29" s="10"/>
      <c r="D29" s="10"/>
      <c r="E29" s="10">
        <v>25</v>
      </c>
      <c r="F29" s="10"/>
      <c r="G29" s="10">
        <f t="shared" si="0"/>
        <v>25</v>
      </c>
      <c r="H29" s="19">
        <f t="shared" si="1"/>
        <v>0.01</v>
      </c>
      <c r="I29" s="4">
        <f t="shared" si="2"/>
        <v>0</v>
      </c>
    </row>
    <row r="30" spans="1:9" x14ac:dyDescent="0.25">
      <c r="A30" t="s">
        <v>19</v>
      </c>
      <c r="B30" t="s">
        <v>34</v>
      </c>
      <c r="C30" s="10"/>
      <c r="D30" s="10"/>
      <c r="E30" s="10">
        <v>823</v>
      </c>
      <c r="F30" s="10"/>
      <c r="G30" s="10">
        <f t="shared" si="0"/>
        <v>823</v>
      </c>
      <c r="H30" s="19">
        <f t="shared" si="1"/>
        <v>0.22</v>
      </c>
      <c r="I30" s="4">
        <f t="shared" si="2"/>
        <v>2E-3</v>
      </c>
    </row>
    <row r="31" spans="1:9" x14ac:dyDescent="0.25">
      <c r="A31" t="s">
        <v>19</v>
      </c>
      <c r="B31" t="s">
        <v>35</v>
      </c>
      <c r="C31" s="10"/>
      <c r="D31" s="10"/>
      <c r="E31" s="10">
        <v>3914</v>
      </c>
      <c r="F31" s="10"/>
      <c r="G31" s="10">
        <f t="shared" si="0"/>
        <v>3914</v>
      </c>
      <c r="H31" s="19">
        <f t="shared" si="1"/>
        <v>1.07</v>
      </c>
      <c r="I31" s="4">
        <f t="shared" si="2"/>
        <v>7.0000000000000001E-3</v>
      </c>
    </row>
    <row r="32" spans="1:9" x14ac:dyDescent="0.25">
      <c r="A32" t="s">
        <v>19</v>
      </c>
      <c r="B32" t="s">
        <v>40</v>
      </c>
      <c r="C32" s="10"/>
      <c r="D32" s="10"/>
      <c r="E32" s="10">
        <v>8926</v>
      </c>
      <c r="F32" s="10"/>
      <c r="G32" s="10">
        <f t="shared" si="0"/>
        <v>8926</v>
      </c>
      <c r="H32" s="19">
        <f t="shared" si="1"/>
        <v>2.44</v>
      </c>
      <c r="I32" s="4">
        <f t="shared" si="2"/>
        <v>1.7000000000000001E-2</v>
      </c>
    </row>
    <row r="33" spans="1:9" x14ac:dyDescent="0.25">
      <c r="A33" t="s">
        <v>19</v>
      </c>
      <c r="B33" t="s">
        <v>36</v>
      </c>
      <c r="C33" s="10"/>
      <c r="D33" s="10"/>
      <c r="E33" s="10">
        <v>22860</v>
      </c>
      <c r="F33" s="10"/>
      <c r="G33" s="10">
        <f t="shared" si="0"/>
        <v>22860</v>
      </c>
      <c r="H33" s="19">
        <f t="shared" si="1"/>
        <v>6.24</v>
      </c>
      <c r="I33" s="4">
        <f t="shared" si="2"/>
        <v>4.2999999999999997E-2</v>
      </c>
    </row>
    <row r="34" spans="1:9" x14ac:dyDescent="0.25">
      <c r="A34" t="s">
        <v>19</v>
      </c>
      <c r="B34" t="s">
        <v>37</v>
      </c>
      <c r="C34" s="10"/>
      <c r="D34" s="10"/>
      <c r="E34" s="10">
        <v>2230</v>
      </c>
      <c r="F34" s="10"/>
      <c r="G34" s="10">
        <f t="shared" si="0"/>
        <v>2230</v>
      </c>
      <c r="H34" s="19">
        <f t="shared" si="1"/>
        <v>0.61</v>
      </c>
      <c r="I34" s="4">
        <f t="shared" si="2"/>
        <v>4.0000000000000001E-3</v>
      </c>
    </row>
    <row r="35" spans="1:9" x14ac:dyDescent="0.25">
      <c r="A35" t="s">
        <v>19</v>
      </c>
      <c r="B35" t="s">
        <v>38</v>
      </c>
      <c r="C35" s="10"/>
      <c r="D35" s="10"/>
      <c r="E35" s="10">
        <v>14240</v>
      </c>
      <c r="F35" s="10"/>
      <c r="G35" s="10">
        <f t="shared" si="0"/>
        <v>14240</v>
      </c>
      <c r="H35" s="19">
        <f t="shared" si="1"/>
        <v>3.89</v>
      </c>
      <c r="I35" s="4">
        <f t="shared" si="2"/>
        <v>2.5999999999999999E-2</v>
      </c>
    </row>
    <row r="36" spans="1:9" x14ac:dyDescent="0.25">
      <c r="A36" t="s">
        <v>19</v>
      </c>
      <c r="B36" t="s">
        <v>39</v>
      </c>
      <c r="C36" s="10"/>
      <c r="D36" s="10"/>
      <c r="E36" s="10">
        <v>15860</v>
      </c>
      <c r="F36" s="10"/>
      <c r="G36" s="10">
        <f t="shared" si="0"/>
        <v>15860</v>
      </c>
      <c r="H36" s="19">
        <f t="shared" si="1"/>
        <v>4.33</v>
      </c>
      <c r="I36" s="4">
        <f t="shared" si="2"/>
        <v>2.9000000000000001E-2</v>
      </c>
    </row>
    <row r="37" spans="1:9" x14ac:dyDescent="0.25">
      <c r="A37" t="s">
        <v>19</v>
      </c>
      <c r="B37" t="s">
        <v>22</v>
      </c>
      <c r="C37" s="10"/>
      <c r="D37" s="10"/>
      <c r="E37" s="10"/>
      <c r="F37" s="10"/>
      <c r="G37" s="10">
        <f t="shared" si="0"/>
        <v>0</v>
      </c>
      <c r="H37" s="19">
        <f t="shared" si="1"/>
        <v>0</v>
      </c>
      <c r="I37" s="4">
        <f t="shared" si="2"/>
        <v>0</v>
      </c>
    </row>
    <row r="38" spans="1:9" x14ac:dyDescent="0.25">
      <c r="A38" t="s">
        <v>19</v>
      </c>
      <c r="B38" t="s">
        <v>183</v>
      </c>
      <c r="C38" s="10"/>
      <c r="D38" s="10"/>
      <c r="E38" s="10"/>
      <c r="F38" s="10"/>
      <c r="G38" s="10">
        <f t="shared" si="0"/>
        <v>0</v>
      </c>
      <c r="H38" s="19">
        <f t="shared" si="1"/>
        <v>0</v>
      </c>
      <c r="I38" s="4">
        <f t="shared" si="2"/>
        <v>0</v>
      </c>
    </row>
    <row r="39" spans="1:9" x14ac:dyDescent="0.25">
      <c r="A39" t="s">
        <v>19</v>
      </c>
      <c r="B39" t="s">
        <v>67</v>
      </c>
      <c r="C39" s="10"/>
      <c r="D39" s="10"/>
      <c r="E39" s="10"/>
      <c r="F39" s="10"/>
      <c r="G39" s="10">
        <f t="shared" si="0"/>
        <v>0</v>
      </c>
      <c r="H39" s="19">
        <f t="shared" si="1"/>
        <v>0</v>
      </c>
      <c r="I39" s="4">
        <f t="shared" si="2"/>
        <v>0</v>
      </c>
    </row>
    <row r="40" spans="1:9" x14ac:dyDescent="0.25">
      <c r="A40" t="s">
        <v>19</v>
      </c>
      <c r="B40" t="s">
        <v>78</v>
      </c>
      <c r="C40" s="10"/>
      <c r="D40" s="10"/>
      <c r="E40" s="10"/>
      <c r="F40" s="10"/>
      <c r="G40" s="10">
        <f t="shared" si="0"/>
        <v>0</v>
      </c>
      <c r="H40" s="19">
        <f t="shared" si="1"/>
        <v>0</v>
      </c>
      <c r="I40" s="4">
        <f t="shared" si="2"/>
        <v>0</v>
      </c>
    </row>
    <row r="41" spans="1:9" x14ac:dyDescent="0.25">
      <c r="A41" t="s">
        <v>19</v>
      </c>
      <c r="B41" t="s">
        <v>112</v>
      </c>
      <c r="C41" s="10"/>
      <c r="D41" s="10"/>
      <c r="E41" s="10"/>
      <c r="F41" s="10"/>
      <c r="G41" s="10">
        <f t="shared" si="0"/>
        <v>0</v>
      </c>
      <c r="H41" s="19">
        <f t="shared" si="1"/>
        <v>0</v>
      </c>
      <c r="I41" s="4">
        <f t="shared" ref="I41" si="3">ROUND(G41/$G$45,3)</f>
        <v>0</v>
      </c>
    </row>
    <row r="42" spans="1:9" x14ac:dyDescent="0.25">
      <c r="A42" t="s">
        <v>43</v>
      </c>
      <c r="B42" t="s">
        <v>44</v>
      </c>
      <c r="C42" s="10">
        <v>83150</v>
      </c>
      <c r="D42" s="10"/>
      <c r="E42" s="10"/>
      <c r="F42" s="10"/>
      <c r="G42" s="10">
        <f t="shared" si="0"/>
        <v>83150</v>
      </c>
      <c r="H42" s="19">
        <f t="shared" si="1"/>
        <v>22.71</v>
      </c>
      <c r="I42" s="4">
        <f>ROUND(G42/$G$45,3)</f>
        <v>0.155</v>
      </c>
    </row>
    <row r="43" spans="1:9" x14ac:dyDescent="0.25">
      <c r="A43" t="s">
        <v>43</v>
      </c>
      <c r="B43" t="s">
        <v>46</v>
      </c>
      <c r="C43" s="10"/>
      <c r="D43" s="10"/>
      <c r="E43" s="10"/>
      <c r="F43" s="10">
        <v>20030</v>
      </c>
      <c r="G43" s="10">
        <f t="shared" si="0"/>
        <v>20030</v>
      </c>
      <c r="H43" s="19">
        <f t="shared" si="1"/>
        <v>5.47</v>
      </c>
      <c r="I43" s="4">
        <f>ROUND(G43/$G$45,3)</f>
        <v>3.6999999999999998E-2</v>
      </c>
    </row>
    <row r="44" spans="1:9" x14ac:dyDescent="0.25">
      <c r="A44" t="s">
        <v>43</v>
      </c>
      <c r="B44" t="s">
        <v>45</v>
      </c>
      <c r="C44" s="10"/>
      <c r="D44" s="10"/>
      <c r="E44" s="10">
        <v>38320</v>
      </c>
      <c r="F44" s="10"/>
      <c r="G44" s="10">
        <f t="shared" si="0"/>
        <v>38320</v>
      </c>
      <c r="H44" s="19">
        <f t="shared" si="1"/>
        <v>10.46</v>
      </c>
      <c r="I44" s="4">
        <f>ROUND(G44/$G$45,3)</f>
        <v>7.0999999999999994E-2</v>
      </c>
    </row>
    <row r="45" spans="1:9" x14ac:dyDescent="0.25">
      <c r="A45" s="3" t="s">
        <v>253</v>
      </c>
      <c r="B45" s="3"/>
      <c r="C45" s="8">
        <f t="shared" ref="C45:H45" si="4">SUM(C8:C44)</f>
        <v>375840</v>
      </c>
      <c r="D45" s="8">
        <f t="shared" si="4"/>
        <v>179</v>
      </c>
      <c r="E45" s="8">
        <f t="shared" si="4"/>
        <v>140217</v>
      </c>
      <c r="F45" s="8">
        <f t="shared" si="4"/>
        <v>21530</v>
      </c>
      <c r="G45" s="8">
        <f t="shared" si="4"/>
        <v>537766</v>
      </c>
      <c r="H45" s="20">
        <f t="shared" si="4"/>
        <v>146.85</v>
      </c>
    </row>
    <row r="46" spans="1:9" x14ac:dyDescent="0.25">
      <c r="A46" s="3" t="s">
        <v>14</v>
      </c>
      <c r="B46" s="3"/>
      <c r="C46" s="12">
        <f>ROUND(C45/G45,2)</f>
        <v>0.7</v>
      </c>
      <c r="D46" s="12">
        <f>ROUND(D45/G45,2)</f>
        <v>0</v>
      </c>
      <c r="E46" s="12">
        <f>ROUND(E45/G45,2)</f>
        <v>0.26</v>
      </c>
      <c r="F46" s="12">
        <f>ROUND(F45/G45,2)</f>
        <v>0.04</v>
      </c>
      <c r="G46" s="3"/>
      <c r="H46" s="3"/>
    </row>
    <row r="47" spans="1:9" x14ac:dyDescent="0.25">
      <c r="A47" s="3" t="s">
        <v>47</v>
      </c>
      <c r="B47" s="3"/>
      <c r="C47" s="3"/>
      <c r="D47" s="3"/>
      <c r="E47" s="3"/>
      <c r="F47" s="3"/>
      <c r="G47" s="3"/>
      <c r="H47" s="3"/>
    </row>
    <row r="48" spans="1:9" x14ac:dyDescent="0.25">
      <c r="A48" s="3" t="s">
        <v>48</v>
      </c>
      <c r="B48" s="3"/>
      <c r="C48" s="8">
        <v>292690</v>
      </c>
      <c r="D48" s="8">
        <v>179</v>
      </c>
      <c r="E48" s="8">
        <v>101897</v>
      </c>
      <c r="F48" s="8">
        <v>995</v>
      </c>
      <c r="G48" s="8">
        <f>SUM(C48:F48)</f>
        <v>395761</v>
      </c>
      <c r="H48" s="20">
        <f>ROUND(G48/3662,2)</f>
        <v>108.07</v>
      </c>
    </row>
    <row r="49" spans="1:8" x14ac:dyDescent="0.25">
      <c r="A49" s="3" t="s">
        <v>49</v>
      </c>
      <c r="B49" s="3"/>
      <c r="C49" s="8">
        <v>83150</v>
      </c>
      <c r="D49" s="8">
        <v>0</v>
      </c>
      <c r="E49" s="8">
        <v>38320</v>
      </c>
      <c r="F49" s="8">
        <v>20030</v>
      </c>
      <c r="G49" s="8">
        <f>SUM(C49:F49)</f>
        <v>141500</v>
      </c>
      <c r="H49" s="20">
        <f>ROUND(G49/3662,2)</f>
        <v>38.64</v>
      </c>
    </row>
    <row r="50" spans="1:8" x14ac:dyDescent="0.25">
      <c r="A50" s="3" t="s">
        <v>50</v>
      </c>
      <c r="B50" s="3"/>
      <c r="C50" s="8">
        <v>0</v>
      </c>
      <c r="D50" s="8">
        <v>0</v>
      </c>
      <c r="E50" s="8">
        <v>0</v>
      </c>
      <c r="F50" s="8">
        <v>505</v>
      </c>
      <c r="G50" s="8">
        <f>SUM(C50:F50)</f>
        <v>505</v>
      </c>
      <c r="H50" s="20">
        <f>ROUND(G50/3662,2)</f>
        <v>0.14000000000000001</v>
      </c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 t="s">
        <v>2</v>
      </c>
      <c r="D52" s="3">
        <v>2022</v>
      </c>
      <c r="E52" s="3" t="s">
        <v>51</v>
      </c>
      <c r="F52" s="3"/>
      <c r="G52" s="3"/>
      <c r="H52" s="3"/>
    </row>
    <row r="53" spans="1:8" x14ac:dyDescent="0.25">
      <c r="A53" s="3" t="s">
        <v>52</v>
      </c>
      <c r="B53" s="3"/>
      <c r="C53" s="12">
        <v>0.84009999999999996</v>
      </c>
      <c r="D53" s="12">
        <v>0.83340000000000003</v>
      </c>
      <c r="E53" s="12">
        <v>0.77659999999999996</v>
      </c>
      <c r="F53" s="3"/>
      <c r="G53" s="3"/>
      <c r="H53" s="3"/>
    </row>
    <row r="54" spans="1:8" x14ac:dyDescent="0.25">
      <c r="A54" s="3" t="s">
        <v>53</v>
      </c>
      <c r="B54" s="3"/>
      <c r="C54" s="12">
        <v>0.82440000000000002</v>
      </c>
      <c r="D54" s="12">
        <v>0.81840000000000002</v>
      </c>
      <c r="E54" s="12">
        <v>0.75900000000000001</v>
      </c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 t="s">
        <v>256</v>
      </c>
      <c r="B56" s="3"/>
      <c r="C56" s="3" t="s">
        <v>2</v>
      </c>
      <c r="D56" s="3" t="s">
        <v>226</v>
      </c>
      <c r="E56" s="3" t="s">
        <v>55</v>
      </c>
      <c r="F56" s="3" t="s">
        <v>254</v>
      </c>
      <c r="G56" s="3"/>
      <c r="H56" s="3"/>
    </row>
    <row r="57" spans="1:8" x14ac:dyDescent="0.25">
      <c r="A57" s="3" t="s">
        <v>56</v>
      </c>
      <c r="B57" s="3"/>
      <c r="C57" s="3"/>
      <c r="D57" s="3">
        <v>67.91</v>
      </c>
      <c r="E57" s="3">
        <v>81.5</v>
      </c>
      <c r="F57" s="3">
        <v>50.61</v>
      </c>
      <c r="G57" s="3"/>
      <c r="H57" s="3"/>
    </row>
    <row r="58" spans="1:8" x14ac:dyDescent="0.25">
      <c r="A58" s="3" t="s">
        <v>57</v>
      </c>
      <c r="B58" s="3"/>
      <c r="C58" s="3"/>
      <c r="D58" s="3">
        <v>43.9</v>
      </c>
      <c r="E58" s="3">
        <v>58.24</v>
      </c>
      <c r="F58" s="3">
        <v>57.37</v>
      </c>
      <c r="G58" s="3"/>
      <c r="H58" s="3"/>
    </row>
    <row r="59" spans="1:8" x14ac:dyDescent="0.25">
      <c r="A59" s="3" t="s">
        <v>58</v>
      </c>
      <c r="B59" s="3"/>
      <c r="C59" s="3"/>
      <c r="D59" s="3">
        <v>222.35</v>
      </c>
      <c r="E59" s="3">
        <v>261.52999999999997</v>
      </c>
      <c r="F59" s="3">
        <v>249.57</v>
      </c>
      <c r="G59" s="3"/>
      <c r="H59" s="3"/>
    </row>
    <row r="60" spans="1:8" x14ac:dyDescent="0.25">
      <c r="A60" s="3" t="s">
        <v>59</v>
      </c>
      <c r="B60" s="3"/>
      <c r="C60" s="3"/>
      <c r="D60" s="3">
        <v>92.18</v>
      </c>
      <c r="E60" s="3">
        <v>103.11</v>
      </c>
      <c r="F60" s="3">
        <v>71.400000000000006</v>
      </c>
      <c r="G60" s="3"/>
      <c r="H6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I48"/>
  <sheetViews>
    <sheetView topLeftCell="A15" zoomScaleNormal="100" zoomScaleSheetLayoutView="100" workbookViewId="0">
      <selection activeCell="G45" sqref="G45:G48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4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227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875</v>
      </c>
    </row>
    <row r="7" spans="1:9" x14ac:dyDescent="0.25">
      <c r="C7" s="1" t="s">
        <v>5</v>
      </c>
    </row>
    <row r="8" spans="1:9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</row>
    <row r="9" spans="1:9" x14ac:dyDescent="0.25">
      <c r="A9" s="10" t="s">
        <v>19</v>
      </c>
      <c r="B9" s="10" t="s">
        <v>20</v>
      </c>
      <c r="C9" s="10">
        <v>13330</v>
      </c>
      <c r="D9" s="10"/>
      <c r="E9" s="10">
        <v>391.18</v>
      </c>
      <c r="F9" s="10"/>
      <c r="G9" s="10">
        <f t="shared" ref="G9:G32" si="0">SUM(C9:F9)</f>
        <v>13721.18</v>
      </c>
      <c r="H9" s="19">
        <f t="shared" ref="H9:H32" si="1">ROUND(G9/875,2)</f>
        <v>15.68</v>
      </c>
      <c r="I9" s="4">
        <f t="shared" ref="I9:I32" si="2">ROUND(G9/$G$33,3)</f>
        <v>0.10299999999999999</v>
      </c>
    </row>
    <row r="10" spans="1:9" x14ac:dyDescent="0.25">
      <c r="A10" s="10" t="s">
        <v>19</v>
      </c>
      <c r="B10" s="10" t="s">
        <v>21</v>
      </c>
      <c r="C10" s="10">
        <v>19060</v>
      </c>
      <c r="D10" s="10"/>
      <c r="E10" s="10"/>
      <c r="F10" s="10"/>
      <c r="G10" s="10">
        <f t="shared" si="0"/>
        <v>19060</v>
      </c>
      <c r="H10" s="19">
        <f t="shared" si="1"/>
        <v>21.78</v>
      </c>
      <c r="I10" s="4">
        <f t="shared" si="2"/>
        <v>0.14399999999999999</v>
      </c>
    </row>
    <row r="11" spans="1:9" x14ac:dyDescent="0.25">
      <c r="A11" s="10" t="s">
        <v>19</v>
      </c>
      <c r="B11" s="10" t="s">
        <v>23</v>
      </c>
      <c r="C11" s="10"/>
      <c r="D11" s="10"/>
      <c r="E11" s="10">
        <v>6192.14</v>
      </c>
      <c r="F11" s="10"/>
      <c r="G11" s="10">
        <f t="shared" si="0"/>
        <v>6192.14</v>
      </c>
      <c r="H11" s="19">
        <f t="shared" si="1"/>
        <v>7.08</v>
      </c>
      <c r="I11" s="4">
        <f t="shared" si="2"/>
        <v>4.7E-2</v>
      </c>
    </row>
    <row r="12" spans="1:9" x14ac:dyDescent="0.25">
      <c r="A12" s="10" t="s">
        <v>19</v>
      </c>
      <c r="B12" s="10" t="s">
        <v>24</v>
      </c>
      <c r="C12" s="10">
        <v>13700</v>
      </c>
      <c r="D12" s="10"/>
      <c r="E12" s="10">
        <v>1017.15</v>
      </c>
      <c r="F12" s="10"/>
      <c r="G12" s="10">
        <f t="shared" si="0"/>
        <v>14717.15</v>
      </c>
      <c r="H12" s="19">
        <f t="shared" si="1"/>
        <v>16.82</v>
      </c>
      <c r="I12" s="4">
        <f t="shared" si="2"/>
        <v>0.111</v>
      </c>
    </row>
    <row r="13" spans="1:9" x14ac:dyDescent="0.25">
      <c r="A13" s="10" t="s">
        <v>19</v>
      </c>
      <c r="B13" s="10" t="s">
        <v>25</v>
      </c>
      <c r="C13" s="10">
        <v>20800</v>
      </c>
      <c r="D13" s="10"/>
      <c r="E13" s="10"/>
      <c r="F13" s="10"/>
      <c r="G13" s="10">
        <f t="shared" si="0"/>
        <v>20800</v>
      </c>
      <c r="H13" s="19">
        <f t="shared" si="1"/>
        <v>23.77</v>
      </c>
      <c r="I13" s="4">
        <f t="shared" si="2"/>
        <v>0.157</v>
      </c>
    </row>
    <row r="14" spans="1:9" x14ac:dyDescent="0.25">
      <c r="A14" s="10" t="s">
        <v>19</v>
      </c>
      <c r="B14" s="10" t="s">
        <v>29</v>
      </c>
      <c r="C14" s="10"/>
      <c r="D14" s="10"/>
      <c r="E14" s="10">
        <v>1053.75</v>
      </c>
      <c r="F14" s="10"/>
      <c r="G14" s="10">
        <f t="shared" si="0"/>
        <v>1053.75</v>
      </c>
      <c r="H14" s="19">
        <f t="shared" si="1"/>
        <v>1.2</v>
      </c>
      <c r="I14" s="4">
        <f t="shared" si="2"/>
        <v>8.0000000000000002E-3</v>
      </c>
    </row>
    <row r="15" spans="1:9" x14ac:dyDescent="0.25">
      <c r="A15" s="10" t="s">
        <v>19</v>
      </c>
      <c r="B15" s="10" t="s">
        <v>30</v>
      </c>
      <c r="C15" s="10"/>
      <c r="D15" s="10"/>
      <c r="E15" s="10">
        <v>104.12</v>
      </c>
      <c r="F15" s="10"/>
      <c r="G15" s="10">
        <f t="shared" si="0"/>
        <v>104.12</v>
      </c>
      <c r="H15" s="19">
        <f t="shared" si="1"/>
        <v>0.12</v>
      </c>
      <c r="I15" s="4">
        <f t="shared" si="2"/>
        <v>1E-3</v>
      </c>
    </row>
    <row r="16" spans="1:9" x14ac:dyDescent="0.25">
      <c r="A16" s="10" t="s">
        <v>19</v>
      </c>
      <c r="B16" s="10" t="s">
        <v>31</v>
      </c>
      <c r="C16" s="10"/>
      <c r="D16" s="10"/>
      <c r="E16" s="10">
        <v>30</v>
      </c>
      <c r="F16" s="10"/>
      <c r="G16" s="10">
        <f t="shared" si="0"/>
        <v>30</v>
      </c>
      <c r="H16" s="19">
        <f t="shared" si="1"/>
        <v>0.03</v>
      </c>
      <c r="I16" s="4">
        <f t="shared" si="2"/>
        <v>0</v>
      </c>
    </row>
    <row r="17" spans="1:9" x14ac:dyDescent="0.25">
      <c r="A17" s="10" t="s">
        <v>19</v>
      </c>
      <c r="B17" s="10" t="s">
        <v>34</v>
      </c>
      <c r="C17" s="10"/>
      <c r="D17" s="10"/>
      <c r="E17" s="10">
        <v>328.12</v>
      </c>
      <c r="F17" s="10"/>
      <c r="G17" s="10">
        <f t="shared" si="0"/>
        <v>328.12</v>
      </c>
      <c r="H17" s="19">
        <f t="shared" si="1"/>
        <v>0.37</v>
      </c>
      <c r="I17" s="4">
        <f t="shared" si="2"/>
        <v>2E-3</v>
      </c>
    </row>
    <row r="18" spans="1:9" x14ac:dyDescent="0.25">
      <c r="A18" s="10" t="s">
        <v>19</v>
      </c>
      <c r="B18" s="10" t="s">
        <v>35</v>
      </c>
      <c r="C18" s="10"/>
      <c r="D18" s="10"/>
      <c r="E18" s="10">
        <v>220.47</v>
      </c>
      <c r="F18" s="10"/>
      <c r="G18" s="10">
        <f t="shared" si="0"/>
        <v>220.47</v>
      </c>
      <c r="H18" s="19">
        <f t="shared" si="1"/>
        <v>0.25</v>
      </c>
      <c r="I18" s="4">
        <f t="shared" si="2"/>
        <v>2E-3</v>
      </c>
    </row>
    <row r="19" spans="1:9" x14ac:dyDescent="0.25">
      <c r="A19" s="10" t="s">
        <v>19</v>
      </c>
      <c r="B19" s="10" t="s">
        <v>36</v>
      </c>
      <c r="C19" s="10"/>
      <c r="D19" s="10"/>
      <c r="E19" s="10">
        <v>8212.3700000000008</v>
      </c>
      <c r="F19" s="10"/>
      <c r="G19" s="10">
        <f t="shared" si="0"/>
        <v>8212.3700000000008</v>
      </c>
      <c r="H19" s="19">
        <f t="shared" si="1"/>
        <v>9.39</v>
      </c>
      <c r="I19" s="4">
        <f t="shared" si="2"/>
        <v>6.2E-2</v>
      </c>
    </row>
    <row r="20" spans="1:9" x14ac:dyDescent="0.25">
      <c r="A20" s="10" t="s">
        <v>19</v>
      </c>
      <c r="B20" s="10" t="s">
        <v>38</v>
      </c>
      <c r="C20" s="10"/>
      <c r="D20" s="10"/>
      <c r="E20" s="10">
        <v>3584.75</v>
      </c>
      <c r="F20" s="10"/>
      <c r="G20" s="10">
        <f t="shared" si="0"/>
        <v>3584.75</v>
      </c>
      <c r="H20" s="19">
        <f t="shared" si="1"/>
        <v>4.0999999999999996</v>
      </c>
      <c r="I20" s="4">
        <f t="shared" si="2"/>
        <v>2.7E-2</v>
      </c>
    </row>
    <row r="21" spans="1:9" x14ac:dyDescent="0.25">
      <c r="A21" s="10" t="s">
        <v>19</v>
      </c>
      <c r="B21" s="10" t="s">
        <v>39</v>
      </c>
      <c r="C21" s="10"/>
      <c r="D21" s="10"/>
      <c r="E21" s="10">
        <v>704.07</v>
      </c>
      <c r="F21" s="10"/>
      <c r="G21" s="10">
        <f t="shared" si="0"/>
        <v>704.07</v>
      </c>
      <c r="H21" s="19">
        <f t="shared" si="1"/>
        <v>0.8</v>
      </c>
      <c r="I21" s="4">
        <f t="shared" si="2"/>
        <v>5.0000000000000001E-3</v>
      </c>
    </row>
    <row r="22" spans="1:9" x14ac:dyDescent="0.25">
      <c r="A22" s="10" t="s">
        <v>19</v>
      </c>
      <c r="B22" s="10" t="s">
        <v>41</v>
      </c>
      <c r="C22" s="10"/>
      <c r="D22" s="10"/>
      <c r="E22" s="10"/>
      <c r="F22" s="10"/>
      <c r="G22" s="10">
        <f t="shared" si="0"/>
        <v>0</v>
      </c>
      <c r="H22" s="19">
        <f t="shared" si="1"/>
        <v>0</v>
      </c>
      <c r="I22" s="4">
        <f t="shared" si="2"/>
        <v>0</v>
      </c>
    </row>
    <row r="23" spans="1:9" x14ac:dyDescent="0.25">
      <c r="A23" s="10" t="s">
        <v>19</v>
      </c>
      <c r="B23" s="10" t="s">
        <v>28</v>
      </c>
      <c r="C23" s="10"/>
      <c r="D23" s="10"/>
      <c r="E23" s="10"/>
      <c r="F23" s="10"/>
      <c r="G23" s="10">
        <f t="shared" si="0"/>
        <v>0</v>
      </c>
      <c r="H23" s="19">
        <f t="shared" si="1"/>
        <v>0</v>
      </c>
      <c r="I23" s="4">
        <f t="shared" si="2"/>
        <v>0</v>
      </c>
    </row>
    <row r="24" spans="1:9" x14ac:dyDescent="0.25">
      <c r="A24" s="10" t="s">
        <v>19</v>
      </c>
      <c r="B24" s="10" t="s">
        <v>32</v>
      </c>
      <c r="C24" s="10"/>
      <c r="D24" s="10"/>
      <c r="E24" s="10"/>
      <c r="F24" s="10"/>
      <c r="G24" s="10">
        <f t="shared" si="0"/>
        <v>0</v>
      </c>
      <c r="H24" s="19">
        <f t="shared" si="1"/>
        <v>0</v>
      </c>
      <c r="I24" s="4">
        <f t="shared" si="2"/>
        <v>0</v>
      </c>
    </row>
    <row r="25" spans="1:9" x14ac:dyDescent="0.25">
      <c r="A25" s="10" t="s">
        <v>19</v>
      </c>
      <c r="B25" s="10" t="s">
        <v>33</v>
      </c>
      <c r="C25" s="10"/>
      <c r="D25" s="10"/>
      <c r="E25" s="10"/>
      <c r="F25" s="10"/>
      <c r="G25" s="10">
        <f t="shared" si="0"/>
        <v>0</v>
      </c>
      <c r="H25" s="19">
        <f t="shared" si="1"/>
        <v>0</v>
      </c>
      <c r="I25" s="4">
        <f t="shared" si="2"/>
        <v>0</v>
      </c>
    </row>
    <row r="26" spans="1:9" x14ac:dyDescent="0.25">
      <c r="A26" s="10" t="s">
        <v>19</v>
      </c>
      <c r="B26" s="10" t="s">
        <v>22</v>
      </c>
      <c r="C26" s="10"/>
      <c r="D26" s="10"/>
      <c r="E26" s="10"/>
      <c r="F26" s="10"/>
      <c r="G26" s="10">
        <f t="shared" si="0"/>
        <v>0</v>
      </c>
      <c r="H26" s="19">
        <f t="shared" si="1"/>
        <v>0</v>
      </c>
      <c r="I26" s="4">
        <f t="shared" si="2"/>
        <v>0</v>
      </c>
    </row>
    <row r="27" spans="1:9" x14ac:dyDescent="0.25">
      <c r="A27" s="10" t="s">
        <v>19</v>
      </c>
      <c r="B27" s="10" t="s">
        <v>42</v>
      </c>
      <c r="C27" s="10"/>
      <c r="D27" s="10"/>
      <c r="E27" s="10"/>
      <c r="F27" s="10"/>
      <c r="G27" s="10">
        <f t="shared" si="0"/>
        <v>0</v>
      </c>
      <c r="H27" s="19">
        <f t="shared" si="1"/>
        <v>0</v>
      </c>
      <c r="I27" s="4">
        <f t="shared" si="2"/>
        <v>0</v>
      </c>
    </row>
    <row r="28" spans="1:9" x14ac:dyDescent="0.25">
      <c r="A28" s="10" t="s">
        <v>19</v>
      </c>
      <c r="B28" s="10" t="s">
        <v>37</v>
      </c>
      <c r="C28" s="10"/>
      <c r="D28" s="10"/>
      <c r="E28" s="10"/>
      <c r="F28" s="10"/>
      <c r="G28" s="10">
        <f t="shared" si="0"/>
        <v>0</v>
      </c>
      <c r="H28" s="19">
        <f t="shared" si="1"/>
        <v>0</v>
      </c>
      <c r="I28" s="4">
        <f t="shared" si="2"/>
        <v>0</v>
      </c>
    </row>
    <row r="29" spans="1:9" x14ac:dyDescent="0.25">
      <c r="A29" s="10" t="s">
        <v>43</v>
      </c>
      <c r="B29" s="10" t="s">
        <v>44</v>
      </c>
      <c r="C29" s="10">
        <v>39220</v>
      </c>
      <c r="D29" s="10"/>
      <c r="E29" s="10"/>
      <c r="F29" s="10"/>
      <c r="G29" s="10">
        <f t="shared" si="0"/>
        <v>39220</v>
      </c>
      <c r="H29" s="19">
        <f t="shared" si="1"/>
        <v>44.82</v>
      </c>
      <c r="I29" s="4">
        <f t="shared" si="2"/>
        <v>0.29599999999999999</v>
      </c>
    </row>
    <row r="30" spans="1:9" x14ac:dyDescent="0.25">
      <c r="A30" s="10" t="s">
        <v>43</v>
      </c>
      <c r="B30" s="10" t="s">
        <v>45</v>
      </c>
      <c r="C30" s="10"/>
      <c r="D30" s="10"/>
      <c r="E30" s="10">
        <v>4719.5200000000004</v>
      </c>
      <c r="F30" s="10"/>
      <c r="G30" s="10">
        <f t="shared" si="0"/>
        <v>4719.5200000000004</v>
      </c>
      <c r="H30" s="19">
        <f t="shared" si="1"/>
        <v>5.39</v>
      </c>
      <c r="I30" s="4">
        <f t="shared" si="2"/>
        <v>3.5999999999999997E-2</v>
      </c>
    </row>
    <row r="31" spans="1:9" x14ac:dyDescent="0.25">
      <c r="A31" s="10" t="s">
        <v>43</v>
      </c>
      <c r="B31" s="10" t="s">
        <v>46</v>
      </c>
      <c r="C31" s="10"/>
      <c r="D31" s="10"/>
      <c r="E31" s="10"/>
      <c r="F31" s="10"/>
      <c r="G31" s="10">
        <f t="shared" si="0"/>
        <v>0</v>
      </c>
      <c r="H31" s="19">
        <f t="shared" si="1"/>
        <v>0</v>
      </c>
      <c r="I31" s="4">
        <f t="shared" si="2"/>
        <v>0</v>
      </c>
    </row>
    <row r="32" spans="1:9" x14ac:dyDescent="0.25">
      <c r="A32" s="10" t="s">
        <v>15</v>
      </c>
      <c r="B32" s="10" t="s">
        <v>18</v>
      </c>
      <c r="C32" s="10"/>
      <c r="D32" s="10"/>
      <c r="E32" s="10"/>
      <c r="F32" s="10"/>
      <c r="G32" s="10">
        <f t="shared" si="0"/>
        <v>0</v>
      </c>
      <c r="H32" s="19">
        <f t="shared" si="1"/>
        <v>0</v>
      </c>
      <c r="I32" s="4">
        <f t="shared" si="2"/>
        <v>0</v>
      </c>
    </row>
    <row r="33" spans="1:9" x14ac:dyDescent="0.25">
      <c r="A33" s="8" t="s">
        <v>253</v>
      </c>
      <c r="B33" s="8"/>
      <c r="C33" s="8">
        <f t="shared" ref="C33:H33" si="3">SUM(C8:C32)</f>
        <v>106110</v>
      </c>
      <c r="D33" s="8">
        <f t="shared" si="3"/>
        <v>0</v>
      </c>
      <c r="E33" s="8">
        <f t="shared" si="3"/>
        <v>26557.640000000003</v>
      </c>
      <c r="F33" s="8">
        <f t="shared" si="3"/>
        <v>0</v>
      </c>
      <c r="G33" s="8">
        <f t="shared" si="3"/>
        <v>132667.63999999998</v>
      </c>
      <c r="H33" s="8">
        <f t="shared" si="3"/>
        <v>151.6</v>
      </c>
      <c r="I33" s="10"/>
    </row>
    <row r="34" spans="1:9" x14ac:dyDescent="0.25">
      <c r="A34" s="8" t="s">
        <v>14</v>
      </c>
      <c r="B34" s="8"/>
      <c r="C34" s="12">
        <f>ROUND(C33/G33,2)</f>
        <v>0.8</v>
      </c>
      <c r="D34" s="12">
        <f>ROUND(D33/G33,2)</f>
        <v>0</v>
      </c>
      <c r="E34" s="12">
        <f>ROUND(E33/G33,2)</f>
        <v>0.2</v>
      </c>
      <c r="F34" s="12">
        <f>ROUND(F33/G33,2)</f>
        <v>0</v>
      </c>
      <c r="G34" s="8"/>
      <c r="H34" s="8"/>
      <c r="I34" s="10"/>
    </row>
    <row r="35" spans="1:9" x14ac:dyDescent="0.25">
      <c r="A35" s="8" t="s">
        <v>47</v>
      </c>
      <c r="B35" s="8"/>
      <c r="C35" s="8"/>
      <c r="D35" s="8"/>
      <c r="E35" s="8"/>
      <c r="F35" s="8"/>
      <c r="G35" s="8"/>
      <c r="H35" s="8"/>
      <c r="I35" s="10"/>
    </row>
    <row r="36" spans="1:9" x14ac:dyDescent="0.25">
      <c r="A36" s="8" t="s">
        <v>48</v>
      </c>
      <c r="B36" s="8"/>
      <c r="C36" s="8">
        <v>66890</v>
      </c>
      <c r="D36" s="8">
        <v>0</v>
      </c>
      <c r="E36" s="8">
        <v>21838.12</v>
      </c>
      <c r="F36" s="8">
        <v>0</v>
      </c>
      <c r="G36" s="8">
        <f>SUM(C36:F36)</f>
        <v>88728.12</v>
      </c>
      <c r="H36" s="8">
        <f>ROUND(G36/875,2)</f>
        <v>101.4</v>
      </c>
      <c r="I36" s="10"/>
    </row>
    <row r="37" spans="1:9" x14ac:dyDescent="0.25">
      <c r="A37" s="8" t="s">
        <v>49</v>
      </c>
      <c r="B37" s="8"/>
      <c r="C37" s="8">
        <v>39220</v>
      </c>
      <c r="D37" s="8">
        <v>0</v>
      </c>
      <c r="E37" s="8">
        <v>4719.5200000000004</v>
      </c>
      <c r="F37" s="8">
        <v>0</v>
      </c>
      <c r="G37" s="8">
        <f>SUM(C37:F37)</f>
        <v>43939.520000000004</v>
      </c>
      <c r="H37" s="8">
        <f>ROUND(G37/875,2)</f>
        <v>50.22</v>
      </c>
      <c r="I37" s="10"/>
    </row>
    <row r="38" spans="1:9" x14ac:dyDescent="0.25">
      <c r="A38" s="8" t="s">
        <v>50</v>
      </c>
      <c r="B38" s="8"/>
      <c r="C38" s="8">
        <v>0</v>
      </c>
      <c r="D38" s="8">
        <v>0</v>
      </c>
      <c r="E38" s="8">
        <v>0</v>
      </c>
      <c r="F38" s="8">
        <v>0</v>
      </c>
      <c r="G38" s="8">
        <f>SUM(C38:F38)</f>
        <v>0</v>
      </c>
      <c r="H38" s="8">
        <f>ROUND(G38/875,2)</f>
        <v>0</v>
      </c>
      <c r="I38" s="10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10"/>
    </row>
    <row r="40" spans="1:9" x14ac:dyDescent="0.25">
      <c r="A40" s="8"/>
      <c r="B40" s="8"/>
      <c r="C40" s="8" t="s">
        <v>2</v>
      </c>
      <c r="D40" s="11">
        <v>2022</v>
      </c>
      <c r="E40" s="8" t="s">
        <v>51</v>
      </c>
      <c r="F40" s="8"/>
      <c r="G40" s="8"/>
      <c r="H40" s="8"/>
      <c r="I40" s="10"/>
    </row>
    <row r="41" spans="1:9" x14ac:dyDescent="0.25">
      <c r="A41" s="8" t="s">
        <v>52</v>
      </c>
      <c r="B41" s="8"/>
      <c r="C41" s="12">
        <v>0.68989999999999996</v>
      </c>
      <c r="D41" s="12">
        <v>0.69330000000000003</v>
      </c>
      <c r="E41" s="12">
        <v>0.77659999999999996</v>
      </c>
      <c r="F41" s="8"/>
      <c r="G41" s="8"/>
      <c r="H41" s="8"/>
      <c r="I41" s="10"/>
    </row>
    <row r="42" spans="1:9" x14ac:dyDescent="0.25">
      <c r="A42" s="8" t="s">
        <v>53</v>
      </c>
      <c r="B42" s="8"/>
      <c r="C42" s="12">
        <v>0.68989999999999996</v>
      </c>
      <c r="D42" s="12">
        <v>0.65910000000000002</v>
      </c>
      <c r="E42" s="12">
        <v>0.75900000000000001</v>
      </c>
      <c r="F42" s="8"/>
      <c r="G42" s="8"/>
      <c r="H42" s="8"/>
      <c r="I42" s="10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10"/>
    </row>
    <row r="44" spans="1:9" x14ac:dyDescent="0.25">
      <c r="A44" s="8" t="s">
        <v>256</v>
      </c>
      <c r="B44" s="8"/>
      <c r="C44" s="8" t="s">
        <v>2</v>
      </c>
      <c r="D44" s="8" t="s">
        <v>228</v>
      </c>
      <c r="E44" s="8" t="s">
        <v>55</v>
      </c>
      <c r="F44" s="8" t="s">
        <v>254</v>
      </c>
      <c r="G44" s="8"/>
      <c r="H44" s="8"/>
      <c r="I44" s="10"/>
    </row>
    <row r="45" spans="1:9" x14ac:dyDescent="0.25">
      <c r="A45" s="8" t="s">
        <v>56</v>
      </c>
      <c r="B45" s="8"/>
      <c r="C45" s="8"/>
      <c r="D45" s="8">
        <v>75.849999999999994</v>
      </c>
      <c r="E45" s="8">
        <v>81.5</v>
      </c>
      <c r="F45" s="8">
        <v>50.61</v>
      </c>
      <c r="G45" s="8"/>
      <c r="H45" s="8"/>
      <c r="I45" s="10"/>
    </row>
    <row r="46" spans="1:9" x14ac:dyDescent="0.25">
      <c r="A46" s="8" t="s">
        <v>57</v>
      </c>
      <c r="B46" s="8"/>
      <c r="C46" s="8"/>
      <c r="D46" s="8">
        <v>43.62</v>
      </c>
      <c r="E46" s="8">
        <v>58.24</v>
      </c>
      <c r="F46" s="8">
        <v>57.37</v>
      </c>
      <c r="G46" s="8"/>
      <c r="H46" s="8"/>
      <c r="I46" s="10"/>
    </row>
    <row r="47" spans="1:9" x14ac:dyDescent="0.25">
      <c r="A47" s="8" t="s">
        <v>58</v>
      </c>
      <c r="B47" s="8"/>
      <c r="C47" s="8"/>
      <c r="D47" s="8">
        <v>187.23</v>
      </c>
      <c r="E47" s="8">
        <v>261.52999999999997</v>
      </c>
      <c r="F47" s="8">
        <v>249.57</v>
      </c>
      <c r="G47" s="8"/>
      <c r="H47" s="8"/>
      <c r="I47" s="10"/>
    </row>
    <row r="48" spans="1:9" x14ac:dyDescent="0.25">
      <c r="A48" s="8" t="s">
        <v>59</v>
      </c>
      <c r="B48" s="8"/>
      <c r="C48" s="8"/>
      <c r="D48" s="8">
        <v>92.41</v>
      </c>
      <c r="E48" s="8">
        <v>103.11</v>
      </c>
      <c r="F48" s="8">
        <v>71.400000000000006</v>
      </c>
      <c r="G48" s="8"/>
      <c r="H48" s="8"/>
      <c r="I48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6"/>
  <sheetViews>
    <sheetView topLeftCell="A27" workbookViewId="0">
      <selection activeCell="G53" sqref="G53:G56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5703125" bestFit="1" customWidth="1"/>
    <col min="4" max="4" width="22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81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2355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15</v>
      </c>
      <c r="F9" s="10"/>
      <c r="G9" s="10">
        <f t="shared" ref="G9:G40" si="0">SUM(C9:F9)</f>
        <v>15</v>
      </c>
      <c r="H9">
        <f t="shared" ref="H9:H40" si="1">ROUND(G9/2355,2)</f>
        <v>0.01</v>
      </c>
      <c r="I9" s="14">
        <f t="shared" ref="I9:I40" si="2">ROUND(G9/$G$41,3)</f>
        <v>0</v>
      </c>
    </row>
    <row r="10" spans="1:9" x14ac:dyDescent="0.25">
      <c r="A10" t="s">
        <v>19</v>
      </c>
      <c r="B10" t="s">
        <v>20</v>
      </c>
      <c r="C10" s="10">
        <v>42600</v>
      </c>
      <c r="D10" s="10"/>
      <c r="E10" s="10"/>
      <c r="F10" s="10">
        <v>620</v>
      </c>
      <c r="G10" s="10">
        <f t="shared" si="0"/>
        <v>43220</v>
      </c>
      <c r="H10">
        <f t="shared" si="1"/>
        <v>18.350000000000001</v>
      </c>
      <c r="I10" s="14">
        <f t="shared" si="2"/>
        <v>0.1</v>
      </c>
    </row>
    <row r="11" spans="1:9" x14ac:dyDescent="0.25">
      <c r="A11" t="s">
        <v>19</v>
      </c>
      <c r="B11" t="s">
        <v>21</v>
      </c>
      <c r="C11" s="10">
        <v>51980</v>
      </c>
      <c r="D11" s="10"/>
      <c r="E11" s="10"/>
      <c r="F11" s="10"/>
      <c r="G11" s="10">
        <f t="shared" si="0"/>
        <v>51980</v>
      </c>
      <c r="H11">
        <f t="shared" si="1"/>
        <v>22.07</v>
      </c>
      <c r="I11" s="14">
        <f t="shared" si="2"/>
        <v>0.12</v>
      </c>
    </row>
    <row r="12" spans="1:9" x14ac:dyDescent="0.25">
      <c r="A12" t="s">
        <v>19</v>
      </c>
      <c r="B12" t="s">
        <v>76</v>
      </c>
      <c r="C12" s="10"/>
      <c r="D12" s="10"/>
      <c r="E12" s="10">
        <v>39</v>
      </c>
      <c r="F12" s="10"/>
      <c r="G12" s="10">
        <f t="shared" si="0"/>
        <v>39</v>
      </c>
      <c r="H12">
        <f t="shared" si="1"/>
        <v>0.02</v>
      </c>
      <c r="I12" s="14">
        <f t="shared" si="2"/>
        <v>0</v>
      </c>
    </row>
    <row r="13" spans="1:9" x14ac:dyDescent="0.25">
      <c r="A13" t="s">
        <v>19</v>
      </c>
      <c r="B13" t="s">
        <v>41</v>
      </c>
      <c r="C13" s="10"/>
      <c r="D13" s="10"/>
      <c r="E13" s="10">
        <v>72</v>
      </c>
      <c r="F13" s="10"/>
      <c r="G13" s="10">
        <f t="shared" si="0"/>
        <v>72</v>
      </c>
      <c r="H13">
        <f t="shared" si="1"/>
        <v>0.03</v>
      </c>
      <c r="I13" s="14">
        <f t="shared" si="2"/>
        <v>0</v>
      </c>
    </row>
    <row r="14" spans="1:9" x14ac:dyDescent="0.25">
      <c r="A14" t="s">
        <v>19</v>
      </c>
      <c r="B14" t="s">
        <v>22</v>
      </c>
      <c r="C14" s="10"/>
      <c r="D14" s="10"/>
      <c r="E14" s="10">
        <v>800</v>
      </c>
      <c r="F14" s="10"/>
      <c r="G14" s="10">
        <f t="shared" si="0"/>
        <v>800</v>
      </c>
      <c r="H14">
        <f t="shared" si="1"/>
        <v>0.34</v>
      </c>
      <c r="I14" s="14">
        <f t="shared" si="2"/>
        <v>2E-3</v>
      </c>
    </row>
    <row r="15" spans="1:9" x14ac:dyDescent="0.25">
      <c r="A15" t="s">
        <v>19</v>
      </c>
      <c r="B15" t="s">
        <v>77</v>
      </c>
      <c r="C15" s="10"/>
      <c r="D15" s="10"/>
      <c r="E15" s="10"/>
      <c r="F15" s="10">
        <v>160</v>
      </c>
      <c r="G15" s="10">
        <f t="shared" si="0"/>
        <v>160</v>
      </c>
      <c r="H15">
        <f t="shared" si="1"/>
        <v>7.0000000000000007E-2</v>
      </c>
      <c r="I15" s="14">
        <f t="shared" si="2"/>
        <v>0</v>
      </c>
    </row>
    <row r="16" spans="1:9" x14ac:dyDescent="0.25">
      <c r="A16" t="s">
        <v>19</v>
      </c>
      <c r="B16" t="s">
        <v>23</v>
      </c>
      <c r="C16" s="10"/>
      <c r="D16" s="10"/>
      <c r="E16" s="10">
        <v>21060</v>
      </c>
      <c r="F16" s="10"/>
      <c r="G16" s="10">
        <f t="shared" si="0"/>
        <v>21060</v>
      </c>
      <c r="H16">
        <f t="shared" si="1"/>
        <v>8.94</v>
      </c>
      <c r="I16" s="14">
        <f t="shared" si="2"/>
        <v>4.9000000000000002E-2</v>
      </c>
    </row>
    <row r="17" spans="1:9" x14ac:dyDescent="0.25">
      <c r="A17" t="s">
        <v>19</v>
      </c>
      <c r="B17" t="s">
        <v>24</v>
      </c>
      <c r="C17" s="10">
        <v>48790</v>
      </c>
      <c r="D17" s="10"/>
      <c r="E17" s="10">
        <v>5300</v>
      </c>
      <c r="F17" s="10">
        <v>850</v>
      </c>
      <c r="G17" s="10">
        <f t="shared" si="0"/>
        <v>54940</v>
      </c>
      <c r="H17">
        <f t="shared" si="1"/>
        <v>23.33</v>
      </c>
      <c r="I17" s="14">
        <f t="shared" si="2"/>
        <v>0.127</v>
      </c>
    </row>
    <row r="18" spans="1:9" x14ac:dyDescent="0.25">
      <c r="A18" t="s">
        <v>19</v>
      </c>
      <c r="B18" t="s">
        <v>66</v>
      </c>
      <c r="C18" s="10"/>
      <c r="D18" s="10"/>
      <c r="E18" s="10">
        <v>1190</v>
      </c>
      <c r="F18" s="10"/>
      <c r="G18" s="10">
        <f t="shared" si="0"/>
        <v>1190</v>
      </c>
      <c r="H18">
        <f t="shared" si="1"/>
        <v>0.51</v>
      </c>
      <c r="I18" s="14">
        <f t="shared" si="2"/>
        <v>3.0000000000000001E-3</v>
      </c>
    </row>
    <row r="19" spans="1:9" x14ac:dyDescent="0.25">
      <c r="A19" t="s">
        <v>19</v>
      </c>
      <c r="B19" t="s">
        <v>25</v>
      </c>
      <c r="C19" s="10">
        <v>80690</v>
      </c>
      <c r="D19" s="10"/>
      <c r="E19" s="10"/>
      <c r="F19" s="10">
        <v>1350</v>
      </c>
      <c r="G19" s="10">
        <f t="shared" si="0"/>
        <v>82040</v>
      </c>
      <c r="H19">
        <f t="shared" si="1"/>
        <v>34.840000000000003</v>
      </c>
      <c r="I19" s="14">
        <f t="shared" si="2"/>
        <v>0.19</v>
      </c>
    </row>
    <row r="20" spans="1:9" x14ac:dyDescent="0.25">
      <c r="A20" t="s">
        <v>19</v>
      </c>
      <c r="B20" t="s">
        <v>26</v>
      </c>
      <c r="C20" s="10"/>
      <c r="D20" s="10"/>
      <c r="E20" s="10">
        <v>541</v>
      </c>
      <c r="F20" s="10"/>
      <c r="G20" s="10">
        <f t="shared" si="0"/>
        <v>541</v>
      </c>
      <c r="H20">
        <f t="shared" si="1"/>
        <v>0.23</v>
      </c>
      <c r="I20" s="14">
        <f t="shared" si="2"/>
        <v>1E-3</v>
      </c>
    </row>
    <row r="21" spans="1:9" x14ac:dyDescent="0.25">
      <c r="A21" t="s">
        <v>19</v>
      </c>
      <c r="B21" t="s">
        <v>27</v>
      </c>
      <c r="C21" s="10"/>
      <c r="D21" s="10"/>
      <c r="E21" s="10">
        <v>221</v>
      </c>
      <c r="F21" s="10"/>
      <c r="G21" s="10">
        <f t="shared" si="0"/>
        <v>221</v>
      </c>
      <c r="H21">
        <f t="shared" si="1"/>
        <v>0.09</v>
      </c>
      <c r="I21" s="14">
        <f t="shared" si="2"/>
        <v>1E-3</v>
      </c>
    </row>
    <row r="22" spans="1:9" x14ac:dyDescent="0.25">
      <c r="A22" t="s">
        <v>19</v>
      </c>
      <c r="B22" t="s">
        <v>30</v>
      </c>
      <c r="C22" s="10"/>
      <c r="D22" s="10"/>
      <c r="E22" s="10">
        <v>460</v>
      </c>
      <c r="F22" s="10"/>
      <c r="G22" s="10">
        <f t="shared" si="0"/>
        <v>460</v>
      </c>
      <c r="H22">
        <f t="shared" si="1"/>
        <v>0.2</v>
      </c>
      <c r="I22" s="14">
        <f t="shared" si="2"/>
        <v>1E-3</v>
      </c>
    </row>
    <row r="23" spans="1:9" x14ac:dyDescent="0.25">
      <c r="A23" t="s">
        <v>19</v>
      </c>
      <c r="B23" t="s">
        <v>32</v>
      </c>
      <c r="C23" s="10"/>
      <c r="D23" s="10"/>
      <c r="E23" s="10">
        <v>885</v>
      </c>
      <c r="F23" s="10"/>
      <c r="G23" s="10">
        <f t="shared" si="0"/>
        <v>885</v>
      </c>
      <c r="H23">
        <f t="shared" si="1"/>
        <v>0.38</v>
      </c>
      <c r="I23" s="14">
        <f t="shared" si="2"/>
        <v>2E-3</v>
      </c>
    </row>
    <row r="24" spans="1:9" x14ac:dyDescent="0.25">
      <c r="A24" t="s">
        <v>19</v>
      </c>
      <c r="B24" t="s">
        <v>42</v>
      </c>
      <c r="C24" s="10"/>
      <c r="D24" s="10">
        <v>154</v>
      </c>
      <c r="E24" s="10"/>
      <c r="F24" s="10"/>
      <c r="G24" s="10">
        <f t="shared" si="0"/>
        <v>154</v>
      </c>
      <c r="H24">
        <f t="shared" si="1"/>
        <v>7.0000000000000007E-2</v>
      </c>
      <c r="I24" s="14">
        <f t="shared" si="2"/>
        <v>0</v>
      </c>
    </row>
    <row r="25" spans="1:9" x14ac:dyDescent="0.25">
      <c r="A25" t="s">
        <v>19</v>
      </c>
      <c r="B25" t="s">
        <v>67</v>
      </c>
      <c r="C25" s="10"/>
      <c r="D25" s="10"/>
      <c r="E25" s="10">
        <v>600</v>
      </c>
      <c r="F25" s="10"/>
      <c r="G25" s="10">
        <f t="shared" si="0"/>
        <v>600</v>
      </c>
      <c r="H25">
        <f t="shared" si="1"/>
        <v>0.25</v>
      </c>
      <c r="I25" s="14">
        <f t="shared" si="2"/>
        <v>1E-3</v>
      </c>
    </row>
    <row r="26" spans="1:9" x14ac:dyDescent="0.25">
      <c r="A26" t="s">
        <v>19</v>
      </c>
      <c r="B26" t="s">
        <v>33</v>
      </c>
      <c r="C26" s="10"/>
      <c r="D26" s="10"/>
      <c r="E26" s="10">
        <v>314</v>
      </c>
      <c r="F26" s="10"/>
      <c r="G26" s="10">
        <f t="shared" si="0"/>
        <v>314</v>
      </c>
      <c r="H26">
        <f t="shared" si="1"/>
        <v>0.13</v>
      </c>
      <c r="I26" s="14">
        <f t="shared" si="2"/>
        <v>1E-3</v>
      </c>
    </row>
    <row r="27" spans="1:9" x14ac:dyDescent="0.25">
      <c r="A27" t="s">
        <v>19</v>
      </c>
      <c r="B27" t="s">
        <v>34</v>
      </c>
      <c r="C27" s="10"/>
      <c r="D27" s="10"/>
      <c r="E27" s="10">
        <v>3600</v>
      </c>
      <c r="F27" s="10"/>
      <c r="G27" s="10">
        <f t="shared" si="0"/>
        <v>3600</v>
      </c>
      <c r="H27">
        <f t="shared" si="1"/>
        <v>1.53</v>
      </c>
      <c r="I27" s="14">
        <f t="shared" si="2"/>
        <v>8.0000000000000002E-3</v>
      </c>
    </row>
    <row r="28" spans="1:9" x14ac:dyDescent="0.25">
      <c r="A28" t="s">
        <v>19</v>
      </c>
      <c r="B28" t="s">
        <v>35</v>
      </c>
      <c r="C28" s="10"/>
      <c r="D28" s="10"/>
      <c r="E28" s="10">
        <v>1020</v>
      </c>
      <c r="F28" s="10"/>
      <c r="G28" s="10">
        <f t="shared" si="0"/>
        <v>1020</v>
      </c>
      <c r="H28">
        <f t="shared" si="1"/>
        <v>0.43</v>
      </c>
      <c r="I28" s="14">
        <f t="shared" si="2"/>
        <v>2E-3</v>
      </c>
    </row>
    <row r="29" spans="1:9" x14ac:dyDescent="0.25">
      <c r="A29" t="s">
        <v>19</v>
      </c>
      <c r="B29" t="s">
        <v>40</v>
      </c>
      <c r="C29" s="10"/>
      <c r="D29" s="10"/>
      <c r="E29" s="10">
        <v>4060</v>
      </c>
      <c r="F29" s="10"/>
      <c r="G29" s="10">
        <f t="shared" si="0"/>
        <v>4060</v>
      </c>
      <c r="H29">
        <f t="shared" si="1"/>
        <v>1.72</v>
      </c>
      <c r="I29" s="14">
        <f t="shared" si="2"/>
        <v>8.9999999999999993E-3</v>
      </c>
    </row>
    <row r="30" spans="1:9" x14ac:dyDescent="0.25">
      <c r="A30" t="s">
        <v>19</v>
      </c>
      <c r="B30" t="s">
        <v>36</v>
      </c>
      <c r="C30" s="10"/>
      <c r="D30" s="10"/>
      <c r="E30" s="10">
        <v>24560</v>
      </c>
      <c r="F30" s="10"/>
      <c r="G30" s="10">
        <f t="shared" si="0"/>
        <v>24560</v>
      </c>
      <c r="H30">
        <f t="shared" si="1"/>
        <v>10.43</v>
      </c>
      <c r="I30" s="14">
        <f t="shared" si="2"/>
        <v>5.7000000000000002E-2</v>
      </c>
    </row>
    <row r="31" spans="1:9" x14ac:dyDescent="0.25">
      <c r="A31" t="s">
        <v>19</v>
      </c>
      <c r="B31" t="s">
        <v>37</v>
      </c>
      <c r="C31" s="10"/>
      <c r="D31" s="10"/>
      <c r="E31" s="10">
        <v>2355</v>
      </c>
      <c r="F31" s="10"/>
      <c r="G31" s="10">
        <f t="shared" si="0"/>
        <v>2355</v>
      </c>
      <c r="H31">
        <f t="shared" si="1"/>
        <v>1</v>
      </c>
      <c r="I31" s="14">
        <f t="shared" si="2"/>
        <v>5.0000000000000001E-3</v>
      </c>
    </row>
    <row r="32" spans="1:9" x14ac:dyDescent="0.25">
      <c r="A32" t="s">
        <v>19</v>
      </c>
      <c r="B32" t="s">
        <v>38</v>
      </c>
      <c r="C32" s="10"/>
      <c r="D32" s="10"/>
      <c r="E32" s="10">
        <v>7700</v>
      </c>
      <c r="F32" s="10"/>
      <c r="G32" s="10">
        <f t="shared" si="0"/>
        <v>7700</v>
      </c>
      <c r="H32">
        <f t="shared" si="1"/>
        <v>3.27</v>
      </c>
      <c r="I32" s="14">
        <f t="shared" si="2"/>
        <v>1.7999999999999999E-2</v>
      </c>
    </row>
    <row r="33" spans="1:9" x14ac:dyDescent="0.25">
      <c r="A33" t="s">
        <v>19</v>
      </c>
      <c r="B33" t="s">
        <v>39</v>
      </c>
      <c r="C33" s="10"/>
      <c r="D33" s="10"/>
      <c r="E33" s="10">
        <v>45870</v>
      </c>
      <c r="F33" s="10"/>
      <c r="G33" s="10">
        <f t="shared" si="0"/>
        <v>45870</v>
      </c>
      <c r="H33">
        <f t="shared" si="1"/>
        <v>19.48</v>
      </c>
      <c r="I33" s="14">
        <f t="shared" si="2"/>
        <v>0.106</v>
      </c>
    </row>
    <row r="34" spans="1:9" x14ac:dyDescent="0.25">
      <c r="A34" t="s">
        <v>19</v>
      </c>
      <c r="B34" t="s">
        <v>29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19</v>
      </c>
      <c r="B35" t="s">
        <v>28</v>
      </c>
      <c r="C35" s="10"/>
      <c r="D35" s="10"/>
      <c r="E35" s="10"/>
      <c r="F35" s="10"/>
      <c r="G35" s="10">
        <f t="shared" si="0"/>
        <v>0</v>
      </c>
      <c r="H35">
        <f t="shared" si="1"/>
        <v>0</v>
      </c>
      <c r="I35" s="14">
        <f t="shared" si="2"/>
        <v>0</v>
      </c>
    </row>
    <row r="36" spans="1:9" x14ac:dyDescent="0.25">
      <c r="A36" t="s">
        <v>43</v>
      </c>
      <c r="B36" t="s">
        <v>44</v>
      </c>
      <c r="C36" s="10">
        <v>54460</v>
      </c>
      <c r="D36" s="10"/>
      <c r="E36" s="10"/>
      <c r="F36" s="10">
        <v>1360</v>
      </c>
      <c r="G36" s="10">
        <f t="shared" si="0"/>
        <v>55820</v>
      </c>
      <c r="H36">
        <f t="shared" si="1"/>
        <v>23.7</v>
      </c>
      <c r="I36" s="14">
        <f t="shared" si="2"/>
        <v>0.129</v>
      </c>
    </row>
    <row r="37" spans="1:9" x14ac:dyDescent="0.25">
      <c r="A37" t="s">
        <v>43</v>
      </c>
      <c r="B37" t="s">
        <v>46</v>
      </c>
      <c r="C37" s="10"/>
      <c r="D37" s="10"/>
      <c r="E37" s="10"/>
      <c r="F37" s="10">
        <v>7620</v>
      </c>
      <c r="G37" s="10">
        <f t="shared" si="0"/>
        <v>7620</v>
      </c>
      <c r="H37">
        <f t="shared" si="1"/>
        <v>3.24</v>
      </c>
      <c r="I37" s="14">
        <f t="shared" si="2"/>
        <v>1.7999999999999999E-2</v>
      </c>
    </row>
    <row r="38" spans="1:9" x14ac:dyDescent="0.25">
      <c r="A38" t="s">
        <v>43</v>
      </c>
      <c r="B38" t="s">
        <v>45</v>
      </c>
      <c r="C38" s="10"/>
      <c r="D38" s="10"/>
      <c r="E38" s="10">
        <v>21210</v>
      </c>
      <c r="F38" s="10"/>
      <c r="G38" s="10">
        <f t="shared" si="0"/>
        <v>21210</v>
      </c>
      <c r="H38">
        <f t="shared" si="1"/>
        <v>9.01</v>
      </c>
      <c r="I38" s="14">
        <f t="shared" si="2"/>
        <v>4.9000000000000002E-2</v>
      </c>
    </row>
    <row r="39" spans="1:9" x14ac:dyDescent="0.25">
      <c r="A39" t="s">
        <v>15</v>
      </c>
      <c r="B39" t="s">
        <v>18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15</v>
      </c>
      <c r="B40" t="s">
        <v>63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s="3" t="s">
        <v>253</v>
      </c>
      <c r="B41" s="3"/>
      <c r="C41" s="8">
        <f t="shared" ref="C41:H41" si="3">SUM(C8:C40)</f>
        <v>278520</v>
      </c>
      <c r="D41" s="8">
        <f t="shared" si="3"/>
        <v>154</v>
      </c>
      <c r="E41" s="8">
        <f t="shared" si="3"/>
        <v>141872</v>
      </c>
      <c r="F41" s="8">
        <f t="shared" si="3"/>
        <v>11960</v>
      </c>
      <c r="G41" s="8">
        <f t="shared" si="3"/>
        <v>432506</v>
      </c>
      <c r="H41" s="3">
        <f t="shared" si="3"/>
        <v>183.67000000000002</v>
      </c>
    </row>
    <row r="42" spans="1:9" x14ac:dyDescent="0.25">
      <c r="A42" s="3" t="s">
        <v>14</v>
      </c>
      <c r="B42" s="3"/>
      <c r="C42" s="13">
        <f>ROUND(C41/G41,2)</f>
        <v>0.64</v>
      </c>
      <c r="D42" s="13">
        <f>ROUND(D41/G41,2)</f>
        <v>0</v>
      </c>
      <c r="E42" s="13">
        <f>ROUND(E41/G41,2)</f>
        <v>0.33</v>
      </c>
      <c r="F42" s="13">
        <f>ROUND(F41/G41,2)</f>
        <v>0.03</v>
      </c>
      <c r="G42" s="3"/>
      <c r="H42" s="3"/>
    </row>
    <row r="43" spans="1:9" x14ac:dyDescent="0.25">
      <c r="A43" s="3" t="s">
        <v>47</v>
      </c>
      <c r="B43" s="3"/>
      <c r="C43" s="3"/>
      <c r="D43" s="3"/>
      <c r="E43" s="3"/>
      <c r="F43" s="3"/>
      <c r="G43" s="3"/>
      <c r="H43" s="3"/>
    </row>
    <row r="44" spans="1:9" x14ac:dyDescent="0.25">
      <c r="A44" s="3" t="s">
        <v>48</v>
      </c>
      <c r="B44" s="3"/>
      <c r="C44" s="8">
        <v>224060</v>
      </c>
      <c r="D44" s="8">
        <v>154</v>
      </c>
      <c r="E44" s="8">
        <v>120662</v>
      </c>
      <c r="F44" s="8">
        <v>2980</v>
      </c>
      <c r="G44" s="8">
        <f>SUM(C44:F44)</f>
        <v>347856</v>
      </c>
      <c r="H44" s="3">
        <f>ROUND(G44/2355,2)</f>
        <v>147.71</v>
      </c>
    </row>
    <row r="45" spans="1:9" x14ac:dyDescent="0.25">
      <c r="A45" s="3" t="s">
        <v>49</v>
      </c>
      <c r="B45" s="3"/>
      <c r="C45" s="8">
        <v>54460</v>
      </c>
      <c r="D45" s="8">
        <v>0</v>
      </c>
      <c r="E45" s="8">
        <v>21210</v>
      </c>
      <c r="F45" s="8">
        <v>8980</v>
      </c>
      <c r="G45" s="8">
        <f>SUM(C45:F45)</f>
        <v>84650</v>
      </c>
      <c r="H45" s="3">
        <f>ROUND(G45/2355,2)</f>
        <v>35.94</v>
      </c>
    </row>
    <row r="46" spans="1:9" x14ac:dyDescent="0.25">
      <c r="A46" s="3" t="s">
        <v>50</v>
      </c>
      <c r="B46" s="3"/>
      <c r="C46" s="8">
        <v>0</v>
      </c>
      <c r="D46" s="8">
        <v>0</v>
      </c>
      <c r="E46" s="8">
        <v>0</v>
      </c>
      <c r="F46" s="8">
        <v>0</v>
      </c>
      <c r="G46" s="8">
        <f>SUM(C46:F46)</f>
        <v>0</v>
      </c>
      <c r="H46" s="3">
        <f>ROUND(G46/2355,2)</f>
        <v>0</v>
      </c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A48" s="3"/>
      <c r="B48" s="3"/>
      <c r="C48" s="3" t="s">
        <v>2</v>
      </c>
      <c r="D48" s="3">
        <v>2022</v>
      </c>
      <c r="E48" s="3" t="s">
        <v>51</v>
      </c>
      <c r="F48" s="3"/>
      <c r="G48" s="3"/>
      <c r="H48" s="3"/>
    </row>
    <row r="49" spans="1:8" x14ac:dyDescent="0.25">
      <c r="A49" s="3" t="s">
        <v>52</v>
      </c>
      <c r="B49" s="3"/>
      <c r="C49" s="13">
        <v>0.86409999999999998</v>
      </c>
      <c r="D49" s="13">
        <v>0.75780000000000003</v>
      </c>
      <c r="E49" s="13">
        <v>0.77659999999999996</v>
      </c>
      <c r="F49" s="3"/>
      <c r="G49" s="3"/>
      <c r="H49" s="3"/>
    </row>
    <row r="50" spans="1:8" x14ac:dyDescent="0.25">
      <c r="A50" s="3" t="s">
        <v>53</v>
      </c>
      <c r="B50" s="3"/>
      <c r="C50" s="13">
        <v>0.85050000000000003</v>
      </c>
      <c r="D50" s="13">
        <v>0.74719999999999998</v>
      </c>
      <c r="E50" s="13">
        <v>0.75900000000000001</v>
      </c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 t="s">
        <v>256</v>
      </c>
      <c r="B52" s="3"/>
      <c r="C52" s="3" t="s">
        <v>2</v>
      </c>
      <c r="D52" s="3" t="s">
        <v>82</v>
      </c>
      <c r="E52" s="3" t="s">
        <v>55</v>
      </c>
      <c r="F52" s="3" t="s">
        <v>254</v>
      </c>
      <c r="G52" s="3"/>
      <c r="H52" s="3"/>
    </row>
    <row r="53" spans="1:8" x14ac:dyDescent="0.25">
      <c r="A53" s="3" t="s">
        <v>56</v>
      </c>
      <c r="B53" s="3"/>
      <c r="C53" s="3"/>
      <c r="D53" s="3">
        <v>79.73</v>
      </c>
      <c r="E53" s="3">
        <v>81.5</v>
      </c>
      <c r="F53" s="3">
        <v>50.61</v>
      </c>
      <c r="G53" s="3"/>
      <c r="H53" s="3"/>
    </row>
    <row r="54" spans="1:8" x14ac:dyDescent="0.25">
      <c r="A54" s="3" t="s">
        <v>57</v>
      </c>
      <c r="B54" s="3"/>
      <c r="C54" s="3"/>
      <c r="D54" s="3">
        <v>61.26</v>
      </c>
      <c r="E54" s="3">
        <v>58.24</v>
      </c>
      <c r="F54" s="3">
        <v>57.37</v>
      </c>
      <c r="G54" s="3"/>
      <c r="H54" s="3"/>
    </row>
    <row r="55" spans="1:8" x14ac:dyDescent="0.25">
      <c r="A55" s="3" t="s">
        <v>58</v>
      </c>
      <c r="B55" s="3"/>
      <c r="C55" s="3"/>
      <c r="D55" s="3">
        <v>253.87</v>
      </c>
      <c r="E55" s="3">
        <v>261.52999999999997</v>
      </c>
      <c r="F55" s="3">
        <v>249.57</v>
      </c>
      <c r="G55" s="3"/>
      <c r="H55" s="3"/>
    </row>
    <row r="56" spans="1:8" x14ac:dyDescent="0.25">
      <c r="A56" s="3" t="s">
        <v>59</v>
      </c>
      <c r="B56" s="3"/>
      <c r="C56" s="3"/>
      <c r="D56" s="3">
        <v>103.89</v>
      </c>
      <c r="E56" s="3">
        <v>103.11</v>
      </c>
      <c r="F56" s="3">
        <v>71.400000000000006</v>
      </c>
      <c r="G56" s="3"/>
      <c r="H56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2:I60"/>
  <sheetViews>
    <sheetView topLeftCell="A27" workbookViewId="0">
      <selection activeCell="G57" sqref="G57:G60"/>
    </sheetView>
  </sheetViews>
  <sheetFormatPr defaultRowHeight="15" x14ac:dyDescent="0.25"/>
  <cols>
    <col min="1" max="1" width="48.28515625" bestFit="1" customWidth="1"/>
    <col min="2" max="2" width="57.28515625" bestFit="1" customWidth="1"/>
    <col min="3" max="3" width="12.7109375" bestFit="1" customWidth="1"/>
    <col min="4" max="4" width="20.5703125" bestFit="1" customWidth="1"/>
    <col min="5" max="5" width="13.85546875" bestFit="1" customWidth="1"/>
    <col min="6" max="6" width="8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229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1220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12</v>
      </c>
      <c r="G9" s="10">
        <f t="shared" ref="G9:G44" si="0">SUM(C9:F9)</f>
        <v>12</v>
      </c>
      <c r="H9" s="19">
        <f t="shared" ref="H9:H44" si="1">ROUND(G9/1220,2)</f>
        <v>0.01</v>
      </c>
      <c r="I9" s="4">
        <f t="shared" ref="I9:I40" si="2">ROUND(G9/$G$45,3)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270</v>
      </c>
      <c r="G10" s="10">
        <f t="shared" si="0"/>
        <v>270</v>
      </c>
      <c r="H10" s="19">
        <f t="shared" si="1"/>
        <v>0.22</v>
      </c>
      <c r="I10" s="4">
        <f t="shared" si="2"/>
        <v>1E-3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 s="19">
        <f t="shared" si="1"/>
        <v>0</v>
      </c>
      <c r="I11" s="4">
        <f t="shared" si="2"/>
        <v>0</v>
      </c>
    </row>
    <row r="12" spans="1:9" x14ac:dyDescent="0.25">
      <c r="A12" t="s">
        <v>19</v>
      </c>
      <c r="B12" t="s">
        <v>64</v>
      </c>
      <c r="C12" s="10"/>
      <c r="D12" s="10"/>
      <c r="E12" s="10">
        <v>75</v>
      </c>
      <c r="F12" s="10"/>
      <c r="G12" s="10">
        <f t="shared" si="0"/>
        <v>75</v>
      </c>
      <c r="H12" s="19">
        <f t="shared" si="1"/>
        <v>0.06</v>
      </c>
      <c r="I12" s="4">
        <f t="shared" si="2"/>
        <v>0</v>
      </c>
    </row>
    <row r="13" spans="1:9" x14ac:dyDescent="0.25">
      <c r="A13" t="s">
        <v>19</v>
      </c>
      <c r="B13" t="s">
        <v>65</v>
      </c>
      <c r="C13" s="10">
        <v>4600</v>
      </c>
      <c r="D13" s="10"/>
      <c r="E13" s="10"/>
      <c r="F13" s="10"/>
      <c r="G13" s="10">
        <f t="shared" si="0"/>
        <v>4600</v>
      </c>
      <c r="H13" s="19">
        <f t="shared" si="1"/>
        <v>3.77</v>
      </c>
      <c r="I13" s="4">
        <f t="shared" si="2"/>
        <v>1.4E-2</v>
      </c>
    </row>
    <row r="14" spans="1:9" x14ac:dyDescent="0.25">
      <c r="A14" t="s">
        <v>19</v>
      </c>
      <c r="B14" t="s">
        <v>20</v>
      </c>
      <c r="C14" s="10">
        <v>21620</v>
      </c>
      <c r="D14" s="10"/>
      <c r="E14" s="10">
        <v>3798.06</v>
      </c>
      <c r="F14" s="10"/>
      <c r="G14" s="10">
        <f t="shared" si="0"/>
        <v>25418.06</v>
      </c>
      <c r="H14" s="19">
        <f t="shared" si="1"/>
        <v>20.83</v>
      </c>
      <c r="I14" s="4">
        <f t="shared" si="2"/>
        <v>7.5999999999999998E-2</v>
      </c>
    </row>
    <row r="15" spans="1:9" x14ac:dyDescent="0.25">
      <c r="A15" t="s">
        <v>19</v>
      </c>
      <c r="B15" t="s">
        <v>21</v>
      </c>
      <c r="C15" s="10">
        <v>35915</v>
      </c>
      <c r="D15" s="10"/>
      <c r="E15" s="10"/>
      <c r="F15" s="10"/>
      <c r="G15" s="10">
        <f t="shared" si="0"/>
        <v>35915</v>
      </c>
      <c r="H15" s="19">
        <f t="shared" si="1"/>
        <v>29.44</v>
      </c>
      <c r="I15" s="4">
        <f t="shared" si="2"/>
        <v>0.107</v>
      </c>
    </row>
    <row r="16" spans="1:9" x14ac:dyDescent="0.25">
      <c r="A16" t="s">
        <v>19</v>
      </c>
      <c r="B16" t="s">
        <v>76</v>
      </c>
      <c r="C16" s="10"/>
      <c r="D16" s="10"/>
      <c r="E16" s="10"/>
      <c r="F16" s="10">
        <v>60</v>
      </c>
      <c r="G16" s="10">
        <f t="shared" si="0"/>
        <v>60</v>
      </c>
      <c r="H16" s="19">
        <f t="shared" si="1"/>
        <v>0.05</v>
      </c>
      <c r="I16" s="4">
        <f t="shared" si="2"/>
        <v>0</v>
      </c>
    </row>
    <row r="17" spans="1:9" x14ac:dyDescent="0.25">
      <c r="A17" t="s">
        <v>19</v>
      </c>
      <c r="B17" t="s">
        <v>41</v>
      </c>
      <c r="C17" s="10"/>
      <c r="D17" s="10"/>
      <c r="E17" s="10">
        <v>74.28</v>
      </c>
      <c r="F17" s="10"/>
      <c r="G17" s="10">
        <f t="shared" si="0"/>
        <v>74.28</v>
      </c>
      <c r="H17" s="19">
        <f t="shared" si="1"/>
        <v>0.06</v>
      </c>
      <c r="I17" s="4">
        <f t="shared" si="2"/>
        <v>0</v>
      </c>
    </row>
    <row r="18" spans="1:9" x14ac:dyDescent="0.25">
      <c r="A18" t="s">
        <v>19</v>
      </c>
      <c r="B18" t="s">
        <v>22</v>
      </c>
      <c r="C18" s="10"/>
      <c r="D18" s="10"/>
      <c r="E18" s="10">
        <v>1325.72</v>
      </c>
      <c r="F18" s="10"/>
      <c r="G18" s="10">
        <f t="shared" si="0"/>
        <v>1325.72</v>
      </c>
      <c r="H18" s="19">
        <f t="shared" si="1"/>
        <v>1.0900000000000001</v>
      </c>
      <c r="I18" s="4">
        <f t="shared" si="2"/>
        <v>4.0000000000000001E-3</v>
      </c>
    </row>
    <row r="19" spans="1:9" x14ac:dyDescent="0.25">
      <c r="A19" t="s">
        <v>19</v>
      </c>
      <c r="B19" t="s">
        <v>177</v>
      </c>
      <c r="C19" s="10"/>
      <c r="D19" s="10"/>
      <c r="E19" s="10"/>
      <c r="F19" s="10">
        <v>65</v>
      </c>
      <c r="G19" s="10">
        <f t="shared" si="0"/>
        <v>65</v>
      </c>
      <c r="H19" s="19">
        <f t="shared" si="1"/>
        <v>0.05</v>
      </c>
      <c r="I19" s="4">
        <f t="shared" si="2"/>
        <v>0</v>
      </c>
    </row>
    <row r="20" spans="1:9" x14ac:dyDescent="0.25">
      <c r="A20" t="s">
        <v>19</v>
      </c>
      <c r="B20" t="s">
        <v>178</v>
      </c>
      <c r="C20" s="10"/>
      <c r="D20" s="10"/>
      <c r="E20" s="10"/>
      <c r="F20" s="10">
        <v>1540</v>
      </c>
      <c r="G20" s="10">
        <f t="shared" si="0"/>
        <v>1540</v>
      </c>
      <c r="H20" s="19">
        <f t="shared" si="1"/>
        <v>1.26</v>
      </c>
      <c r="I20" s="4">
        <f t="shared" si="2"/>
        <v>5.0000000000000001E-3</v>
      </c>
    </row>
    <row r="21" spans="1:9" x14ac:dyDescent="0.25">
      <c r="A21" t="s">
        <v>19</v>
      </c>
      <c r="B21" t="s">
        <v>23</v>
      </c>
      <c r="C21" s="10"/>
      <c r="D21" s="10"/>
      <c r="E21" s="10">
        <v>30565.97</v>
      </c>
      <c r="F21" s="10"/>
      <c r="G21" s="10">
        <f t="shared" si="0"/>
        <v>30565.97</v>
      </c>
      <c r="H21" s="19">
        <f t="shared" si="1"/>
        <v>25.05</v>
      </c>
      <c r="I21" s="4">
        <f t="shared" si="2"/>
        <v>9.0999999999999998E-2</v>
      </c>
    </row>
    <row r="22" spans="1:9" x14ac:dyDescent="0.25">
      <c r="A22" t="s">
        <v>19</v>
      </c>
      <c r="B22" t="s">
        <v>24</v>
      </c>
      <c r="C22" s="10">
        <v>24190</v>
      </c>
      <c r="D22" s="10"/>
      <c r="E22" s="10">
        <v>12166.67</v>
      </c>
      <c r="F22" s="10"/>
      <c r="G22" s="10">
        <f t="shared" si="0"/>
        <v>36356.67</v>
      </c>
      <c r="H22" s="19">
        <f t="shared" si="1"/>
        <v>29.8</v>
      </c>
      <c r="I22" s="4">
        <f t="shared" si="2"/>
        <v>0.108</v>
      </c>
    </row>
    <row r="23" spans="1:9" x14ac:dyDescent="0.25">
      <c r="A23" t="s">
        <v>19</v>
      </c>
      <c r="B23" t="s">
        <v>66</v>
      </c>
      <c r="C23" s="10"/>
      <c r="D23" s="10"/>
      <c r="E23" s="10">
        <v>5100</v>
      </c>
      <c r="F23" s="10"/>
      <c r="G23" s="10">
        <f t="shared" si="0"/>
        <v>5100</v>
      </c>
      <c r="H23" s="19">
        <f t="shared" si="1"/>
        <v>4.18</v>
      </c>
      <c r="I23" s="4">
        <f t="shared" si="2"/>
        <v>1.4999999999999999E-2</v>
      </c>
    </row>
    <row r="24" spans="1:9" x14ac:dyDescent="0.25">
      <c r="A24" t="s">
        <v>19</v>
      </c>
      <c r="B24" t="s">
        <v>25</v>
      </c>
      <c r="C24" s="10">
        <v>22870</v>
      </c>
      <c r="D24" s="10"/>
      <c r="E24" s="10"/>
      <c r="F24" s="10"/>
      <c r="G24" s="10">
        <f t="shared" si="0"/>
        <v>22870</v>
      </c>
      <c r="H24" s="19">
        <f t="shared" si="1"/>
        <v>18.75</v>
      </c>
      <c r="I24" s="4">
        <f t="shared" si="2"/>
        <v>6.8000000000000005E-2</v>
      </c>
    </row>
    <row r="25" spans="1:9" x14ac:dyDescent="0.25">
      <c r="A25" t="s">
        <v>19</v>
      </c>
      <c r="B25" t="s">
        <v>26</v>
      </c>
      <c r="C25" s="10"/>
      <c r="D25" s="10"/>
      <c r="E25" s="10">
        <v>647</v>
      </c>
      <c r="F25" s="10"/>
      <c r="G25" s="10">
        <f t="shared" si="0"/>
        <v>647</v>
      </c>
      <c r="H25" s="19">
        <f t="shared" si="1"/>
        <v>0.53</v>
      </c>
      <c r="I25" s="4">
        <f t="shared" si="2"/>
        <v>2E-3</v>
      </c>
    </row>
    <row r="26" spans="1:9" x14ac:dyDescent="0.25">
      <c r="A26" t="s">
        <v>19</v>
      </c>
      <c r="B26" t="s">
        <v>27</v>
      </c>
      <c r="C26" s="10"/>
      <c r="D26" s="10"/>
      <c r="E26" s="10">
        <v>365</v>
      </c>
      <c r="F26" s="10"/>
      <c r="G26" s="10">
        <f t="shared" si="0"/>
        <v>365</v>
      </c>
      <c r="H26" s="19">
        <f t="shared" si="1"/>
        <v>0.3</v>
      </c>
      <c r="I26" s="4">
        <f t="shared" si="2"/>
        <v>1E-3</v>
      </c>
    </row>
    <row r="27" spans="1:9" x14ac:dyDescent="0.25">
      <c r="A27" t="s">
        <v>19</v>
      </c>
      <c r="B27" t="s">
        <v>28</v>
      </c>
      <c r="C27" s="10"/>
      <c r="D27" s="10"/>
      <c r="E27" s="10">
        <v>51.48</v>
      </c>
      <c r="F27" s="10"/>
      <c r="G27" s="10">
        <f t="shared" si="0"/>
        <v>51.48</v>
      </c>
      <c r="H27" s="19">
        <f t="shared" si="1"/>
        <v>0.04</v>
      </c>
      <c r="I27" s="4">
        <f t="shared" si="2"/>
        <v>0</v>
      </c>
    </row>
    <row r="28" spans="1:9" x14ac:dyDescent="0.25">
      <c r="A28" t="s">
        <v>19</v>
      </c>
      <c r="B28" t="s">
        <v>29</v>
      </c>
      <c r="C28" s="10"/>
      <c r="D28" s="10"/>
      <c r="E28" s="10">
        <v>495.39</v>
      </c>
      <c r="F28" s="10"/>
      <c r="G28" s="10">
        <f t="shared" si="0"/>
        <v>495.39</v>
      </c>
      <c r="H28" s="19">
        <f t="shared" si="1"/>
        <v>0.41</v>
      </c>
      <c r="I28" s="4">
        <f t="shared" si="2"/>
        <v>1E-3</v>
      </c>
    </row>
    <row r="29" spans="1:9" x14ac:dyDescent="0.25">
      <c r="A29" t="s">
        <v>19</v>
      </c>
      <c r="B29" t="s">
        <v>30</v>
      </c>
      <c r="C29" s="10"/>
      <c r="D29" s="10"/>
      <c r="E29" s="10">
        <v>245.6</v>
      </c>
      <c r="F29" s="10"/>
      <c r="G29" s="10">
        <f t="shared" si="0"/>
        <v>245.6</v>
      </c>
      <c r="H29" s="19">
        <f t="shared" si="1"/>
        <v>0.2</v>
      </c>
      <c r="I29" s="4">
        <f t="shared" si="2"/>
        <v>1E-3</v>
      </c>
    </row>
    <row r="30" spans="1:9" x14ac:dyDescent="0.25">
      <c r="A30" t="s">
        <v>19</v>
      </c>
      <c r="B30" t="s">
        <v>32</v>
      </c>
      <c r="C30" s="10"/>
      <c r="D30" s="10"/>
      <c r="E30" s="10">
        <v>362.37</v>
      </c>
      <c r="F30" s="10"/>
      <c r="G30" s="10">
        <f t="shared" si="0"/>
        <v>362.37</v>
      </c>
      <c r="H30" s="19">
        <f t="shared" si="1"/>
        <v>0.3</v>
      </c>
      <c r="I30" s="4">
        <f t="shared" si="2"/>
        <v>1E-3</v>
      </c>
    </row>
    <row r="31" spans="1:9" x14ac:dyDescent="0.25">
      <c r="A31" t="s">
        <v>19</v>
      </c>
      <c r="B31" t="s">
        <v>42</v>
      </c>
      <c r="C31" s="10"/>
      <c r="D31" s="10">
        <v>200</v>
      </c>
      <c r="E31" s="10">
        <v>32.729999999999997</v>
      </c>
      <c r="F31" s="10"/>
      <c r="G31" s="10">
        <f t="shared" si="0"/>
        <v>232.73</v>
      </c>
      <c r="H31" s="19">
        <f t="shared" si="1"/>
        <v>0.19</v>
      </c>
      <c r="I31" s="4">
        <f t="shared" si="2"/>
        <v>1E-3</v>
      </c>
    </row>
    <row r="32" spans="1:9" x14ac:dyDescent="0.25">
      <c r="A32" t="s">
        <v>19</v>
      </c>
      <c r="B32" t="s">
        <v>34</v>
      </c>
      <c r="C32" s="10"/>
      <c r="D32" s="10"/>
      <c r="E32" s="10">
        <v>243.26</v>
      </c>
      <c r="F32" s="10"/>
      <c r="G32" s="10">
        <f t="shared" si="0"/>
        <v>243.26</v>
      </c>
      <c r="H32" s="19">
        <f t="shared" si="1"/>
        <v>0.2</v>
      </c>
      <c r="I32" s="4">
        <f t="shared" si="2"/>
        <v>1E-3</v>
      </c>
    </row>
    <row r="33" spans="1:9" x14ac:dyDescent="0.25">
      <c r="A33" t="s">
        <v>19</v>
      </c>
      <c r="B33" t="s">
        <v>40</v>
      </c>
      <c r="C33" s="10"/>
      <c r="D33" s="10"/>
      <c r="E33" s="10">
        <v>9285</v>
      </c>
      <c r="F33" s="10"/>
      <c r="G33" s="10">
        <f t="shared" si="0"/>
        <v>9285</v>
      </c>
      <c r="H33" s="19">
        <f t="shared" si="1"/>
        <v>7.61</v>
      </c>
      <c r="I33" s="4">
        <f t="shared" si="2"/>
        <v>2.8000000000000001E-2</v>
      </c>
    </row>
    <row r="34" spans="1:9" x14ac:dyDescent="0.25">
      <c r="A34" t="s">
        <v>19</v>
      </c>
      <c r="B34" t="s">
        <v>35</v>
      </c>
      <c r="C34" s="10"/>
      <c r="D34" s="10"/>
      <c r="E34" s="10">
        <v>1013.66</v>
      </c>
      <c r="F34" s="10"/>
      <c r="G34" s="10">
        <f t="shared" si="0"/>
        <v>1013.66</v>
      </c>
      <c r="H34" s="19">
        <f t="shared" si="1"/>
        <v>0.83</v>
      </c>
      <c r="I34" s="4">
        <f t="shared" si="2"/>
        <v>3.0000000000000001E-3</v>
      </c>
    </row>
    <row r="35" spans="1:9" x14ac:dyDescent="0.25">
      <c r="A35" t="s">
        <v>19</v>
      </c>
      <c r="B35" t="s">
        <v>36</v>
      </c>
      <c r="C35" s="10"/>
      <c r="D35" s="10"/>
      <c r="E35" s="10">
        <v>32543.73</v>
      </c>
      <c r="F35" s="10"/>
      <c r="G35" s="10">
        <f t="shared" si="0"/>
        <v>32543.73</v>
      </c>
      <c r="H35" s="19">
        <f t="shared" si="1"/>
        <v>26.68</v>
      </c>
      <c r="I35" s="4">
        <f t="shared" si="2"/>
        <v>9.7000000000000003E-2</v>
      </c>
    </row>
    <row r="36" spans="1:9" x14ac:dyDescent="0.25">
      <c r="A36" t="s">
        <v>19</v>
      </c>
      <c r="B36" t="s">
        <v>37</v>
      </c>
      <c r="C36" s="10"/>
      <c r="D36" s="10"/>
      <c r="E36" s="10">
        <v>1791.35</v>
      </c>
      <c r="F36" s="10"/>
      <c r="G36" s="10">
        <f t="shared" si="0"/>
        <v>1791.35</v>
      </c>
      <c r="H36" s="19">
        <f t="shared" si="1"/>
        <v>1.47</v>
      </c>
      <c r="I36" s="4">
        <f t="shared" si="2"/>
        <v>5.0000000000000001E-3</v>
      </c>
    </row>
    <row r="37" spans="1:9" x14ac:dyDescent="0.25">
      <c r="A37" t="s">
        <v>19</v>
      </c>
      <c r="B37" t="s">
        <v>38</v>
      </c>
      <c r="C37" s="10"/>
      <c r="D37" s="10"/>
      <c r="E37" s="10">
        <v>5687.41</v>
      </c>
      <c r="F37" s="10"/>
      <c r="G37" s="10">
        <f t="shared" si="0"/>
        <v>5687.41</v>
      </c>
      <c r="H37" s="19">
        <f t="shared" si="1"/>
        <v>4.66</v>
      </c>
      <c r="I37" s="4">
        <f t="shared" si="2"/>
        <v>1.7000000000000001E-2</v>
      </c>
    </row>
    <row r="38" spans="1:9" x14ac:dyDescent="0.25">
      <c r="A38" t="s">
        <v>19</v>
      </c>
      <c r="B38" t="s">
        <v>39</v>
      </c>
      <c r="C38" s="10"/>
      <c r="D38" s="10"/>
      <c r="E38" s="10">
        <v>8519.4699999999993</v>
      </c>
      <c r="F38" s="10"/>
      <c r="G38" s="10">
        <f t="shared" si="0"/>
        <v>8519.4699999999993</v>
      </c>
      <c r="H38" s="19">
        <f t="shared" si="1"/>
        <v>6.98</v>
      </c>
      <c r="I38" s="4">
        <f t="shared" si="2"/>
        <v>2.5000000000000001E-2</v>
      </c>
    </row>
    <row r="39" spans="1:9" x14ac:dyDescent="0.25">
      <c r="A39" t="s">
        <v>19</v>
      </c>
      <c r="B39" t="s">
        <v>33</v>
      </c>
      <c r="C39" s="10"/>
      <c r="D39" s="10"/>
      <c r="E39" s="10"/>
      <c r="F39" s="10"/>
      <c r="G39" s="10">
        <f t="shared" si="0"/>
        <v>0</v>
      </c>
      <c r="H39" s="19">
        <f t="shared" si="1"/>
        <v>0</v>
      </c>
      <c r="I39" s="4">
        <f t="shared" si="2"/>
        <v>0</v>
      </c>
    </row>
    <row r="40" spans="1:9" x14ac:dyDescent="0.25">
      <c r="A40" t="s">
        <v>19</v>
      </c>
      <c r="B40" t="s">
        <v>67</v>
      </c>
      <c r="C40" s="10"/>
      <c r="D40" s="10"/>
      <c r="E40" s="10"/>
      <c r="F40" s="10"/>
      <c r="G40" s="10">
        <f t="shared" si="0"/>
        <v>0</v>
      </c>
      <c r="H40" s="19">
        <f t="shared" si="1"/>
        <v>0</v>
      </c>
      <c r="I40" s="4">
        <f t="shared" si="2"/>
        <v>0</v>
      </c>
    </row>
    <row r="41" spans="1:9" x14ac:dyDescent="0.25">
      <c r="A41" t="s">
        <v>19</v>
      </c>
      <c r="B41" t="s">
        <v>31</v>
      </c>
      <c r="C41" s="10"/>
      <c r="D41" s="10"/>
      <c r="E41" s="10"/>
      <c r="F41" s="10"/>
      <c r="G41" s="10">
        <f t="shared" si="0"/>
        <v>0</v>
      </c>
      <c r="H41" s="19">
        <f t="shared" si="1"/>
        <v>0</v>
      </c>
      <c r="I41" s="4">
        <f t="shared" ref="I41" si="3">ROUND(G41/$G$45,3)</f>
        <v>0</v>
      </c>
    </row>
    <row r="42" spans="1:9" x14ac:dyDescent="0.25">
      <c r="A42" t="s">
        <v>43</v>
      </c>
      <c r="B42" t="s">
        <v>44</v>
      </c>
      <c r="C42" s="10">
        <v>96610</v>
      </c>
      <c r="D42" s="10"/>
      <c r="E42" s="10"/>
      <c r="F42" s="10"/>
      <c r="G42" s="10">
        <f t="shared" si="0"/>
        <v>96610</v>
      </c>
      <c r="H42" s="19">
        <f t="shared" si="1"/>
        <v>79.19</v>
      </c>
      <c r="I42" s="4">
        <f>ROUND(G42/$G$45,3)</f>
        <v>0.28799999999999998</v>
      </c>
    </row>
    <row r="43" spans="1:9" x14ac:dyDescent="0.25">
      <c r="A43" t="s">
        <v>43</v>
      </c>
      <c r="B43" t="s">
        <v>45</v>
      </c>
      <c r="C43" s="10"/>
      <c r="D43" s="10"/>
      <c r="E43" s="10">
        <v>12757.92</v>
      </c>
      <c r="F43" s="10"/>
      <c r="G43" s="10">
        <f t="shared" si="0"/>
        <v>12757.92</v>
      </c>
      <c r="H43" s="19">
        <f t="shared" si="1"/>
        <v>10.46</v>
      </c>
      <c r="I43" s="4">
        <f>ROUND(G43/$G$45,3)</f>
        <v>3.7999999999999999E-2</v>
      </c>
    </row>
    <row r="44" spans="1:9" x14ac:dyDescent="0.25">
      <c r="A44" t="s">
        <v>43</v>
      </c>
      <c r="B44" t="s">
        <v>46</v>
      </c>
      <c r="C44" s="10"/>
      <c r="D44" s="10"/>
      <c r="E44" s="10"/>
      <c r="F44" s="10"/>
      <c r="G44" s="10">
        <f t="shared" si="0"/>
        <v>0</v>
      </c>
      <c r="H44" s="19">
        <f t="shared" si="1"/>
        <v>0</v>
      </c>
      <c r="I44" s="4">
        <f>ROUND(G44/$G$45,3)</f>
        <v>0</v>
      </c>
    </row>
    <row r="45" spans="1:9" x14ac:dyDescent="0.25">
      <c r="A45" s="3" t="s">
        <v>253</v>
      </c>
      <c r="B45" s="3"/>
      <c r="C45" s="8">
        <f t="shared" ref="C45:H45" si="4">SUM(C8:C44)</f>
        <v>205805</v>
      </c>
      <c r="D45" s="8">
        <f t="shared" si="4"/>
        <v>200</v>
      </c>
      <c r="E45" s="8">
        <f t="shared" si="4"/>
        <v>127147.07</v>
      </c>
      <c r="F45" s="8">
        <f t="shared" si="4"/>
        <v>1947</v>
      </c>
      <c r="G45" s="8">
        <f t="shared" si="4"/>
        <v>335099.07000000007</v>
      </c>
      <c r="H45" s="20">
        <f t="shared" si="4"/>
        <v>274.67</v>
      </c>
      <c r="I45" s="4"/>
    </row>
    <row r="46" spans="1:9" x14ac:dyDescent="0.25">
      <c r="A46" s="3" t="s">
        <v>14</v>
      </c>
      <c r="B46" s="3"/>
      <c r="C46" s="12">
        <f>ROUND(C45/G45,2)</f>
        <v>0.61</v>
      </c>
      <c r="D46" s="12">
        <f>ROUND(D45/G45,2)</f>
        <v>0</v>
      </c>
      <c r="E46" s="12">
        <f>ROUND(E45/G45,2)</f>
        <v>0.38</v>
      </c>
      <c r="F46" s="12">
        <f>ROUND(F45/G45,2)</f>
        <v>0.01</v>
      </c>
      <c r="G46" s="7"/>
      <c r="H46" s="7"/>
    </row>
    <row r="47" spans="1:9" x14ac:dyDescent="0.25">
      <c r="A47" s="3" t="s">
        <v>47</v>
      </c>
      <c r="B47" s="3"/>
      <c r="C47" s="3"/>
      <c r="D47" s="3"/>
      <c r="E47" s="3"/>
      <c r="F47" s="3"/>
      <c r="G47" s="3"/>
      <c r="H47" s="3"/>
    </row>
    <row r="48" spans="1:9" x14ac:dyDescent="0.25">
      <c r="A48" s="3" t="s">
        <v>48</v>
      </c>
      <c r="B48" s="3"/>
      <c r="C48" s="8">
        <v>109195</v>
      </c>
      <c r="D48" s="8">
        <v>200</v>
      </c>
      <c r="E48" s="8">
        <v>114389.15</v>
      </c>
      <c r="F48" s="8">
        <v>1665</v>
      </c>
      <c r="G48" s="8">
        <f>SUM(C48:F48)</f>
        <v>225449.15</v>
      </c>
      <c r="H48" s="20">
        <f>ROUND(G48/1220,2)</f>
        <v>184.79</v>
      </c>
    </row>
    <row r="49" spans="1:8" x14ac:dyDescent="0.25">
      <c r="A49" s="3" t="s">
        <v>49</v>
      </c>
      <c r="B49" s="3"/>
      <c r="C49" s="8">
        <v>96610</v>
      </c>
      <c r="D49" s="8">
        <v>0</v>
      </c>
      <c r="E49" s="8">
        <v>12757.92</v>
      </c>
      <c r="F49" s="8">
        <v>0</v>
      </c>
      <c r="G49" s="8">
        <f>SUM(C49:F49)</f>
        <v>109367.92</v>
      </c>
      <c r="H49" s="20">
        <f>ROUND(G49/1220,2)</f>
        <v>89.65</v>
      </c>
    </row>
    <row r="50" spans="1:8" x14ac:dyDescent="0.25">
      <c r="A50" s="3" t="s">
        <v>50</v>
      </c>
      <c r="B50" s="3"/>
      <c r="C50" s="8">
        <v>0</v>
      </c>
      <c r="D50" s="8">
        <v>0</v>
      </c>
      <c r="E50" s="8">
        <v>0</v>
      </c>
      <c r="F50" s="8">
        <v>282</v>
      </c>
      <c r="G50" s="8">
        <f>SUM(C50:F50)</f>
        <v>282</v>
      </c>
      <c r="H50" s="20">
        <f>ROUND(G50/1220,2)</f>
        <v>0.23</v>
      </c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 t="s">
        <v>2</v>
      </c>
      <c r="D52" s="3">
        <v>2022</v>
      </c>
      <c r="E52" s="3" t="s">
        <v>51</v>
      </c>
      <c r="F52" s="3"/>
      <c r="G52" s="3"/>
      <c r="H52" s="3"/>
    </row>
    <row r="53" spans="1:8" x14ac:dyDescent="0.25">
      <c r="A53" s="3" t="s">
        <v>52</v>
      </c>
      <c r="B53" s="3"/>
      <c r="C53" s="12">
        <v>0.68110000000000004</v>
      </c>
      <c r="D53" s="12">
        <v>0.76900000000000002</v>
      </c>
      <c r="E53" s="12">
        <v>0.77659999999999996</v>
      </c>
      <c r="F53" s="3"/>
      <c r="G53" s="3"/>
      <c r="H53" s="3"/>
    </row>
    <row r="54" spans="1:8" x14ac:dyDescent="0.25">
      <c r="A54" s="3" t="s">
        <v>53</v>
      </c>
      <c r="B54" s="3"/>
      <c r="C54" s="12">
        <v>0.68110000000000004</v>
      </c>
      <c r="D54" s="12">
        <v>0.59370000000000001</v>
      </c>
      <c r="E54" s="12">
        <v>0.75900000000000001</v>
      </c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 t="s">
        <v>256</v>
      </c>
      <c r="B56" s="3"/>
      <c r="C56" s="3" t="s">
        <v>2</v>
      </c>
      <c r="D56" s="3" t="s">
        <v>230</v>
      </c>
      <c r="E56" s="3" t="s">
        <v>55</v>
      </c>
      <c r="F56" s="3" t="s">
        <v>254</v>
      </c>
      <c r="G56" s="3"/>
      <c r="H56" s="3"/>
    </row>
    <row r="57" spans="1:8" x14ac:dyDescent="0.25">
      <c r="A57" s="3" t="s">
        <v>56</v>
      </c>
      <c r="B57" s="3"/>
      <c r="C57" s="3"/>
      <c r="D57" s="3">
        <v>86.2</v>
      </c>
      <c r="E57" s="3">
        <v>81.5</v>
      </c>
      <c r="F57" s="3">
        <v>50.61</v>
      </c>
      <c r="G57" s="3"/>
      <c r="H57" s="3"/>
    </row>
    <row r="58" spans="1:8" x14ac:dyDescent="0.25">
      <c r="A58" s="3" t="s">
        <v>57</v>
      </c>
      <c r="B58" s="3"/>
      <c r="C58" s="3"/>
      <c r="D58" s="3">
        <v>48.97</v>
      </c>
      <c r="E58" s="3">
        <v>58.24</v>
      </c>
      <c r="F58" s="3">
        <v>57.37</v>
      </c>
      <c r="G58" s="3"/>
      <c r="H58" s="3"/>
    </row>
    <row r="59" spans="1:8" x14ac:dyDescent="0.25">
      <c r="A59" s="3" t="s">
        <v>58</v>
      </c>
      <c r="B59" s="3"/>
      <c r="C59" s="3"/>
      <c r="D59" s="3">
        <v>331.53</v>
      </c>
      <c r="E59" s="3">
        <v>261.52999999999997</v>
      </c>
      <c r="F59" s="3">
        <v>249.57</v>
      </c>
      <c r="G59" s="3"/>
      <c r="H59" s="3"/>
    </row>
    <row r="60" spans="1:8" x14ac:dyDescent="0.25">
      <c r="A60" s="3" t="s">
        <v>59</v>
      </c>
      <c r="B60" s="3"/>
      <c r="C60" s="3"/>
      <c r="D60" s="3">
        <v>103.83</v>
      </c>
      <c r="E60" s="3">
        <v>103.11</v>
      </c>
      <c r="F60" s="3">
        <v>71.400000000000006</v>
      </c>
      <c r="G60" s="3"/>
      <c r="H6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2:I52"/>
  <sheetViews>
    <sheetView topLeftCell="A27" workbookViewId="0">
      <selection activeCell="G49" sqref="G49:G52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7109375" bestFit="1" customWidth="1"/>
    <col min="4" max="4" width="22.28515625" bestFit="1" customWidth="1"/>
    <col min="5" max="5" width="13.85546875" bestFit="1" customWidth="1"/>
    <col min="6" max="6" width="8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231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566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8620</v>
      </c>
      <c r="D9" s="10"/>
      <c r="E9" s="10"/>
      <c r="F9" s="10"/>
      <c r="G9" s="10">
        <f t="shared" ref="G9:G36" si="0">SUM(C9:F9)</f>
        <v>8620</v>
      </c>
      <c r="H9" s="19">
        <f t="shared" ref="H9:H36" si="1">ROUND(G9/566,2)</f>
        <v>15.23</v>
      </c>
      <c r="I9" s="4">
        <f t="shared" ref="I9:I36" si="2">ROUND(G9/$G$37,3)</f>
        <v>0.104</v>
      </c>
    </row>
    <row r="10" spans="1:9" x14ac:dyDescent="0.25">
      <c r="A10" t="s">
        <v>19</v>
      </c>
      <c r="B10" t="s">
        <v>21</v>
      </c>
      <c r="C10" s="10">
        <v>13000</v>
      </c>
      <c r="D10" s="10"/>
      <c r="E10" s="10"/>
      <c r="F10" s="10"/>
      <c r="G10" s="10">
        <f t="shared" si="0"/>
        <v>13000</v>
      </c>
      <c r="H10" s="19">
        <f t="shared" si="1"/>
        <v>22.97</v>
      </c>
      <c r="I10" s="4">
        <f t="shared" si="2"/>
        <v>0.156</v>
      </c>
    </row>
    <row r="11" spans="1:9" x14ac:dyDescent="0.25">
      <c r="A11" t="s">
        <v>19</v>
      </c>
      <c r="B11" t="s">
        <v>76</v>
      </c>
      <c r="C11" s="10"/>
      <c r="D11" s="10"/>
      <c r="E11" s="10"/>
      <c r="F11" s="10">
        <v>10</v>
      </c>
      <c r="G11" s="10">
        <f t="shared" si="0"/>
        <v>10</v>
      </c>
      <c r="H11" s="19">
        <f t="shared" si="1"/>
        <v>0.02</v>
      </c>
      <c r="I11" s="4">
        <f t="shared" si="2"/>
        <v>0</v>
      </c>
    </row>
    <row r="12" spans="1:9" x14ac:dyDescent="0.25">
      <c r="A12" t="s">
        <v>19</v>
      </c>
      <c r="B12" t="s">
        <v>41</v>
      </c>
      <c r="C12" s="10"/>
      <c r="D12" s="10"/>
      <c r="E12" s="10"/>
      <c r="F12" s="10">
        <v>6</v>
      </c>
      <c r="G12" s="10">
        <f t="shared" si="0"/>
        <v>6</v>
      </c>
      <c r="H12" s="19">
        <f t="shared" si="1"/>
        <v>0.01</v>
      </c>
      <c r="I12" s="4">
        <f t="shared" si="2"/>
        <v>0</v>
      </c>
    </row>
    <row r="13" spans="1:9" x14ac:dyDescent="0.25">
      <c r="A13" t="s">
        <v>19</v>
      </c>
      <c r="B13" t="s">
        <v>24</v>
      </c>
      <c r="C13" s="10">
        <v>7220</v>
      </c>
      <c r="D13" s="10">
        <v>1140</v>
      </c>
      <c r="E13" s="10"/>
      <c r="F13" s="10"/>
      <c r="G13" s="10">
        <f t="shared" si="0"/>
        <v>8360</v>
      </c>
      <c r="H13" s="19">
        <f t="shared" si="1"/>
        <v>14.77</v>
      </c>
      <c r="I13" s="4">
        <f t="shared" si="2"/>
        <v>0.1</v>
      </c>
    </row>
    <row r="14" spans="1:9" x14ac:dyDescent="0.25">
      <c r="A14" t="s">
        <v>19</v>
      </c>
      <c r="B14" t="s">
        <v>25</v>
      </c>
      <c r="C14" s="10">
        <v>11520</v>
      </c>
      <c r="D14" s="10"/>
      <c r="E14" s="10"/>
      <c r="F14" s="10"/>
      <c r="G14" s="10">
        <f t="shared" si="0"/>
        <v>11520</v>
      </c>
      <c r="H14" s="19">
        <f t="shared" si="1"/>
        <v>20.350000000000001</v>
      </c>
      <c r="I14" s="4">
        <f t="shared" si="2"/>
        <v>0.13800000000000001</v>
      </c>
    </row>
    <row r="15" spans="1:9" x14ac:dyDescent="0.25">
      <c r="A15" t="s">
        <v>19</v>
      </c>
      <c r="B15" t="s">
        <v>26</v>
      </c>
      <c r="C15" s="10"/>
      <c r="D15" s="10"/>
      <c r="E15" s="10">
        <v>410</v>
      </c>
      <c r="F15" s="10"/>
      <c r="G15" s="10">
        <f t="shared" si="0"/>
        <v>410</v>
      </c>
      <c r="H15" s="19">
        <f t="shared" si="1"/>
        <v>0.72</v>
      </c>
      <c r="I15" s="4">
        <f t="shared" si="2"/>
        <v>5.0000000000000001E-3</v>
      </c>
    </row>
    <row r="16" spans="1:9" x14ac:dyDescent="0.25">
      <c r="A16" t="s">
        <v>19</v>
      </c>
      <c r="B16" t="s">
        <v>28</v>
      </c>
      <c r="C16" s="10"/>
      <c r="D16" s="10"/>
      <c r="E16" s="10"/>
      <c r="F16" s="10">
        <v>20</v>
      </c>
      <c r="G16" s="10">
        <f t="shared" si="0"/>
        <v>20</v>
      </c>
      <c r="H16" s="19">
        <f t="shared" si="1"/>
        <v>0.04</v>
      </c>
      <c r="I16" s="4">
        <f t="shared" si="2"/>
        <v>0</v>
      </c>
    </row>
    <row r="17" spans="1:9" x14ac:dyDescent="0.25">
      <c r="A17" t="s">
        <v>19</v>
      </c>
      <c r="B17" t="s">
        <v>29</v>
      </c>
      <c r="C17" s="10"/>
      <c r="D17" s="10"/>
      <c r="E17" s="10"/>
      <c r="F17" s="10">
        <v>580</v>
      </c>
      <c r="G17" s="10">
        <f t="shared" si="0"/>
        <v>580</v>
      </c>
      <c r="H17" s="19">
        <f t="shared" si="1"/>
        <v>1.02</v>
      </c>
      <c r="I17" s="4">
        <f t="shared" si="2"/>
        <v>7.0000000000000001E-3</v>
      </c>
    </row>
    <row r="18" spans="1:9" x14ac:dyDescent="0.25">
      <c r="A18" t="s">
        <v>19</v>
      </c>
      <c r="B18" t="s">
        <v>30</v>
      </c>
      <c r="C18" s="10"/>
      <c r="D18" s="10"/>
      <c r="E18" s="10"/>
      <c r="F18" s="10">
        <v>40</v>
      </c>
      <c r="G18" s="10">
        <f t="shared" si="0"/>
        <v>40</v>
      </c>
      <c r="H18" s="19">
        <f t="shared" si="1"/>
        <v>7.0000000000000007E-2</v>
      </c>
      <c r="I18" s="4">
        <f t="shared" si="2"/>
        <v>0</v>
      </c>
    </row>
    <row r="19" spans="1:9" x14ac:dyDescent="0.25">
      <c r="A19" t="s">
        <v>19</v>
      </c>
      <c r="B19" t="s">
        <v>32</v>
      </c>
      <c r="C19" s="10"/>
      <c r="D19" s="10"/>
      <c r="E19" s="10"/>
      <c r="F19" s="10">
        <v>95</v>
      </c>
      <c r="G19" s="10">
        <f t="shared" si="0"/>
        <v>95</v>
      </c>
      <c r="H19" s="19">
        <f t="shared" si="1"/>
        <v>0.17</v>
      </c>
      <c r="I19" s="4">
        <f t="shared" si="2"/>
        <v>1E-3</v>
      </c>
    </row>
    <row r="20" spans="1:9" x14ac:dyDescent="0.25">
      <c r="A20" t="s">
        <v>19</v>
      </c>
      <c r="B20" t="s">
        <v>42</v>
      </c>
      <c r="C20" s="10"/>
      <c r="D20" s="10">
        <v>19</v>
      </c>
      <c r="E20" s="10"/>
      <c r="F20" s="10"/>
      <c r="G20" s="10">
        <f t="shared" si="0"/>
        <v>19</v>
      </c>
      <c r="H20" s="19">
        <f t="shared" si="1"/>
        <v>0.03</v>
      </c>
      <c r="I20" s="4">
        <f t="shared" si="2"/>
        <v>0</v>
      </c>
    </row>
    <row r="21" spans="1:9" x14ac:dyDescent="0.25">
      <c r="A21" t="s">
        <v>19</v>
      </c>
      <c r="B21" t="s">
        <v>33</v>
      </c>
      <c r="C21" s="10"/>
      <c r="D21" s="10">
        <v>45</v>
      </c>
      <c r="E21" s="10"/>
      <c r="F21" s="10">
        <v>14</v>
      </c>
      <c r="G21" s="10">
        <f t="shared" si="0"/>
        <v>59</v>
      </c>
      <c r="H21" s="19">
        <f t="shared" si="1"/>
        <v>0.1</v>
      </c>
      <c r="I21" s="4">
        <f t="shared" si="2"/>
        <v>1E-3</v>
      </c>
    </row>
    <row r="22" spans="1:9" x14ac:dyDescent="0.25">
      <c r="A22" t="s">
        <v>19</v>
      </c>
      <c r="B22" t="s">
        <v>34</v>
      </c>
      <c r="C22" s="10"/>
      <c r="D22" s="10"/>
      <c r="E22" s="10"/>
      <c r="F22" s="10">
        <v>70</v>
      </c>
      <c r="G22" s="10">
        <f t="shared" si="0"/>
        <v>70</v>
      </c>
      <c r="H22" s="19">
        <f t="shared" si="1"/>
        <v>0.12</v>
      </c>
      <c r="I22" s="4">
        <f t="shared" si="2"/>
        <v>1E-3</v>
      </c>
    </row>
    <row r="23" spans="1:9" x14ac:dyDescent="0.25">
      <c r="A23" t="s">
        <v>19</v>
      </c>
      <c r="B23" t="s">
        <v>35</v>
      </c>
      <c r="C23" s="10"/>
      <c r="D23" s="10"/>
      <c r="E23" s="10"/>
      <c r="F23" s="10">
        <v>150</v>
      </c>
      <c r="G23" s="10">
        <f t="shared" si="0"/>
        <v>150</v>
      </c>
      <c r="H23" s="19">
        <f t="shared" si="1"/>
        <v>0.27</v>
      </c>
      <c r="I23" s="4">
        <f t="shared" si="2"/>
        <v>2E-3</v>
      </c>
    </row>
    <row r="24" spans="1:9" x14ac:dyDescent="0.25">
      <c r="A24" t="s">
        <v>19</v>
      </c>
      <c r="B24" t="s">
        <v>40</v>
      </c>
      <c r="C24" s="10"/>
      <c r="D24" s="10"/>
      <c r="E24" s="10"/>
      <c r="F24" s="10">
        <v>110</v>
      </c>
      <c r="G24" s="10">
        <f t="shared" si="0"/>
        <v>110</v>
      </c>
      <c r="H24" s="19">
        <f t="shared" si="1"/>
        <v>0.19</v>
      </c>
      <c r="I24" s="4">
        <f t="shared" si="2"/>
        <v>1E-3</v>
      </c>
    </row>
    <row r="25" spans="1:9" x14ac:dyDescent="0.25">
      <c r="A25" t="s">
        <v>19</v>
      </c>
      <c r="B25" t="s">
        <v>36</v>
      </c>
      <c r="C25" s="10"/>
      <c r="D25" s="10"/>
      <c r="E25" s="10">
        <v>3940</v>
      </c>
      <c r="F25" s="10">
        <v>3820</v>
      </c>
      <c r="G25" s="10">
        <f t="shared" si="0"/>
        <v>7760</v>
      </c>
      <c r="H25" s="19">
        <f t="shared" si="1"/>
        <v>13.71</v>
      </c>
      <c r="I25" s="4">
        <f t="shared" si="2"/>
        <v>9.2999999999999999E-2</v>
      </c>
    </row>
    <row r="26" spans="1:9" x14ac:dyDescent="0.25">
      <c r="A26" t="s">
        <v>19</v>
      </c>
      <c r="B26" t="s">
        <v>37</v>
      </c>
      <c r="C26" s="10"/>
      <c r="D26" s="10"/>
      <c r="E26" s="10">
        <v>1430</v>
      </c>
      <c r="F26" s="10"/>
      <c r="G26" s="10">
        <f t="shared" si="0"/>
        <v>1430</v>
      </c>
      <c r="H26" s="19">
        <f t="shared" si="1"/>
        <v>2.5299999999999998</v>
      </c>
      <c r="I26" s="4">
        <f t="shared" si="2"/>
        <v>1.7000000000000001E-2</v>
      </c>
    </row>
    <row r="27" spans="1:9" x14ac:dyDescent="0.25">
      <c r="A27" t="s">
        <v>19</v>
      </c>
      <c r="B27" t="s">
        <v>38</v>
      </c>
      <c r="C27" s="10"/>
      <c r="D27" s="10"/>
      <c r="E27" s="10">
        <v>1440</v>
      </c>
      <c r="F27" s="10"/>
      <c r="G27" s="10">
        <f t="shared" si="0"/>
        <v>1440</v>
      </c>
      <c r="H27" s="19">
        <f t="shared" si="1"/>
        <v>2.54</v>
      </c>
      <c r="I27" s="4">
        <f t="shared" si="2"/>
        <v>1.7000000000000001E-2</v>
      </c>
    </row>
    <row r="28" spans="1:9" x14ac:dyDescent="0.25">
      <c r="A28" t="s">
        <v>19</v>
      </c>
      <c r="B28" t="s">
        <v>31</v>
      </c>
      <c r="C28" s="10"/>
      <c r="D28" s="10"/>
      <c r="E28" s="10"/>
      <c r="F28" s="10"/>
      <c r="G28" s="10">
        <f t="shared" si="0"/>
        <v>0</v>
      </c>
      <c r="H28" s="19">
        <f t="shared" si="1"/>
        <v>0</v>
      </c>
      <c r="I28" s="4">
        <f t="shared" si="2"/>
        <v>0</v>
      </c>
    </row>
    <row r="29" spans="1:9" x14ac:dyDescent="0.25">
      <c r="A29" t="s">
        <v>19</v>
      </c>
      <c r="B29" t="s">
        <v>67</v>
      </c>
      <c r="C29" s="10"/>
      <c r="D29" s="10"/>
      <c r="E29" s="10"/>
      <c r="F29" s="10"/>
      <c r="G29" s="10">
        <f t="shared" si="0"/>
        <v>0</v>
      </c>
      <c r="H29" s="19">
        <f t="shared" si="1"/>
        <v>0</v>
      </c>
      <c r="I29" s="4">
        <f t="shared" si="2"/>
        <v>0</v>
      </c>
    </row>
    <row r="30" spans="1:9" x14ac:dyDescent="0.25">
      <c r="A30" t="s">
        <v>19</v>
      </c>
      <c r="B30" t="s">
        <v>22</v>
      </c>
      <c r="C30" s="10"/>
      <c r="D30" s="10"/>
      <c r="E30" s="10"/>
      <c r="F30" s="10"/>
      <c r="G30" s="10">
        <f t="shared" si="0"/>
        <v>0</v>
      </c>
      <c r="H30" s="19">
        <f t="shared" si="1"/>
        <v>0</v>
      </c>
      <c r="I30" s="4">
        <f t="shared" si="2"/>
        <v>0</v>
      </c>
    </row>
    <row r="31" spans="1:9" x14ac:dyDescent="0.25">
      <c r="A31" t="s">
        <v>19</v>
      </c>
      <c r="B31" t="s">
        <v>66</v>
      </c>
      <c r="C31" s="10"/>
      <c r="D31" s="10"/>
      <c r="E31" s="10"/>
      <c r="F31" s="10"/>
      <c r="G31" s="10">
        <f t="shared" si="0"/>
        <v>0</v>
      </c>
      <c r="H31" s="19">
        <f t="shared" si="1"/>
        <v>0</v>
      </c>
      <c r="I31" s="4">
        <f t="shared" si="2"/>
        <v>0</v>
      </c>
    </row>
    <row r="32" spans="1:9" x14ac:dyDescent="0.25">
      <c r="A32" t="s">
        <v>43</v>
      </c>
      <c r="B32" t="s">
        <v>44</v>
      </c>
      <c r="C32" s="10">
        <v>26165</v>
      </c>
      <c r="D32" s="10"/>
      <c r="E32" s="10"/>
      <c r="F32" s="10"/>
      <c r="G32" s="10">
        <f t="shared" si="0"/>
        <v>26165</v>
      </c>
      <c r="H32" s="19">
        <f t="shared" si="1"/>
        <v>46.23</v>
      </c>
      <c r="I32" s="4">
        <f t="shared" si="2"/>
        <v>0.314</v>
      </c>
    </row>
    <row r="33" spans="1:9" x14ac:dyDescent="0.25">
      <c r="A33" t="s">
        <v>43</v>
      </c>
      <c r="B33" t="s">
        <v>45</v>
      </c>
      <c r="C33" s="10"/>
      <c r="D33" s="10"/>
      <c r="E33" s="10"/>
      <c r="F33" s="10">
        <v>3400</v>
      </c>
      <c r="G33" s="10">
        <f t="shared" si="0"/>
        <v>3400</v>
      </c>
      <c r="H33" s="19">
        <f t="shared" si="1"/>
        <v>6.01</v>
      </c>
      <c r="I33" s="4">
        <f t="shared" si="2"/>
        <v>4.1000000000000002E-2</v>
      </c>
    </row>
    <row r="34" spans="1:9" x14ac:dyDescent="0.25">
      <c r="A34" t="s">
        <v>43</v>
      </c>
      <c r="B34" t="s">
        <v>46</v>
      </c>
      <c r="C34" s="10"/>
      <c r="D34" s="10"/>
      <c r="E34" s="10"/>
      <c r="F34" s="10"/>
      <c r="G34" s="10">
        <f t="shared" si="0"/>
        <v>0</v>
      </c>
      <c r="H34" s="19">
        <f t="shared" si="1"/>
        <v>0</v>
      </c>
      <c r="I34" s="4">
        <f t="shared" si="2"/>
        <v>0</v>
      </c>
    </row>
    <row r="35" spans="1:9" x14ac:dyDescent="0.25">
      <c r="A35" t="s">
        <v>15</v>
      </c>
      <c r="B35" t="s">
        <v>16</v>
      </c>
      <c r="C35" s="10"/>
      <c r="D35" s="10"/>
      <c r="E35" s="10"/>
      <c r="F35" s="10"/>
      <c r="G35" s="10">
        <f t="shared" si="0"/>
        <v>0</v>
      </c>
      <c r="H35" s="19">
        <f t="shared" si="1"/>
        <v>0</v>
      </c>
      <c r="I35" s="4">
        <f t="shared" si="2"/>
        <v>0</v>
      </c>
    </row>
    <row r="36" spans="1:9" x14ac:dyDescent="0.25">
      <c r="A36" t="s">
        <v>15</v>
      </c>
      <c r="B36" t="s">
        <v>63</v>
      </c>
      <c r="C36" s="10"/>
      <c r="D36" s="10"/>
      <c r="E36" s="10"/>
      <c r="F36" s="10"/>
      <c r="G36" s="10">
        <f t="shared" si="0"/>
        <v>0</v>
      </c>
      <c r="H36" s="19">
        <f t="shared" si="1"/>
        <v>0</v>
      </c>
      <c r="I36" s="4">
        <f t="shared" si="2"/>
        <v>0</v>
      </c>
    </row>
    <row r="37" spans="1:9" x14ac:dyDescent="0.25">
      <c r="A37" s="3" t="s">
        <v>253</v>
      </c>
      <c r="B37" s="3"/>
      <c r="C37" s="8">
        <f t="shared" ref="C37:H37" si="3">SUM(C8:C36)</f>
        <v>66525</v>
      </c>
      <c r="D37" s="8">
        <f t="shared" si="3"/>
        <v>1204</v>
      </c>
      <c r="E37" s="8">
        <f t="shared" si="3"/>
        <v>7220</v>
      </c>
      <c r="F37" s="8">
        <f t="shared" si="3"/>
        <v>8315</v>
      </c>
      <c r="G37" s="8">
        <f t="shared" si="3"/>
        <v>83264</v>
      </c>
      <c r="H37" s="20">
        <f t="shared" si="3"/>
        <v>147.1</v>
      </c>
      <c r="I37" s="4"/>
    </row>
    <row r="38" spans="1:9" x14ac:dyDescent="0.25">
      <c r="A38" s="3" t="s">
        <v>14</v>
      </c>
      <c r="B38" s="3"/>
      <c r="C38" s="12">
        <f>ROUND(C37/G37,2)</f>
        <v>0.8</v>
      </c>
      <c r="D38" s="12">
        <f>ROUND(D37/G37,2)</f>
        <v>0.01</v>
      </c>
      <c r="E38" s="12">
        <f>ROUND(E37/G37,2)</f>
        <v>0.09</v>
      </c>
      <c r="F38" s="12">
        <f>ROUND(F37/G37,2)</f>
        <v>0.1</v>
      </c>
      <c r="G38" s="7"/>
      <c r="H38" s="7"/>
    </row>
    <row r="39" spans="1:9" x14ac:dyDescent="0.25">
      <c r="A39" s="3" t="s">
        <v>47</v>
      </c>
      <c r="B39" s="3"/>
      <c r="C39" s="3"/>
      <c r="D39" s="3"/>
      <c r="E39" s="3"/>
      <c r="F39" s="3"/>
      <c r="G39" s="3"/>
      <c r="H39" s="3"/>
    </row>
    <row r="40" spans="1:9" x14ac:dyDescent="0.25">
      <c r="A40" s="3" t="s">
        <v>48</v>
      </c>
      <c r="B40" s="3"/>
      <c r="C40" s="8">
        <v>40360</v>
      </c>
      <c r="D40" s="8">
        <v>1204</v>
      </c>
      <c r="E40" s="8">
        <v>7220</v>
      </c>
      <c r="F40" s="8">
        <v>4915</v>
      </c>
      <c r="G40" s="8">
        <f>SUM(C40:F40)</f>
        <v>53699</v>
      </c>
      <c r="H40" s="20">
        <f>ROUND(G40/566,2)</f>
        <v>94.87</v>
      </c>
    </row>
    <row r="41" spans="1:9" x14ac:dyDescent="0.25">
      <c r="A41" s="3" t="s">
        <v>49</v>
      </c>
      <c r="B41" s="3"/>
      <c r="C41" s="8">
        <v>26165</v>
      </c>
      <c r="D41" s="8">
        <v>0</v>
      </c>
      <c r="E41" s="8">
        <v>0</v>
      </c>
      <c r="F41" s="8">
        <v>3400</v>
      </c>
      <c r="G41" s="8">
        <f>SUM(C41:F41)</f>
        <v>29565</v>
      </c>
      <c r="H41" s="20">
        <f>ROUND(G41/566,2)</f>
        <v>52.23</v>
      </c>
    </row>
    <row r="42" spans="1:9" x14ac:dyDescent="0.25">
      <c r="A42" s="3" t="s">
        <v>50</v>
      </c>
      <c r="B42" s="3"/>
      <c r="C42" s="8">
        <v>0</v>
      </c>
      <c r="D42" s="8">
        <v>0</v>
      </c>
      <c r="E42" s="8">
        <v>0</v>
      </c>
      <c r="F42" s="8">
        <v>0</v>
      </c>
      <c r="G42" s="8">
        <f>SUM(C42:F42)</f>
        <v>0</v>
      </c>
      <c r="H42" s="20">
        <f>ROUND(G42/566,2)</f>
        <v>0</v>
      </c>
    </row>
    <row r="43" spans="1:9" x14ac:dyDescent="0.25">
      <c r="A43" s="3"/>
      <c r="B43" s="3"/>
      <c r="C43" s="3"/>
      <c r="D43" s="3"/>
      <c r="E43" s="3"/>
      <c r="F43" s="3"/>
      <c r="G43" s="3"/>
      <c r="H43" s="3"/>
    </row>
    <row r="44" spans="1:9" x14ac:dyDescent="0.25">
      <c r="A44" s="3"/>
      <c r="B44" s="3"/>
      <c r="C44" s="3" t="s">
        <v>2</v>
      </c>
      <c r="D44" s="3">
        <v>2022</v>
      </c>
      <c r="E44" s="3" t="s">
        <v>51</v>
      </c>
      <c r="F44" s="3"/>
      <c r="G44" s="3"/>
      <c r="H44" s="3"/>
    </row>
    <row r="45" spans="1:9" x14ac:dyDescent="0.25">
      <c r="A45" s="3" t="s">
        <v>52</v>
      </c>
      <c r="B45" s="3"/>
      <c r="C45" s="12">
        <v>0.68579999999999997</v>
      </c>
      <c r="D45" s="12">
        <v>0.64959999999999996</v>
      </c>
      <c r="E45" s="12">
        <v>0.77659999999999996</v>
      </c>
      <c r="F45" s="3"/>
      <c r="G45" s="3"/>
      <c r="H45" s="3"/>
    </row>
    <row r="46" spans="1:9" x14ac:dyDescent="0.25">
      <c r="A46" s="3" t="s">
        <v>53</v>
      </c>
      <c r="B46" s="3"/>
      <c r="C46" s="12">
        <v>0.6754</v>
      </c>
      <c r="D46" s="12">
        <v>0.6351</v>
      </c>
      <c r="E46" s="12">
        <v>0.75900000000000001</v>
      </c>
      <c r="F46" s="3"/>
      <c r="G46" s="3"/>
      <c r="H46" s="3"/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A48" s="3" t="s">
        <v>256</v>
      </c>
      <c r="B48" s="3"/>
      <c r="C48" s="3" t="s">
        <v>2</v>
      </c>
      <c r="D48" s="3" t="s">
        <v>232</v>
      </c>
      <c r="E48" s="3" t="s">
        <v>55</v>
      </c>
      <c r="F48" s="3" t="s">
        <v>254</v>
      </c>
      <c r="G48" s="3"/>
      <c r="H48" s="3"/>
    </row>
    <row r="49" spans="1:8" x14ac:dyDescent="0.25">
      <c r="A49" s="3" t="s">
        <v>56</v>
      </c>
      <c r="B49" s="3"/>
      <c r="C49" s="3"/>
      <c r="D49" s="3">
        <v>92.8</v>
      </c>
      <c r="E49" s="3">
        <v>81.5</v>
      </c>
      <c r="F49" s="3">
        <v>50.61</v>
      </c>
      <c r="G49" s="3"/>
      <c r="H49" s="3"/>
    </row>
    <row r="50" spans="1:8" x14ac:dyDescent="0.25">
      <c r="A50" s="3" t="s">
        <v>57</v>
      </c>
      <c r="B50" s="3"/>
      <c r="C50" s="3"/>
      <c r="D50" s="3">
        <v>41.1</v>
      </c>
      <c r="E50" s="3">
        <v>58.24</v>
      </c>
      <c r="F50" s="3">
        <v>57.37</v>
      </c>
      <c r="G50" s="3"/>
      <c r="H50" s="3"/>
    </row>
    <row r="51" spans="1:8" x14ac:dyDescent="0.25">
      <c r="A51" s="3" t="s">
        <v>58</v>
      </c>
      <c r="B51" s="3"/>
      <c r="C51" s="3"/>
      <c r="D51" s="3">
        <v>180.45</v>
      </c>
      <c r="E51" s="3">
        <v>261.52999999999997</v>
      </c>
      <c r="F51" s="3">
        <v>249.57</v>
      </c>
      <c r="G51" s="3"/>
      <c r="H51" s="3"/>
    </row>
    <row r="52" spans="1:8" x14ac:dyDescent="0.25">
      <c r="A52" s="3" t="s">
        <v>59</v>
      </c>
      <c r="B52" s="3"/>
      <c r="C52" s="3"/>
      <c r="D52" s="3">
        <v>106.2</v>
      </c>
      <c r="E52" s="3">
        <v>103.11</v>
      </c>
      <c r="F52" s="3">
        <v>71.400000000000006</v>
      </c>
      <c r="G52" s="3"/>
      <c r="H5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2:I50"/>
  <sheetViews>
    <sheetView topLeftCell="A24" workbookViewId="0">
      <selection activeCell="G47" sqref="G47:G50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3.5703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233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8887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102</v>
      </c>
      <c r="F9" s="10"/>
      <c r="G9" s="10">
        <f t="shared" ref="G9:G34" si="0">SUM(C9:F9)</f>
        <v>102</v>
      </c>
      <c r="H9" s="19">
        <f t="shared" ref="H9:H34" si="1">ROUND(G9/8887,2)</f>
        <v>0.01</v>
      </c>
      <c r="I9" s="18">
        <f t="shared" ref="I9:I34" si="2">ROUND(G9/$G$35,3)</f>
        <v>0</v>
      </c>
    </row>
    <row r="10" spans="1:9" x14ac:dyDescent="0.25">
      <c r="A10" t="s">
        <v>19</v>
      </c>
      <c r="B10" t="s">
        <v>20</v>
      </c>
      <c r="C10" s="10"/>
      <c r="D10" s="10"/>
      <c r="E10" s="10">
        <v>700</v>
      </c>
      <c r="F10" s="10"/>
      <c r="G10" s="10">
        <f t="shared" si="0"/>
        <v>700</v>
      </c>
      <c r="H10" s="19">
        <f t="shared" si="1"/>
        <v>0.08</v>
      </c>
      <c r="I10" s="18">
        <f t="shared" si="2"/>
        <v>2E-3</v>
      </c>
    </row>
    <row r="11" spans="1:9" x14ac:dyDescent="0.25">
      <c r="A11" t="s">
        <v>19</v>
      </c>
      <c r="B11" t="s">
        <v>76</v>
      </c>
      <c r="C11" s="10"/>
      <c r="D11" s="10"/>
      <c r="E11" s="10">
        <v>192</v>
      </c>
      <c r="F11" s="10"/>
      <c r="G11" s="10">
        <f t="shared" si="0"/>
        <v>192</v>
      </c>
      <c r="H11" s="19">
        <f t="shared" si="1"/>
        <v>0.02</v>
      </c>
      <c r="I11" s="18">
        <f t="shared" si="2"/>
        <v>1E-3</v>
      </c>
    </row>
    <row r="12" spans="1:9" x14ac:dyDescent="0.25">
      <c r="A12" t="s">
        <v>19</v>
      </c>
      <c r="B12" t="s">
        <v>41</v>
      </c>
      <c r="C12" s="10"/>
      <c r="D12" s="10"/>
      <c r="E12" s="10">
        <v>197</v>
      </c>
      <c r="F12" s="10"/>
      <c r="G12" s="10">
        <f t="shared" si="0"/>
        <v>197</v>
      </c>
      <c r="H12" s="19">
        <f t="shared" si="1"/>
        <v>0.02</v>
      </c>
      <c r="I12" s="18">
        <f t="shared" si="2"/>
        <v>1E-3</v>
      </c>
    </row>
    <row r="13" spans="1:9" x14ac:dyDescent="0.25">
      <c r="A13" t="s">
        <v>19</v>
      </c>
      <c r="B13" t="s">
        <v>22</v>
      </c>
      <c r="C13" s="10"/>
      <c r="D13" s="10"/>
      <c r="E13" s="10">
        <v>1040</v>
      </c>
      <c r="F13" s="10"/>
      <c r="G13" s="10">
        <f t="shared" si="0"/>
        <v>1040</v>
      </c>
      <c r="H13" s="19">
        <f t="shared" si="1"/>
        <v>0.12</v>
      </c>
      <c r="I13" s="18">
        <f t="shared" si="2"/>
        <v>3.0000000000000001E-3</v>
      </c>
    </row>
    <row r="14" spans="1:9" x14ac:dyDescent="0.25">
      <c r="A14" t="s">
        <v>19</v>
      </c>
      <c r="B14" t="s">
        <v>23</v>
      </c>
      <c r="C14" s="10"/>
      <c r="D14" s="10"/>
      <c r="E14" s="10">
        <v>30820</v>
      </c>
      <c r="F14" s="10"/>
      <c r="G14" s="10">
        <f t="shared" si="0"/>
        <v>30820</v>
      </c>
      <c r="H14" s="19">
        <f t="shared" si="1"/>
        <v>3.47</v>
      </c>
      <c r="I14" s="18">
        <f t="shared" si="2"/>
        <v>8.1000000000000003E-2</v>
      </c>
    </row>
    <row r="15" spans="1:9" x14ac:dyDescent="0.25">
      <c r="A15" t="s">
        <v>19</v>
      </c>
      <c r="B15" t="s">
        <v>24</v>
      </c>
      <c r="C15" s="10"/>
      <c r="D15" s="10"/>
      <c r="E15" s="10">
        <v>7005</v>
      </c>
      <c r="F15" s="10"/>
      <c r="G15" s="10">
        <f t="shared" si="0"/>
        <v>7005</v>
      </c>
      <c r="H15" s="19">
        <f t="shared" si="1"/>
        <v>0.79</v>
      </c>
      <c r="I15" s="18">
        <f t="shared" si="2"/>
        <v>1.7999999999999999E-2</v>
      </c>
    </row>
    <row r="16" spans="1:9" x14ac:dyDescent="0.25">
      <c r="A16" t="s">
        <v>19</v>
      </c>
      <c r="B16" t="s">
        <v>66</v>
      </c>
      <c r="C16" s="10"/>
      <c r="D16" s="10"/>
      <c r="E16" s="10">
        <v>3640</v>
      </c>
      <c r="F16" s="10"/>
      <c r="G16" s="10">
        <f t="shared" si="0"/>
        <v>3640</v>
      </c>
      <c r="H16" s="19">
        <f t="shared" si="1"/>
        <v>0.41</v>
      </c>
      <c r="I16" s="18">
        <f t="shared" si="2"/>
        <v>0.01</v>
      </c>
    </row>
    <row r="17" spans="1:9" x14ac:dyDescent="0.25">
      <c r="A17" t="s">
        <v>19</v>
      </c>
      <c r="B17" t="s">
        <v>26</v>
      </c>
      <c r="C17" s="10"/>
      <c r="D17" s="10"/>
      <c r="E17" s="10">
        <v>121</v>
      </c>
      <c r="F17" s="10"/>
      <c r="G17" s="10">
        <f t="shared" si="0"/>
        <v>121</v>
      </c>
      <c r="H17" s="19">
        <f t="shared" si="1"/>
        <v>0.01</v>
      </c>
      <c r="I17" s="18">
        <f t="shared" si="2"/>
        <v>0</v>
      </c>
    </row>
    <row r="18" spans="1:9" x14ac:dyDescent="0.25">
      <c r="A18" t="s">
        <v>19</v>
      </c>
      <c r="B18" t="s">
        <v>27</v>
      </c>
      <c r="C18" s="10"/>
      <c r="D18" s="10"/>
      <c r="E18" s="10">
        <v>109</v>
      </c>
      <c r="F18" s="10"/>
      <c r="G18" s="10">
        <f t="shared" si="0"/>
        <v>109</v>
      </c>
      <c r="H18" s="19">
        <f t="shared" si="1"/>
        <v>0.01</v>
      </c>
      <c r="I18" s="18">
        <f t="shared" si="2"/>
        <v>0</v>
      </c>
    </row>
    <row r="19" spans="1:9" x14ac:dyDescent="0.25">
      <c r="A19" t="s">
        <v>19</v>
      </c>
      <c r="B19" t="s">
        <v>29</v>
      </c>
      <c r="C19" s="10"/>
      <c r="D19" s="10"/>
      <c r="E19" s="10">
        <v>9370</v>
      </c>
      <c r="F19" s="10"/>
      <c r="G19" s="10">
        <f t="shared" si="0"/>
        <v>9370</v>
      </c>
      <c r="H19" s="19">
        <f t="shared" si="1"/>
        <v>1.05</v>
      </c>
      <c r="I19" s="18">
        <f t="shared" si="2"/>
        <v>2.5000000000000001E-2</v>
      </c>
    </row>
    <row r="20" spans="1:9" x14ac:dyDescent="0.25">
      <c r="A20" t="s">
        <v>19</v>
      </c>
      <c r="B20" t="s">
        <v>30</v>
      </c>
      <c r="C20" s="10"/>
      <c r="D20" s="10"/>
      <c r="E20" s="10">
        <v>910</v>
      </c>
      <c r="F20" s="10"/>
      <c r="G20" s="10">
        <f t="shared" si="0"/>
        <v>910</v>
      </c>
      <c r="H20" s="19">
        <f t="shared" si="1"/>
        <v>0.1</v>
      </c>
      <c r="I20" s="18">
        <f t="shared" si="2"/>
        <v>2E-3</v>
      </c>
    </row>
    <row r="21" spans="1:9" x14ac:dyDescent="0.25">
      <c r="A21" t="s">
        <v>19</v>
      </c>
      <c r="B21" t="s">
        <v>32</v>
      </c>
      <c r="C21" s="10"/>
      <c r="D21" s="10"/>
      <c r="E21" s="10">
        <v>1300</v>
      </c>
      <c r="F21" s="10"/>
      <c r="G21" s="10">
        <f t="shared" si="0"/>
        <v>1300</v>
      </c>
      <c r="H21" s="19">
        <f t="shared" si="1"/>
        <v>0.15</v>
      </c>
      <c r="I21" s="18">
        <f t="shared" si="2"/>
        <v>3.0000000000000001E-3</v>
      </c>
    </row>
    <row r="22" spans="1:9" x14ac:dyDescent="0.25">
      <c r="A22" t="s">
        <v>19</v>
      </c>
      <c r="B22" t="s">
        <v>42</v>
      </c>
      <c r="C22" s="10"/>
      <c r="D22" s="10">
        <v>18</v>
      </c>
      <c r="E22" s="10">
        <v>65</v>
      </c>
      <c r="F22" s="10"/>
      <c r="G22" s="10">
        <f t="shared" si="0"/>
        <v>83</v>
      </c>
      <c r="H22" s="19">
        <f t="shared" si="1"/>
        <v>0.01</v>
      </c>
      <c r="I22" s="18">
        <f t="shared" si="2"/>
        <v>0</v>
      </c>
    </row>
    <row r="23" spans="1:9" x14ac:dyDescent="0.25">
      <c r="A23" t="s">
        <v>19</v>
      </c>
      <c r="B23" t="s">
        <v>33</v>
      </c>
      <c r="C23" s="10"/>
      <c r="D23" s="10"/>
      <c r="E23" s="10">
        <v>504</v>
      </c>
      <c r="F23" s="10"/>
      <c r="G23" s="10">
        <f t="shared" si="0"/>
        <v>504</v>
      </c>
      <c r="H23" s="19">
        <f t="shared" si="1"/>
        <v>0.06</v>
      </c>
      <c r="I23" s="18">
        <f t="shared" si="2"/>
        <v>1E-3</v>
      </c>
    </row>
    <row r="24" spans="1:9" x14ac:dyDescent="0.25">
      <c r="A24" t="s">
        <v>19</v>
      </c>
      <c r="B24" t="s">
        <v>67</v>
      </c>
      <c r="C24" s="10"/>
      <c r="D24" s="10"/>
      <c r="E24" s="10">
        <v>2800</v>
      </c>
      <c r="F24" s="10"/>
      <c r="G24" s="10">
        <f t="shared" si="0"/>
        <v>2800</v>
      </c>
      <c r="H24" s="19">
        <f t="shared" si="1"/>
        <v>0.32</v>
      </c>
      <c r="I24" s="18">
        <f t="shared" si="2"/>
        <v>7.0000000000000001E-3</v>
      </c>
    </row>
    <row r="25" spans="1:9" x14ac:dyDescent="0.25">
      <c r="A25" t="s">
        <v>19</v>
      </c>
      <c r="B25" t="s">
        <v>34</v>
      </c>
      <c r="C25" s="10"/>
      <c r="D25" s="10"/>
      <c r="E25" s="10">
        <v>930</v>
      </c>
      <c r="F25" s="10"/>
      <c r="G25" s="10">
        <f t="shared" si="0"/>
        <v>930</v>
      </c>
      <c r="H25" s="19">
        <f t="shared" si="1"/>
        <v>0.1</v>
      </c>
      <c r="I25" s="18">
        <f t="shared" si="2"/>
        <v>2E-3</v>
      </c>
    </row>
    <row r="26" spans="1:9" x14ac:dyDescent="0.25">
      <c r="A26" t="s">
        <v>19</v>
      </c>
      <c r="B26" t="s">
        <v>40</v>
      </c>
      <c r="C26" s="10"/>
      <c r="D26" s="10"/>
      <c r="E26" s="10">
        <v>5620</v>
      </c>
      <c r="F26" s="10"/>
      <c r="G26" s="10">
        <f t="shared" si="0"/>
        <v>5620</v>
      </c>
      <c r="H26" s="19">
        <f t="shared" si="1"/>
        <v>0.63</v>
      </c>
      <c r="I26" s="18">
        <f t="shared" si="2"/>
        <v>1.4999999999999999E-2</v>
      </c>
    </row>
    <row r="27" spans="1:9" x14ac:dyDescent="0.25">
      <c r="A27" t="s">
        <v>19</v>
      </c>
      <c r="B27" t="s">
        <v>35</v>
      </c>
      <c r="C27" s="10"/>
      <c r="D27" s="10"/>
      <c r="E27" s="10">
        <v>5980</v>
      </c>
      <c r="F27" s="10"/>
      <c r="G27" s="10">
        <f t="shared" si="0"/>
        <v>5980</v>
      </c>
      <c r="H27" s="19">
        <f t="shared" si="1"/>
        <v>0.67</v>
      </c>
      <c r="I27" s="18">
        <f t="shared" si="2"/>
        <v>1.6E-2</v>
      </c>
    </row>
    <row r="28" spans="1:9" x14ac:dyDescent="0.25">
      <c r="A28" t="s">
        <v>19</v>
      </c>
      <c r="B28" t="s">
        <v>36</v>
      </c>
      <c r="C28" s="10"/>
      <c r="D28" s="10"/>
      <c r="E28" s="10">
        <v>78035</v>
      </c>
      <c r="F28" s="10"/>
      <c r="G28" s="10">
        <f t="shared" si="0"/>
        <v>78035</v>
      </c>
      <c r="H28" s="19">
        <f t="shared" si="1"/>
        <v>8.7799999999999994</v>
      </c>
      <c r="I28" s="18">
        <f t="shared" si="2"/>
        <v>0.20499999999999999</v>
      </c>
    </row>
    <row r="29" spans="1:9" x14ac:dyDescent="0.25">
      <c r="A29" t="s">
        <v>19</v>
      </c>
      <c r="B29" t="s">
        <v>37</v>
      </c>
      <c r="C29" s="10"/>
      <c r="D29" s="10"/>
      <c r="E29" s="10">
        <v>2720</v>
      </c>
      <c r="F29" s="10"/>
      <c r="G29" s="10">
        <f t="shared" si="0"/>
        <v>2720</v>
      </c>
      <c r="H29" s="19">
        <f t="shared" si="1"/>
        <v>0.31</v>
      </c>
      <c r="I29" s="18">
        <f t="shared" si="2"/>
        <v>7.0000000000000001E-3</v>
      </c>
    </row>
    <row r="30" spans="1:9" x14ac:dyDescent="0.25">
      <c r="A30" t="s">
        <v>19</v>
      </c>
      <c r="B30" t="s">
        <v>38</v>
      </c>
      <c r="C30" s="10"/>
      <c r="D30" s="10"/>
      <c r="E30" s="10">
        <v>18690</v>
      </c>
      <c r="F30" s="10"/>
      <c r="G30" s="10">
        <f t="shared" si="0"/>
        <v>18690</v>
      </c>
      <c r="H30" s="19">
        <f t="shared" si="1"/>
        <v>2.1</v>
      </c>
      <c r="I30" s="18">
        <f t="shared" si="2"/>
        <v>4.9000000000000002E-2</v>
      </c>
    </row>
    <row r="31" spans="1:9" x14ac:dyDescent="0.25">
      <c r="A31" t="s">
        <v>19</v>
      </c>
      <c r="B31" t="s">
        <v>39</v>
      </c>
      <c r="C31" s="10"/>
      <c r="D31" s="10"/>
      <c r="E31" s="10">
        <v>176770</v>
      </c>
      <c r="F31" s="10"/>
      <c r="G31" s="10">
        <f t="shared" si="0"/>
        <v>176770</v>
      </c>
      <c r="H31" s="19">
        <f t="shared" si="1"/>
        <v>19.89</v>
      </c>
      <c r="I31" s="18">
        <f t="shared" si="2"/>
        <v>0.46400000000000002</v>
      </c>
    </row>
    <row r="32" spans="1:9" x14ac:dyDescent="0.25">
      <c r="A32" t="s">
        <v>19</v>
      </c>
      <c r="B32" t="s">
        <v>31</v>
      </c>
      <c r="C32" s="10"/>
      <c r="D32" s="10"/>
      <c r="E32" s="10"/>
      <c r="F32" s="10"/>
      <c r="G32" s="10">
        <f t="shared" si="0"/>
        <v>0</v>
      </c>
      <c r="H32" s="19">
        <f t="shared" si="1"/>
        <v>0</v>
      </c>
      <c r="I32" s="18">
        <f t="shared" si="2"/>
        <v>0</v>
      </c>
    </row>
    <row r="33" spans="1:9" x14ac:dyDescent="0.25">
      <c r="A33" t="s">
        <v>43</v>
      </c>
      <c r="B33" t="s">
        <v>45</v>
      </c>
      <c r="C33" s="10"/>
      <c r="D33" s="10"/>
      <c r="E33" s="10">
        <v>33280</v>
      </c>
      <c r="F33" s="10"/>
      <c r="G33" s="10">
        <f t="shared" si="0"/>
        <v>33280</v>
      </c>
      <c r="H33" s="19">
        <f t="shared" si="1"/>
        <v>3.74</v>
      </c>
      <c r="I33" s="18">
        <f t="shared" si="2"/>
        <v>8.6999999999999994E-2</v>
      </c>
    </row>
    <row r="34" spans="1:9" x14ac:dyDescent="0.25">
      <c r="A34" t="s">
        <v>15</v>
      </c>
      <c r="B34" t="s">
        <v>18</v>
      </c>
      <c r="C34" s="10"/>
      <c r="D34" s="10"/>
      <c r="E34" s="10"/>
      <c r="F34" s="10"/>
      <c r="G34" s="10">
        <f t="shared" si="0"/>
        <v>0</v>
      </c>
      <c r="H34" s="19">
        <f t="shared" si="1"/>
        <v>0</v>
      </c>
      <c r="I34" s="18">
        <f t="shared" si="2"/>
        <v>0</v>
      </c>
    </row>
    <row r="35" spans="1:9" x14ac:dyDescent="0.25">
      <c r="A35" s="3" t="s">
        <v>253</v>
      </c>
      <c r="B35" s="3"/>
      <c r="C35" s="8">
        <f t="shared" ref="C35:H35" si="3">SUM(C8:C34)</f>
        <v>0</v>
      </c>
      <c r="D35" s="8">
        <f t="shared" si="3"/>
        <v>18</v>
      </c>
      <c r="E35" s="8">
        <f t="shared" si="3"/>
        <v>380900</v>
      </c>
      <c r="F35" s="8">
        <f t="shared" si="3"/>
        <v>0</v>
      </c>
      <c r="G35" s="8">
        <f t="shared" si="3"/>
        <v>380918</v>
      </c>
      <c r="H35" s="20">
        <f t="shared" si="3"/>
        <v>42.85</v>
      </c>
      <c r="I35" s="18"/>
    </row>
    <row r="36" spans="1:9" x14ac:dyDescent="0.25">
      <c r="A36" s="3" t="s">
        <v>14</v>
      </c>
      <c r="B36" s="3"/>
      <c r="C36" s="12">
        <f>ROUND(C35/G35,2)</f>
        <v>0</v>
      </c>
      <c r="D36" s="12">
        <f>ROUND(D35/G35,2)</f>
        <v>0</v>
      </c>
      <c r="E36" s="12">
        <f>ROUND(E35/G35,2)</f>
        <v>1</v>
      </c>
      <c r="F36" s="12">
        <f>ROUND(F35/G35,2)</f>
        <v>0</v>
      </c>
      <c r="G36" s="7"/>
      <c r="H36" s="7"/>
    </row>
    <row r="37" spans="1:9" x14ac:dyDescent="0.25">
      <c r="A37" s="3" t="s">
        <v>47</v>
      </c>
      <c r="B37" s="3"/>
      <c r="C37" s="3"/>
      <c r="D37" s="3"/>
      <c r="E37" s="3"/>
      <c r="F37" s="3"/>
      <c r="G37" s="3"/>
      <c r="H37" s="3"/>
    </row>
    <row r="38" spans="1:9" x14ac:dyDescent="0.25">
      <c r="A38" s="3" t="s">
        <v>48</v>
      </c>
      <c r="B38" s="3"/>
      <c r="C38" s="8">
        <v>0</v>
      </c>
      <c r="D38" s="8">
        <v>18</v>
      </c>
      <c r="E38" s="8">
        <v>347620</v>
      </c>
      <c r="F38" s="8">
        <v>0</v>
      </c>
      <c r="G38" s="8">
        <f>SUM(C38:F38)</f>
        <v>347638</v>
      </c>
      <c r="H38" s="20">
        <f>ROUND(G38/8887,2)</f>
        <v>39.119999999999997</v>
      </c>
    </row>
    <row r="39" spans="1:9" x14ac:dyDescent="0.25">
      <c r="A39" s="3" t="s">
        <v>49</v>
      </c>
      <c r="B39" s="3"/>
      <c r="C39" s="8">
        <v>0</v>
      </c>
      <c r="D39" s="8">
        <v>0</v>
      </c>
      <c r="E39" s="8">
        <v>33280</v>
      </c>
      <c r="F39" s="8">
        <v>0</v>
      </c>
      <c r="G39" s="8">
        <f>SUM(C39:F39)</f>
        <v>33280</v>
      </c>
      <c r="H39" s="20">
        <f>ROUND(G39/8887,2)</f>
        <v>3.74</v>
      </c>
    </row>
    <row r="40" spans="1:9" x14ac:dyDescent="0.25">
      <c r="A40" s="3" t="s">
        <v>50</v>
      </c>
      <c r="B40" s="3"/>
      <c r="C40" s="8">
        <v>0</v>
      </c>
      <c r="D40" s="8">
        <v>0</v>
      </c>
      <c r="E40" s="8">
        <v>0</v>
      </c>
      <c r="F40" s="8">
        <v>0</v>
      </c>
      <c r="G40" s="8">
        <f>SUM(C40:F40)</f>
        <v>0</v>
      </c>
      <c r="H40" s="20">
        <f>ROUND(G40/8887,2)</f>
        <v>0</v>
      </c>
    </row>
    <row r="41" spans="1:9" x14ac:dyDescent="0.25">
      <c r="A41" s="3"/>
      <c r="B41" s="3"/>
      <c r="C41" s="3"/>
      <c r="D41" s="3"/>
      <c r="E41" s="3"/>
      <c r="F41" s="3"/>
      <c r="G41" s="3"/>
      <c r="H41" s="3"/>
    </row>
    <row r="42" spans="1:9" x14ac:dyDescent="0.25">
      <c r="A42" s="3"/>
      <c r="B42" s="3"/>
      <c r="C42" s="3" t="s">
        <v>2</v>
      </c>
      <c r="D42" s="3">
        <v>2022</v>
      </c>
      <c r="E42" s="3" t="s">
        <v>51</v>
      </c>
      <c r="F42" s="3"/>
      <c r="G42" s="3"/>
      <c r="H42" s="3"/>
    </row>
    <row r="43" spans="1:9" x14ac:dyDescent="0.25">
      <c r="A43" s="3" t="s">
        <v>52</v>
      </c>
      <c r="B43" s="3"/>
      <c r="C43" s="12">
        <v>1</v>
      </c>
      <c r="D43" s="12">
        <v>0.98850000000000005</v>
      </c>
      <c r="E43" s="12">
        <v>0.77659999999999996</v>
      </c>
      <c r="F43" s="3"/>
      <c r="G43" s="3"/>
      <c r="H43" s="3"/>
    </row>
    <row r="44" spans="1:9" x14ac:dyDescent="0.25">
      <c r="A44" s="3" t="s">
        <v>53</v>
      </c>
      <c r="B44" s="3"/>
      <c r="C44" s="12">
        <v>1</v>
      </c>
      <c r="D44" s="12">
        <v>0.9879</v>
      </c>
      <c r="E44" s="12">
        <v>0.75900000000000001</v>
      </c>
      <c r="F44" s="3"/>
      <c r="G44" s="3"/>
      <c r="H44" s="3"/>
    </row>
    <row r="45" spans="1:9" x14ac:dyDescent="0.25">
      <c r="A45" s="3"/>
      <c r="B45" s="3"/>
      <c r="C45" s="3"/>
      <c r="D45" s="3"/>
      <c r="E45" s="3"/>
      <c r="F45" s="3"/>
      <c r="G45" s="3"/>
      <c r="H45" s="3"/>
    </row>
    <row r="46" spans="1:9" x14ac:dyDescent="0.25">
      <c r="A46" s="3" t="s">
        <v>256</v>
      </c>
      <c r="B46" s="3"/>
      <c r="C46" s="3" t="s">
        <v>2</v>
      </c>
      <c r="D46" s="3" t="s">
        <v>234</v>
      </c>
      <c r="E46" s="3" t="s">
        <v>55</v>
      </c>
      <c r="F46" s="3" t="s">
        <v>254</v>
      </c>
      <c r="G46" s="3"/>
      <c r="H46" s="3"/>
    </row>
    <row r="47" spans="1:9" x14ac:dyDescent="0.25">
      <c r="A47" s="3" t="s">
        <v>56</v>
      </c>
      <c r="B47" s="3"/>
      <c r="C47" s="3"/>
      <c r="D47" s="3"/>
      <c r="E47" s="3">
        <v>81.5</v>
      </c>
      <c r="F47" s="3">
        <v>50.61</v>
      </c>
      <c r="G47" s="3"/>
      <c r="H47" s="3"/>
    </row>
    <row r="48" spans="1:9" x14ac:dyDescent="0.25">
      <c r="A48" s="3" t="s">
        <v>57</v>
      </c>
      <c r="B48" s="3"/>
      <c r="C48" s="3"/>
      <c r="D48" s="3"/>
      <c r="E48" s="3">
        <v>58.24</v>
      </c>
      <c r="F48" s="3">
        <v>57.37</v>
      </c>
      <c r="G48" s="3"/>
      <c r="H48" s="3"/>
    </row>
    <row r="49" spans="1:8" x14ac:dyDescent="0.25">
      <c r="A49" s="3" t="s">
        <v>58</v>
      </c>
      <c r="B49" s="3"/>
      <c r="C49" s="3"/>
      <c r="D49" s="3">
        <v>83.81</v>
      </c>
      <c r="E49" s="3">
        <v>261.52999999999997</v>
      </c>
      <c r="F49" s="3">
        <v>249.57</v>
      </c>
      <c r="G49" s="3"/>
      <c r="H49" s="3"/>
    </row>
    <row r="50" spans="1:8" x14ac:dyDescent="0.25">
      <c r="A50" s="3" t="s">
        <v>59</v>
      </c>
      <c r="B50" s="3"/>
      <c r="C50" s="3"/>
      <c r="D50" s="3">
        <v>8.65</v>
      </c>
      <c r="E50" s="3">
        <v>103.11</v>
      </c>
      <c r="F50" s="3">
        <v>71.400000000000006</v>
      </c>
      <c r="G50" s="3"/>
      <c r="H5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2:I60"/>
  <sheetViews>
    <sheetView topLeftCell="A33" workbookViewId="0">
      <selection activeCell="G57" sqref="G57:G60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7109375" bestFit="1" customWidth="1"/>
    <col min="4" max="4" width="23.7109375" bestFit="1" customWidth="1"/>
    <col min="5" max="5" width="13.85546875" bestFit="1" customWidth="1"/>
    <col min="6" max="6" width="10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235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9833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63</v>
      </c>
      <c r="C9" s="10"/>
      <c r="D9" s="10"/>
      <c r="E9" s="10"/>
      <c r="F9" s="10">
        <v>300</v>
      </c>
      <c r="G9" s="10">
        <f t="shared" ref="G9:G44" si="0">SUM(C9:F9)</f>
        <v>300</v>
      </c>
      <c r="H9" s="19">
        <f t="shared" ref="H9:H44" si="1">ROUND(G9/9833,2)</f>
        <v>0.03</v>
      </c>
      <c r="I9" s="4">
        <f t="shared" ref="I9:I40" si="2">ROUND(G9/$G$45,3)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280</v>
      </c>
      <c r="G10" s="10">
        <f t="shared" si="0"/>
        <v>280</v>
      </c>
      <c r="H10" s="19">
        <f t="shared" si="1"/>
        <v>0.03</v>
      </c>
      <c r="I10" s="4">
        <f t="shared" si="2"/>
        <v>0</v>
      </c>
    </row>
    <row r="11" spans="1:9" x14ac:dyDescent="0.25">
      <c r="A11" t="s">
        <v>15</v>
      </c>
      <c r="B11" t="s">
        <v>128</v>
      </c>
      <c r="C11" s="10"/>
      <c r="D11" s="10"/>
      <c r="E11" s="10"/>
      <c r="F11" s="10"/>
      <c r="G11" s="10">
        <f t="shared" si="0"/>
        <v>0</v>
      </c>
      <c r="H11" s="19">
        <f t="shared" si="1"/>
        <v>0</v>
      </c>
      <c r="I11" s="4">
        <f t="shared" si="2"/>
        <v>0</v>
      </c>
    </row>
    <row r="12" spans="1:9" x14ac:dyDescent="0.25">
      <c r="A12" t="s">
        <v>15</v>
      </c>
      <c r="B12" t="s">
        <v>18</v>
      </c>
      <c r="C12" s="10"/>
      <c r="D12" s="10"/>
      <c r="E12" s="10"/>
      <c r="F12" s="10"/>
      <c r="G12" s="10">
        <f t="shared" si="0"/>
        <v>0</v>
      </c>
      <c r="H12" s="19">
        <f t="shared" si="1"/>
        <v>0</v>
      </c>
      <c r="I12" s="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733</v>
      </c>
      <c r="F13" s="10"/>
      <c r="G13" s="10">
        <f t="shared" si="0"/>
        <v>733</v>
      </c>
      <c r="H13" s="19">
        <f t="shared" si="1"/>
        <v>7.0000000000000007E-2</v>
      </c>
      <c r="I13" s="4">
        <f t="shared" si="2"/>
        <v>0</v>
      </c>
    </row>
    <row r="14" spans="1:9" x14ac:dyDescent="0.25">
      <c r="A14" t="s">
        <v>19</v>
      </c>
      <c r="B14" t="s">
        <v>65</v>
      </c>
      <c r="C14" s="10">
        <v>3100</v>
      </c>
      <c r="D14" s="10"/>
      <c r="E14" s="10">
        <v>16920</v>
      </c>
      <c r="F14" s="10">
        <v>13340</v>
      </c>
      <c r="G14" s="10">
        <f t="shared" si="0"/>
        <v>33360</v>
      </c>
      <c r="H14" s="19">
        <f t="shared" si="1"/>
        <v>3.39</v>
      </c>
      <c r="I14" s="4">
        <f t="shared" si="2"/>
        <v>1.2999999999999999E-2</v>
      </c>
    </row>
    <row r="15" spans="1:9" x14ac:dyDescent="0.25">
      <c r="A15" t="s">
        <v>19</v>
      </c>
      <c r="B15" t="s">
        <v>20</v>
      </c>
      <c r="C15" s="10">
        <v>147900</v>
      </c>
      <c r="D15" s="10"/>
      <c r="E15" s="10">
        <v>47850.96</v>
      </c>
      <c r="F15" s="10">
        <v>24230</v>
      </c>
      <c r="G15" s="10">
        <f t="shared" si="0"/>
        <v>219980.96</v>
      </c>
      <c r="H15" s="19">
        <f t="shared" si="1"/>
        <v>22.37</v>
      </c>
      <c r="I15" s="4">
        <f t="shared" si="2"/>
        <v>8.5999999999999993E-2</v>
      </c>
    </row>
    <row r="16" spans="1:9" x14ac:dyDescent="0.25">
      <c r="A16" t="s">
        <v>19</v>
      </c>
      <c r="B16" t="s">
        <v>21</v>
      </c>
      <c r="C16" s="10">
        <v>211830</v>
      </c>
      <c r="D16" s="10"/>
      <c r="E16" s="10">
        <v>9015.1200000000008</v>
      </c>
      <c r="F16" s="10"/>
      <c r="G16" s="10">
        <f t="shared" si="0"/>
        <v>220845.12</v>
      </c>
      <c r="H16" s="19">
        <f t="shared" si="1"/>
        <v>22.46</v>
      </c>
      <c r="I16" s="4">
        <f t="shared" si="2"/>
        <v>8.5999999999999993E-2</v>
      </c>
    </row>
    <row r="17" spans="1:9" x14ac:dyDescent="0.25">
      <c r="A17" t="s">
        <v>19</v>
      </c>
      <c r="B17" t="s">
        <v>41</v>
      </c>
      <c r="C17" s="10"/>
      <c r="D17" s="10"/>
      <c r="E17" s="10">
        <v>478.66</v>
      </c>
      <c r="F17" s="10"/>
      <c r="G17" s="10">
        <f t="shared" si="0"/>
        <v>478.66</v>
      </c>
      <c r="H17" s="19">
        <f t="shared" si="1"/>
        <v>0.05</v>
      </c>
      <c r="I17" s="4">
        <f t="shared" si="2"/>
        <v>0</v>
      </c>
    </row>
    <row r="18" spans="1:9" x14ac:dyDescent="0.25">
      <c r="A18" t="s">
        <v>19</v>
      </c>
      <c r="B18" t="s">
        <v>22</v>
      </c>
      <c r="C18" s="10"/>
      <c r="D18" s="10"/>
      <c r="E18" s="10">
        <v>2718.75</v>
      </c>
      <c r="F18" s="10"/>
      <c r="G18" s="10">
        <f t="shared" si="0"/>
        <v>2718.75</v>
      </c>
      <c r="H18" s="19">
        <f t="shared" si="1"/>
        <v>0.28000000000000003</v>
      </c>
      <c r="I18" s="4">
        <f t="shared" si="2"/>
        <v>1E-3</v>
      </c>
    </row>
    <row r="19" spans="1:9" x14ac:dyDescent="0.25">
      <c r="A19" t="s">
        <v>19</v>
      </c>
      <c r="B19" t="s">
        <v>23</v>
      </c>
      <c r="C19" s="10"/>
      <c r="D19" s="10"/>
      <c r="E19" s="10">
        <v>166053.98000000001</v>
      </c>
      <c r="F19" s="10"/>
      <c r="G19" s="10">
        <f t="shared" si="0"/>
        <v>166053.98000000001</v>
      </c>
      <c r="H19" s="19">
        <f t="shared" si="1"/>
        <v>16.89</v>
      </c>
      <c r="I19" s="4">
        <f t="shared" si="2"/>
        <v>6.5000000000000002E-2</v>
      </c>
    </row>
    <row r="20" spans="1:9" x14ac:dyDescent="0.25">
      <c r="A20" t="s">
        <v>19</v>
      </c>
      <c r="B20" t="s">
        <v>24</v>
      </c>
      <c r="C20" s="10">
        <v>215984</v>
      </c>
      <c r="D20" s="10"/>
      <c r="E20" s="10">
        <v>91868.86</v>
      </c>
      <c r="F20" s="10">
        <v>25146</v>
      </c>
      <c r="G20" s="10">
        <f t="shared" si="0"/>
        <v>332998.86</v>
      </c>
      <c r="H20" s="19">
        <f t="shared" si="1"/>
        <v>33.869999999999997</v>
      </c>
      <c r="I20" s="4">
        <f t="shared" si="2"/>
        <v>0.13</v>
      </c>
    </row>
    <row r="21" spans="1:9" x14ac:dyDescent="0.25">
      <c r="A21" t="s">
        <v>19</v>
      </c>
      <c r="B21" t="s">
        <v>66</v>
      </c>
      <c r="C21" s="10"/>
      <c r="D21" s="10"/>
      <c r="E21" s="10">
        <v>9550</v>
      </c>
      <c r="F21" s="10"/>
      <c r="G21" s="10">
        <f t="shared" si="0"/>
        <v>9550</v>
      </c>
      <c r="H21" s="19">
        <f t="shared" si="1"/>
        <v>0.97</v>
      </c>
      <c r="I21" s="4">
        <f t="shared" si="2"/>
        <v>4.0000000000000001E-3</v>
      </c>
    </row>
    <row r="22" spans="1:9" x14ac:dyDescent="0.25">
      <c r="A22" t="s">
        <v>19</v>
      </c>
      <c r="B22" t="s">
        <v>25</v>
      </c>
      <c r="C22" s="10">
        <v>321070</v>
      </c>
      <c r="D22" s="10"/>
      <c r="E22" s="10"/>
      <c r="F22" s="10">
        <v>2240</v>
      </c>
      <c r="G22" s="10">
        <f t="shared" si="0"/>
        <v>323310</v>
      </c>
      <c r="H22" s="19">
        <f t="shared" si="1"/>
        <v>32.880000000000003</v>
      </c>
      <c r="I22" s="4">
        <f t="shared" si="2"/>
        <v>0.126</v>
      </c>
    </row>
    <row r="23" spans="1:9" x14ac:dyDescent="0.25">
      <c r="A23" t="s">
        <v>19</v>
      </c>
      <c r="B23" t="s">
        <v>26</v>
      </c>
      <c r="C23" s="10"/>
      <c r="D23" s="10"/>
      <c r="E23" s="10">
        <v>2269</v>
      </c>
      <c r="F23" s="10"/>
      <c r="G23" s="10">
        <f t="shared" si="0"/>
        <v>2269</v>
      </c>
      <c r="H23" s="19">
        <f t="shared" si="1"/>
        <v>0.23</v>
      </c>
      <c r="I23" s="4">
        <f t="shared" si="2"/>
        <v>1E-3</v>
      </c>
    </row>
    <row r="24" spans="1:9" x14ac:dyDescent="0.25">
      <c r="A24" t="s">
        <v>19</v>
      </c>
      <c r="B24" t="s">
        <v>27</v>
      </c>
      <c r="C24" s="10"/>
      <c r="D24" s="10"/>
      <c r="E24" s="10">
        <v>982</v>
      </c>
      <c r="F24" s="10"/>
      <c r="G24" s="10">
        <f t="shared" si="0"/>
        <v>982</v>
      </c>
      <c r="H24" s="19">
        <f t="shared" si="1"/>
        <v>0.1</v>
      </c>
      <c r="I24" s="4">
        <f t="shared" si="2"/>
        <v>0</v>
      </c>
    </row>
    <row r="25" spans="1:9" x14ac:dyDescent="0.25">
      <c r="A25" t="s">
        <v>19</v>
      </c>
      <c r="B25" t="s">
        <v>28</v>
      </c>
      <c r="C25" s="10"/>
      <c r="D25" s="10"/>
      <c r="E25" s="10">
        <v>529.39</v>
      </c>
      <c r="F25" s="10"/>
      <c r="G25" s="10">
        <f t="shared" si="0"/>
        <v>529.39</v>
      </c>
      <c r="H25" s="19">
        <f t="shared" si="1"/>
        <v>0.05</v>
      </c>
      <c r="I25" s="4">
        <f t="shared" si="2"/>
        <v>0</v>
      </c>
    </row>
    <row r="26" spans="1:9" x14ac:dyDescent="0.25">
      <c r="A26" t="s">
        <v>19</v>
      </c>
      <c r="B26" t="s">
        <v>29</v>
      </c>
      <c r="C26" s="10"/>
      <c r="D26" s="10"/>
      <c r="E26" s="10">
        <v>10214.64</v>
      </c>
      <c r="F26" s="10"/>
      <c r="G26" s="10">
        <f t="shared" si="0"/>
        <v>10214.64</v>
      </c>
      <c r="H26" s="19">
        <f t="shared" si="1"/>
        <v>1.04</v>
      </c>
      <c r="I26" s="4">
        <f t="shared" si="2"/>
        <v>4.0000000000000001E-3</v>
      </c>
    </row>
    <row r="27" spans="1:9" x14ac:dyDescent="0.25">
      <c r="A27" t="s">
        <v>19</v>
      </c>
      <c r="B27" t="s">
        <v>30</v>
      </c>
      <c r="C27" s="10"/>
      <c r="D27" s="10"/>
      <c r="E27" s="10">
        <v>2515.86</v>
      </c>
      <c r="F27" s="10"/>
      <c r="G27" s="10">
        <f t="shared" si="0"/>
        <v>2515.86</v>
      </c>
      <c r="H27" s="19">
        <f t="shared" si="1"/>
        <v>0.26</v>
      </c>
      <c r="I27" s="4">
        <f t="shared" si="2"/>
        <v>1E-3</v>
      </c>
    </row>
    <row r="28" spans="1:9" x14ac:dyDescent="0.25">
      <c r="A28" t="s">
        <v>19</v>
      </c>
      <c r="B28" t="s">
        <v>31</v>
      </c>
      <c r="C28" s="10"/>
      <c r="D28" s="10"/>
      <c r="E28" s="10">
        <v>384.62</v>
      </c>
      <c r="F28" s="10"/>
      <c r="G28" s="10">
        <f t="shared" si="0"/>
        <v>384.62</v>
      </c>
      <c r="H28" s="19">
        <f t="shared" si="1"/>
        <v>0.04</v>
      </c>
      <c r="I28" s="4">
        <f t="shared" si="2"/>
        <v>0</v>
      </c>
    </row>
    <row r="29" spans="1:9" x14ac:dyDescent="0.25">
      <c r="A29" t="s">
        <v>19</v>
      </c>
      <c r="B29" t="s">
        <v>32</v>
      </c>
      <c r="C29" s="10"/>
      <c r="D29" s="10"/>
      <c r="E29" s="10">
        <v>2210.5700000000002</v>
      </c>
      <c r="F29" s="10"/>
      <c r="G29" s="10">
        <f t="shared" si="0"/>
        <v>2210.5700000000002</v>
      </c>
      <c r="H29" s="19">
        <f t="shared" si="1"/>
        <v>0.22</v>
      </c>
      <c r="I29" s="4">
        <f t="shared" si="2"/>
        <v>1E-3</v>
      </c>
    </row>
    <row r="30" spans="1:9" x14ac:dyDescent="0.25">
      <c r="A30" t="s">
        <v>19</v>
      </c>
      <c r="B30" t="s">
        <v>42</v>
      </c>
      <c r="C30" s="10"/>
      <c r="D30" s="10">
        <v>935</v>
      </c>
      <c r="E30" s="10">
        <v>300</v>
      </c>
      <c r="F30" s="10"/>
      <c r="G30" s="10">
        <f t="shared" si="0"/>
        <v>1235</v>
      </c>
      <c r="H30" s="19">
        <f t="shared" si="1"/>
        <v>0.13</v>
      </c>
      <c r="I30" s="4">
        <f t="shared" si="2"/>
        <v>0</v>
      </c>
    </row>
    <row r="31" spans="1:9" x14ac:dyDescent="0.25">
      <c r="A31" t="s">
        <v>19</v>
      </c>
      <c r="B31" t="s">
        <v>67</v>
      </c>
      <c r="C31" s="10"/>
      <c r="D31" s="10"/>
      <c r="E31" s="10">
        <v>3680</v>
      </c>
      <c r="F31" s="10"/>
      <c r="G31" s="10">
        <f t="shared" si="0"/>
        <v>3680</v>
      </c>
      <c r="H31" s="19">
        <f t="shared" si="1"/>
        <v>0.37</v>
      </c>
      <c r="I31" s="4">
        <f t="shared" si="2"/>
        <v>1E-3</v>
      </c>
    </row>
    <row r="32" spans="1:9" x14ac:dyDescent="0.25">
      <c r="A32" t="s">
        <v>19</v>
      </c>
      <c r="B32" t="s">
        <v>33</v>
      </c>
      <c r="C32" s="10"/>
      <c r="D32" s="10"/>
      <c r="E32" s="10">
        <v>1118.8399999999999</v>
      </c>
      <c r="F32" s="10"/>
      <c r="G32" s="10">
        <f t="shared" si="0"/>
        <v>1118.8399999999999</v>
      </c>
      <c r="H32" s="19">
        <f t="shared" si="1"/>
        <v>0.11</v>
      </c>
      <c r="I32" s="4">
        <f t="shared" si="2"/>
        <v>0</v>
      </c>
    </row>
    <row r="33" spans="1:9" x14ac:dyDescent="0.25">
      <c r="A33" t="s">
        <v>19</v>
      </c>
      <c r="B33" t="s">
        <v>34</v>
      </c>
      <c r="C33" s="10"/>
      <c r="D33" s="10"/>
      <c r="E33" s="10">
        <v>5643.86</v>
      </c>
      <c r="F33" s="10"/>
      <c r="G33" s="10">
        <f t="shared" si="0"/>
        <v>5643.86</v>
      </c>
      <c r="H33" s="19">
        <f t="shared" si="1"/>
        <v>0.56999999999999995</v>
      </c>
      <c r="I33" s="4">
        <f t="shared" si="2"/>
        <v>2E-3</v>
      </c>
    </row>
    <row r="34" spans="1:9" x14ac:dyDescent="0.25">
      <c r="A34" t="s">
        <v>19</v>
      </c>
      <c r="B34" t="s">
        <v>35</v>
      </c>
      <c r="C34" s="10"/>
      <c r="D34" s="10"/>
      <c r="E34" s="10">
        <v>22896.78</v>
      </c>
      <c r="F34" s="10"/>
      <c r="G34" s="10">
        <f t="shared" si="0"/>
        <v>22896.78</v>
      </c>
      <c r="H34" s="19">
        <f t="shared" si="1"/>
        <v>2.33</v>
      </c>
      <c r="I34" s="4">
        <f t="shared" si="2"/>
        <v>8.9999999999999993E-3</v>
      </c>
    </row>
    <row r="35" spans="1:9" x14ac:dyDescent="0.25">
      <c r="A35" t="s">
        <v>19</v>
      </c>
      <c r="B35" t="s">
        <v>40</v>
      </c>
      <c r="C35" s="10"/>
      <c r="D35" s="10"/>
      <c r="E35" s="10">
        <v>14529</v>
      </c>
      <c r="F35" s="10"/>
      <c r="G35" s="10">
        <f t="shared" si="0"/>
        <v>14529</v>
      </c>
      <c r="H35" s="19">
        <f t="shared" si="1"/>
        <v>1.48</v>
      </c>
      <c r="I35" s="4">
        <f t="shared" si="2"/>
        <v>6.0000000000000001E-3</v>
      </c>
    </row>
    <row r="36" spans="1:9" x14ac:dyDescent="0.25">
      <c r="A36" t="s">
        <v>19</v>
      </c>
      <c r="B36" t="s">
        <v>36</v>
      </c>
      <c r="C36" s="10"/>
      <c r="D36" s="10"/>
      <c r="E36" s="10">
        <v>172935.97</v>
      </c>
      <c r="F36" s="10"/>
      <c r="G36" s="10">
        <f t="shared" si="0"/>
        <v>172935.97</v>
      </c>
      <c r="H36" s="19">
        <f t="shared" si="1"/>
        <v>17.59</v>
      </c>
      <c r="I36" s="4">
        <f t="shared" si="2"/>
        <v>6.7000000000000004E-2</v>
      </c>
    </row>
    <row r="37" spans="1:9" x14ac:dyDescent="0.25">
      <c r="A37" t="s">
        <v>19</v>
      </c>
      <c r="B37" t="s">
        <v>37</v>
      </c>
      <c r="C37" s="10"/>
      <c r="D37" s="10"/>
      <c r="E37" s="10">
        <v>14864.81</v>
      </c>
      <c r="F37" s="10"/>
      <c r="G37" s="10">
        <f t="shared" si="0"/>
        <v>14864.81</v>
      </c>
      <c r="H37" s="19">
        <f t="shared" si="1"/>
        <v>1.51</v>
      </c>
      <c r="I37" s="4">
        <f t="shared" si="2"/>
        <v>6.0000000000000001E-3</v>
      </c>
    </row>
    <row r="38" spans="1:9" x14ac:dyDescent="0.25">
      <c r="A38" t="s">
        <v>19</v>
      </c>
      <c r="B38" t="s">
        <v>38</v>
      </c>
      <c r="C38" s="10"/>
      <c r="D38" s="10"/>
      <c r="E38" s="10">
        <v>56881.93</v>
      </c>
      <c r="F38" s="10"/>
      <c r="G38" s="10">
        <f t="shared" si="0"/>
        <v>56881.93</v>
      </c>
      <c r="H38" s="19">
        <f t="shared" si="1"/>
        <v>5.78</v>
      </c>
      <c r="I38" s="4">
        <f t="shared" si="2"/>
        <v>2.1999999999999999E-2</v>
      </c>
    </row>
    <row r="39" spans="1:9" x14ac:dyDescent="0.25">
      <c r="A39" t="s">
        <v>19</v>
      </c>
      <c r="B39" t="s">
        <v>39</v>
      </c>
      <c r="C39" s="10"/>
      <c r="D39" s="10"/>
      <c r="E39" s="10">
        <v>124153.72</v>
      </c>
      <c r="F39" s="10"/>
      <c r="G39" s="10">
        <f t="shared" si="0"/>
        <v>124153.72</v>
      </c>
      <c r="H39" s="19">
        <f t="shared" si="1"/>
        <v>12.63</v>
      </c>
      <c r="I39" s="4">
        <f t="shared" si="2"/>
        <v>4.8000000000000001E-2</v>
      </c>
    </row>
    <row r="40" spans="1:9" x14ac:dyDescent="0.25">
      <c r="A40" t="s">
        <v>19</v>
      </c>
      <c r="B40" t="s">
        <v>71</v>
      </c>
      <c r="C40" s="10"/>
      <c r="D40" s="10"/>
      <c r="E40" s="10"/>
      <c r="F40" s="10"/>
      <c r="G40" s="10">
        <f t="shared" si="0"/>
        <v>0</v>
      </c>
      <c r="H40" s="19">
        <f t="shared" si="1"/>
        <v>0</v>
      </c>
      <c r="I40" s="4">
        <f t="shared" si="2"/>
        <v>0</v>
      </c>
    </row>
    <row r="41" spans="1:9" x14ac:dyDescent="0.25">
      <c r="A41" t="s">
        <v>19</v>
      </c>
      <c r="B41" t="s">
        <v>91</v>
      </c>
      <c r="C41" s="10"/>
      <c r="D41" s="10"/>
      <c r="E41" s="10"/>
      <c r="F41" s="10"/>
      <c r="G41" s="10">
        <f t="shared" si="0"/>
        <v>0</v>
      </c>
      <c r="H41" s="19">
        <f t="shared" si="1"/>
        <v>0</v>
      </c>
      <c r="I41" s="4">
        <f t="shared" ref="I41" si="3">ROUND(G41/$G$45,3)</f>
        <v>0</v>
      </c>
    </row>
    <row r="42" spans="1:9" x14ac:dyDescent="0.25">
      <c r="A42" t="s">
        <v>43</v>
      </c>
      <c r="B42" t="s">
        <v>44</v>
      </c>
      <c r="C42" s="10">
        <v>585250</v>
      </c>
      <c r="D42" s="10"/>
      <c r="E42" s="10"/>
      <c r="F42" s="10">
        <v>1820</v>
      </c>
      <c r="G42" s="10">
        <f t="shared" si="0"/>
        <v>587070</v>
      </c>
      <c r="H42" s="19">
        <f t="shared" si="1"/>
        <v>59.7</v>
      </c>
      <c r="I42" s="4">
        <f>ROUND(G42/$G$45,3)</f>
        <v>0.22900000000000001</v>
      </c>
    </row>
    <row r="43" spans="1:9" x14ac:dyDescent="0.25">
      <c r="A43" t="s">
        <v>43</v>
      </c>
      <c r="B43" t="s">
        <v>46</v>
      </c>
      <c r="C43" s="10"/>
      <c r="D43" s="10"/>
      <c r="E43" s="10"/>
      <c r="F43" s="10">
        <v>80375</v>
      </c>
      <c r="G43" s="10">
        <f t="shared" si="0"/>
        <v>80375</v>
      </c>
      <c r="H43" s="19">
        <f t="shared" si="1"/>
        <v>8.17</v>
      </c>
      <c r="I43" s="4">
        <f>ROUND(G43/$G$45,3)</f>
        <v>3.1E-2</v>
      </c>
    </row>
    <row r="44" spans="1:9" x14ac:dyDescent="0.25">
      <c r="A44" t="s">
        <v>43</v>
      </c>
      <c r="B44" t="s">
        <v>45</v>
      </c>
      <c r="C44" s="10"/>
      <c r="D44" s="10"/>
      <c r="E44" s="10">
        <v>151092.56</v>
      </c>
      <c r="F44" s="10"/>
      <c r="G44" s="10">
        <f t="shared" si="0"/>
        <v>151092.56</v>
      </c>
      <c r="H44" s="19">
        <f t="shared" si="1"/>
        <v>15.37</v>
      </c>
      <c r="I44" s="4">
        <f>ROUND(G44/$G$45,3)</f>
        <v>5.8999999999999997E-2</v>
      </c>
    </row>
    <row r="45" spans="1:9" x14ac:dyDescent="0.25">
      <c r="A45" s="3" t="s">
        <v>253</v>
      </c>
      <c r="B45" s="3"/>
      <c r="C45" s="8">
        <f t="shared" ref="C45:H45" si="4">SUM(C8:C44)</f>
        <v>1485134</v>
      </c>
      <c r="D45" s="8">
        <f t="shared" si="4"/>
        <v>935</v>
      </c>
      <c r="E45" s="8">
        <f t="shared" si="4"/>
        <v>932392.88000000012</v>
      </c>
      <c r="F45" s="8">
        <f t="shared" si="4"/>
        <v>147731</v>
      </c>
      <c r="G45" s="8">
        <f t="shared" si="4"/>
        <v>2566192.8800000004</v>
      </c>
      <c r="H45" s="20">
        <f t="shared" si="4"/>
        <v>260.96999999999991</v>
      </c>
      <c r="I45" s="4"/>
    </row>
    <row r="46" spans="1:9" x14ac:dyDescent="0.25">
      <c r="A46" s="3" t="s">
        <v>14</v>
      </c>
      <c r="B46" s="3"/>
      <c r="C46" s="12">
        <f>ROUND(C45/G45,2)</f>
        <v>0.57999999999999996</v>
      </c>
      <c r="D46" s="12">
        <f>ROUND(D45/G45,2)</f>
        <v>0</v>
      </c>
      <c r="E46" s="12">
        <f>ROUND(E45/G45,2)</f>
        <v>0.36</v>
      </c>
      <c r="F46" s="12">
        <f>ROUND(F45/G45,2)</f>
        <v>0.06</v>
      </c>
      <c r="G46" s="7"/>
      <c r="H46" s="7"/>
    </row>
    <row r="47" spans="1:9" x14ac:dyDescent="0.25">
      <c r="A47" s="3" t="s">
        <v>47</v>
      </c>
      <c r="B47" s="3"/>
      <c r="C47" s="3"/>
      <c r="D47" s="3"/>
      <c r="E47" s="3"/>
      <c r="F47" s="3"/>
      <c r="G47" s="3"/>
      <c r="H47" s="3"/>
    </row>
    <row r="48" spans="1:9" x14ac:dyDescent="0.25">
      <c r="A48" s="3" t="s">
        <v>48</v>
      </c>
      <c r="B48" s="3"/>
      <c r="C48" s="8">
        <v>899884</v>
      </c>
      <c r="D48" s="8">
        <v>935</v>
      </c>
      <c r="E48" s="8">
        <v>781300.32</v>
      </c>
      <c r="F48" s="8">
        <v>64956</v>
      </c>
      <c r="G48" s="8">
        <f>SUM(C48:F48)</f>
        <v>1747075.3199999998</v>
      </c>
      <c r="H48" s="20">
        <f>ROUND(G48/9833,2)</f>
        <v>177.67</v>
      </c>
    </row>
    <row r="49" spans="1:8" x14ac:dyDescent="0.25">
      <c r="A49" s="3" t="s">
        <v>49</v>
      </c>
      <c r="B49" s="3"/>
      <c r="C49" s="8">
        <v>585250</v>
      </c>
      <c r="D49" s="8">
        <v>0</v>
      </c>
      <c r="E49" s="8">
        <v>151092.56</v>
      </c>
      <c r="F49" s="8">
        <v>82195</v>
      </c>
      <c r="G49" s="8">
        <f>SUM(C49:F49)</f>
        <v>818537.56</v>
      </c>
      <c r="H49" s="20">
        <f>ROUND(G49/9833,2)</f>
        <v>83.24</v>
      </c>
    </row>
    <row r="50" spans="1:8" x14ac:dyDescent="0.25">
      <c r="A50" s="3" t="s">
        <v>50</v>
      </c>
      <c r="B50" s="3"/>
      <c r="C50" s="8">
        <v>0</v>
      </c>
      <c r="D50" s="8">
        <v>0</v>
      </c>
      <c r="E50" s="8">
        <v>0</v>
      </c>
      <c r="F50" s="8">
        <v>580</v>
      </c>
      <c r="G50" s="8">
        <f>SUM(C50:F50)</f>
        <v>580</v>
      </c>
      <c r="H50" s="20">
        <f>ROUND(G50/9833,2)</f>
        <v>0.06</v>
      </c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 t="s">
        <v>2</v>
      </c>
      <c r="D52" s="3">
        <v>2022</v>
      </c>
      <c r="E52" s="3" t="s">
        <v>51</v>
      </c>
      <c r="F52" s="3"/>
      <c r="G52" s="3"/>
      <c r="H52" s="3"/>
    </row>
    <row r="53" spans="1:8" x14ac:dyDescent="0.25">
      <c r="A53" s="3" t="s">
        <v>52</v>
      </c>
      <c r="B53" s="3"/>
      <c r="C53" s="12">
        <v>0.75509999999999999</v>
      </c>
      <c r="D53" s="12">
        <v>0.74009999999999998</v>
      </c>
      <c r="E53" s="12">
        <v>0.77659999999999996</v>
      </c>
      <c r="F53" s="3"/>
      <c r="G53" s="3"/>
      <c r="H53" s="3"/>
    </row>
    <row r="54" spans="1:8" x14ac:dyDescent="0.25">
      <c r="A54" s="3" t="s">
        <v>53</v>
      </c>
      <c r="B54" s="3"/>
      <c r="C54" s="12">
        <v>0.75509999999999999</v>
      </c>
      <c r="D54" s="12">
        <v>0.70809999999999995</v>
      </c>
      <c r="E54" s="12">
        <v>0.75900000000000001</v>
      </c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 t="s">
        <v>256</v>
      </c>
      <c r="B56" s="3"/>
      <c r="C56" s="3" t="s">
        <v>2</v>
      </c>
      <c r="D56" s="3" t="s">
        <v>236</v>
      </c>
      <c r="E56" s="3" t="s">
        <v>55</v>
      </c>
      <c r="F56" s="3" t="s">
        <v>254</v>
      </c>
      <c r="G56" s="3"/>
      <c r="H56" s="3"/>
    </row>
    <row r="57" spans="1:8" x14ac:dyDescent="0.25">
      <c r="A57" s="3" t="s">
        <v>56</v>
      </c>
      <c r="B57" s="3"/>
      <c r="C57" s="3"/>
      <c r="D57" s="3">
        <v>106.59</v>
      </c>
      <c r="E57" s="3">
        <v>81.5</v>
      </c>
      <c r="F57" s="3">
        <v>50.61</v>
      </c>
      <c r="G57" s="3"/>
      <c r="H57" s="3"/>
    </row>
    <row r="58" spans="1:8" x14ac:dyDescent="0.25">
      <c r="A58" s="3" t="s">
        <v>57</v>
      </c>
      <c r="B58" s="3"/>
      <c r="C58" s="3"/>
      <c r="D58" s="3">
        <v>68.66</v>
      </c>
      <c r="E58" s="3">
        <v>58.24</v>
      </c>
      <c r="F58" s="3">
        <v>57.37</v>
      </c>
      <c r="G58" s="3"/>
      <c r="H58" s="3"/>
    </row>
    <row r="59" spans="1:8" x14ac:dyDescent="0.25">
      <c r="A59" s="3" t="s">
        <v>58</v>
      </c>
      <c r="B59" s="3"/>
      <c r="C59" s="3"/>
      <c r="D59" s="3">
        <v>325.13</v>
      </c>
      <c r="E59" s="3">
        <v>261.52999999999997</v>
      </c>
      <c r="F59" s="3">
        <v>249.57</v>
      </c>
      <c r="G59" s="3"/>
      <c r="H59" s="3"/>
    </row>
    <row r="60" spans="1:8" x14ac:dyDescent="0.25">
      <c r="A60" s="3" t="s">
        <v>59</v>
      </c>
      <c r="B60" s="3"/>
      <c r="C60" s="3"/>
      <c r="D60" s="3">
        <v>135.16</v>
      </c>
      <c r="E60" s="3">
        <v>103.11</v>
      </c>
      <c r="F60" s="3">
        <v>71.400000000000006</v>
      </c>
      <c r="G60" s="3"/>
      <c r="H6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2:I60"/>
  <sheetViews>
    <sheetView topLeftCell="A42" workbookViewId="0">
      <selection activeCell="G57" sqref="G57:G60"/>
    </sheetView>
  </sheetViews>
  <sheetFormatPr defaultRowHeight="15" x14ac:dyDescent="0.25"/>
  <cols>
    <col min="1" max="1" width="48.28515625" bestFit="1" customWidth="1"/>
    <col min="2" max="2" width="55" bestFit="1" customWidth="1"/>
    <col min="3" max="3" width="12.7109375" bestFit="1" customWidth="1"/>
    <col min="4" max="4" width="24.140625" bestFit="1" customWidth="1"/>
    <col min="5" max="5" width="13.85546875" bestFit="1" customWidth="1"/>
    <col min="6" max="6" width="9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237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2084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28</v>
      </c>
      <c r="G9" s="10">
        <f t="shared" ref="G9:G44" si="0">SUM(C9:F9)</f>
        <v>28</v>
      </c>
      <c r="H9" s="19">
        <f t="shared" ref="H9:H44" si="1">ROUND(G9/2084,2)</f>
        <v>0.01</v>
      </c>
      <c r="I9" s="4">
        <f t="shared" ref="I9:I40" si="2">ROUND(G9/$G$45,3)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1010</v>
      </c>
      <c r="G10" s="10">
        <f t="shared" si="0"/>
        <v>1010</v>
      </c>
      <c r="H10" s="19">
        <f t="shared" si="1"/>
        <v>0.48</v>
      </c>
      <c r="I10" s="4">
        <f t="shared" si="2"/>
        <v>2E-3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 s="19">
        <f t="shared" si="1"/>
        <v>0</v>
      </c>
      <c r="I11" s="4">
        <f t="shared" si="2"/>
        <v>0</v>
      </c>
    </row>
    <row r="12" spans="1:9" x14ac:dyDescent="0.25">
      <c r="A12" t="s">
        <v>15</v>
      </c>
      <c r="B12" t="s">
        <v>63</v>
      </c>
      <c r="C12" s="10"/>
      <c r="D12" s="10"/>
      <c r="E12" s="10"/>
      <c r="F12" s="10"/>
      <c r="G12" s="10">
        <f t="shared" si="0"/>
        <v>0</v>
      </c>
      <c r="H12" s="19">
        <f t="shared" si="1"/>
        <v>0</v>
      </c>
      <c r="I12" s="4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50</v>
      </c>
      <c r="F13" s="10"/>
      <c r="G13" s="10">
        <f t="shared" si="0"/>
        <v>50</v>
      </c>
      <c r="H13" s="19">
        <f t="shared" si="1"/>
        <v>0.02</v>
      </c>
      <c r="I13" s="4">
        <f t="shared" si="2"/>
        <v>0</v>
      </c>
    </row>
    <row r="14" spans="1:9" x14ac:dyDescent="0.25">
      <c r="A14" t="s">
        <v>19</v>
      </c>
      <c r="B14" t="s">
        <v>20</v>
      </c>
      <c r="C14" s="10">
        <v>32570</v>
      </c>
      <c r="D14" s="10"/>
      <c r="E14" s="10"/>
      <c r="F14" s="10"/>
      <c r="G14" s="10">
        <f t="shared" si="0"/>
        <v>32570</v>
      </c>
      <c r="H14" s="19">
        <f t="shared" si="1"/>
        <v>15.63</v>
      </c>
      <c r="I14" s="4">
        <f t="shared" si="2"/>
        <v>7.2999999999999995E-2</v>
      </c>
    </row>
    <row r="15" spans="1:9" x14ac:dyDescent="0.25">
      <c r="A15" t="s">
        <v>19</v>
      </c>
      <c r="B15" t="s">
        <v>21</v>
      </c>
      <c r="C15" s="10">
        <v>47990</v>
      </c>
      <c r="D15" s="10"/>
      <c r="E15" s="10"/>
      <c r="F15" s="10"/>
      <c r="G15" s="10">
        <f t="shared" si="0"/>
        <v>47990</v>
      </c>
      <c r="H15" s="19">
        <f t="shared" si="1"/>
        <v>23.03</v>
      </c>
      <c r="I15" s="4">
        <f t="shared" si="2"/>
        <v>0.108</v>
      </c>
    </row>
    <row r="16" spans="1:9" x14ac:dyDescent="0.25">
      <c r="A16" t="s">
        <v>19</v>
      </c>
      <c r="B16" t="s">
        <v>76</v>
      </c>
      <c r="C16" s="10"/>
      <c r="D16" s="10"/>
      <c r="E16" s="10">
        <v>80</v>
      </c>
      <c r="F16" s="10"/>
      <c r="G16" s="10">
        <f t="shared" si="0"/>
        <v>80</v>
      </c>
      <c r="H16" s="19">
        <f t="shared" si="1"/>
        <v>0.04</v>
      </c>
      <c r="I16" s="4">
        <f t="shared" si="2"/>
        <v>0</v>
      </c>
    </row>
    <row r="17" spans="1:9" x14ac:dyDescent="0.25">
      <c r="A17" t="s">
        <v>19</v>
      </c>
      <c r="B17" t="s">
        <v>41</v>
      </c>
      <c r="C17" s="10"/>
      <c r="D17" s="10"/>
      <c r="E17" s="10">
        <v>69</v>
      </c>
      <c r="F17" s="10"/>
      <c r="G17" s="10">
        <f t="shared" si="0"/>
        <v>69</v>
      </c>
      <c r="H17" s="19">
        <f t="shared" si="1"/>
        <v>0.03</v>
      </c>
      <c r="I17" s="4">
        <f t="shared" si="2"/>
        <v>0</v>
      </c>
    </row>
    <row r="18" spans="1:9" x14ac:dyDescent="0.25">
      <c r="A18" t="s">
        <v>19</v>
      </c>
      <c r="B18" t="s">
        <v>22</v>
      </c>
      <c r="C18" s="10"/>
      <c r="D18" s="10"/>
      <c r="E18" s="10">
        <v>1060</v>
      </c>
      <c r="F18" s="10"/>
      <c r="G18" s="10">
        <f t="shared" si="0"/>
        <v>1060</v>
      </c>
      <c r="H18" s="19">
        <f t="shared" si="1"/>
        <v>0.51</v>
      </c>
      <c r="I18" s="4">
        <f t="shared" si="2"/>
        <v>2E-3</v>
      </c>
    </row>
    <row r="19" spans="1:9" x14ac:dyDescent="0.25">
      <c r="A19" t="s">
        <v>19</v>
      </c>
      <c r="B19" t="s">
        <v>77</v>
      </c>
      <c r="C19" s="10"/>
      <c r="D19" s="10"/>
      <c r="E19" s="10"/>
      <c r="F19" s="10">
        <v>926</v>
      </c>
      <c r="G19" s="10">
        <f t="shared" si="0"/>
        <v>926</v>
      </c>
      <c r="H19" s="19">
        <f t="shared" si="1"/>
        <v>0.44</v>
      </c>
      <c r="I19" s="4">
        <f t="shared" si="2"/>
        <v>2E-3</v>
      </c>
    </row>
    <row r="20" spans="1:9" x14ac:dyDescent="0.25">
      <c r="A20" t="s">
        <v>19</v>
      </c>
      <c r="B20" t="s">
        <v>23</v>
      </c>
      <c r="C20" s="10"/>
      <c r="D20" s="10"/>
      <c r="E20" s="10">
        <v>61680</v>
      </c>
      <c r="F20" s="10"/>
      <c r="G20" s="10">
        <f t="shared" si="0"/>
        <v>61680</v>
      </c>
      <c r="H20" s="19">
        <f t="shared" si="1"/>
        <v>29.6</v>
      </c>
      <c r="I20" s="4">
        <f t="shared" si="2"/>
        <v>0.13800000000000001</v>
      </c>
    </row>
    <row r="21" spans="1:9" x14ac:dyDescent="0.25">
      <c r="A21" t="s">
        <v>19</v>
      </c>
      <c r="B21" t="s">
        <v>24</v>
      </c>
      <c r="C21" s="10">
        <v>38760</v>
      </c>
      <c r="D21" s="10"/>
      <c r="E21" s="10"/>
      <c r="F21" s="10"/>
      <c r="G21" s="10">
        <f t="shared" si="0"/>
        <v>38760</v>
      </c>
      <c r="H21" s="19">
        <f t="shared" si="1"/>
        <v>18.600000000000001</v>
      </c>
      <c r="I21" s="4">
        <f t="shared" si="2"/>
        <v>8.6999999999999994E-2</v>
      </c>
    </row>
    <row r="22" spans="1:9" x14ac:dyDescent="0.25">
      <c r="A22" t="s">
        <v>19</v>
      </c>
      <c r="B22" t="s">
        <v>66</v>
      </c>
      <c r="C22" s="10"/>
      <c r="D22" s="10"/>
      <c r="E22" s="10">
        <v>2640</v>
      </c>
      <c r="F22" s="10"/>
      <c r="G22" s="10">
        <f t="shared" si="0"/>
        <v>2640</v>
      </c>
      <c r="H22" s="19">
        <f t="shared" si="1"/>
        <v>1.27</v>
      </c>
      <c r="I22" s="4">
        <f t="shared" si="2"/>
        <v>6.0000000000000001E-3</v>
      </c>
    </row>
    <row r="23" spans="1:9" x14ac:dyDescent="0.25">
      <c r="A23" t="s">
        <v>19</v>
      </c>
      <c r="B23" t="s">
        <v>25</v>
      </c>
      <c r="C23" s="10">
        <v>53320</v>
      </c>
      <c r="D23" s="10"/>
      <c r="E23" s="10"/>
      <c r="F23" s="10"/>
      <c r="G23" s="10">
        <f t="shared" si="0"/>
        <v>53320</v>
      </c>
      <c r="H23" s="19">
        <f t="shared" si="1"/>
        <v>25.59</v>
      </c>
      <c r="I23" s="4">
        <f t="shared" si="2"/>
        <v>0.11899999999999999</v>
      </c>
    </row>
    <row r="24" spans="1:9" x14ac:dyDescent="0.25">
      <c r="A24" t="s">
        <v>19</v>
      </c>
      <c r="B24" t="s">
        <v>26</v>
      </c>
      <c r="C24" s="10"/>
      <c r="D24" s="10"/>
      <c r="E24" s="10">
        <v>15</v>
      </c>
      <c r="F24" s="10"/>
      <c r="G24" s="10">
        <f t="shared" si="0"/>
        <v>15</v>
      </c>
      <c r="H24" s="19">
        <f t="shared" si="1"/>
        <v>0.01</v>
      </c>
      <c r="I24" s="4">
        <f t="shared" si="2"/>
        <v>0</v>
      </c>
    </row>
    <row r="25" spans="1:9" x14ac:dyDescent="0.25">
      <c r="A25" t="s">
        <v>19</v>
      </c>
      <c r="B25" t="s">
        <v>27</v>
      </c>
      <c r="C25" s="10"/>
      <c r="D25" s="10"/>
      <c r="E25" s="10">
        <v>5</v>
      </c>
      <c r="F25" s="10"/>
      <c r="G25" s="10">
        <f t="shared" si="0"/>
        <v>5</v>
      </c>
      <c r="H25" s="19">
        <f t="shared" si="1"/>
        <v>0</v>
      </c>
      <c r="I25" s="4">
        <f t="shared" si="2"/>
        <v>0</v>
      </c>
    </row>
    <row r="26" spans="1:9" x14ac:dyDescent="0.25">
      <c r="A26" t="s">
        <v>19</v>
      </c>
      <c r="B26" t="s">
        <v>29</v>
      </c>
      <c r="C26" s="10"/>
      <c r="D26" s="10"/>
      <c r="E26" s="10">
        <v>1570</v>
      </c>
      <c r="F26" s="10"/>
      <c r="G26" s="10">
        <f t="shared" si="0"/>
        <v>1570</v>
      </c>
      <c r="H26" s="19">
        <f t="shared" si="1"/>
        <v>0.75</v>
      </c>
      <c r="I26" s="4">
        <f t="shared" si="2"/>
        <v>4.0000000000000001E-3</v>
      </c>
    </row>
    <row r="27" spans="1:9" x14ac:dyDescent="0.25">
      <c r="A27" t="s">
        <v>19</v>
      </c>
      <c r="B27" t="s">
        <v>30</v>
      </c>
      <c r="C27" s="10"/>
      <c r="D27" s="10"/>
      <c r="E27" s="10">
        <v>300</v>
      </c>
      <c r="F27" s="10"/>
      <c r="G27" s="10">
        <f t="shared" si="0"/>
        <v>300</v>
      </c>
      <c r="H27" s="19">
        <f t="shared" si="1"/>
        <v>0.14000000000000001</v>
      </c>
      <c r="I27" s="4">
        <f t="shared" si="2"/>
        <v>1E-3</v>
      </c>
    </row>
    <row r="28" spans="1:9" x14ac:dyDescent="0.25">
      <c r="A28" t="s">
        <v>19</v>
      </c>
      <c r="B28" t="s">
        <v>31</v>
      </c>
      <c r="C28" s="10"/>
      <c r="D28" s="10"/>
      <c r="E28" s="10">
        <v>480</v>
      </c>
      <c r="F28" s="10"/>
      <c r="G28" s="10">
        <f t="shared" si="0"/>
        <v>480</v>
      </c>
      <c r="H28" s="19">
        <f t="shared" si="1"/>
        <v>0.23</v>
      </c>
      <c r="I28" s="4">
        <f t="shared" si="2"/>
        <v>1E-3</v>
      </c>
    </row>
    <row r="29" spans="1:9" x14ac:dyDescent="0.25">
      <c r="A29" t="s">
        <v>19</v>
      </c>
      <c r="B29" t="s">
        <v>32</v>
      </c>
      <c r="C29" s="10"/>
      <c r="D29" s="10"/>
      <c r="E29" s="10">
        <v>975</v>
      </c>
      <c r="F29" s="10"/>
      <c r="G29" s="10">
        <f t="shared" si="0"/>
        <v>975</v>
      </c>
      <c r="H29" s="19">
        <f t="shared" si="1"/>
        <v>0.47</v>
      </c>
      <c r="I29" s="4">
        <f t="shared" si="2"/>
        <v>2E-3</v>
      </c>
    </row>
    <row r="30" spans="1:9" x14ac:dyDescent="0.25">
      <c r="A30" t="s">
        <v>19</v>
      </c>
      <c r="B30" t="s">
        <v>42</v>
      </c>
      <c r="C30" s="10"/>
      <c r="D30" s="10">
        <v>162</v>
      </c>
      <c r="E30" s="10"/>
      <c r="F30" s="10"/>
      <c r="G30" s="10">
        <f t="shared" si="0"/>
        <v>162</v>
      </c>
      <c r="H30" s="19">
        <f t="shared" si="1"/>
        <v>0.08</v>
      </c>
      <c r="I30" s="4">
        <f t="shared" si="2"/>
        <v>0</v>
      </c>
    </row>
    <row r="31" spans="1:9" x14ac:dyDescent="0.25">
      <c r="A31" t="s">
        <v>19</v>
      </c>
      <c r="B31" t="s">
        <v>33</v>
      </c>
      <c r="C31" s="10"/>
      <c r="D31" s="10">
        <v>130</v>
      </c>
      <c r="E31" s="10"/>
      <c r="F31" s="10"/>
      <c r="G31" s="10">
        <f t="shared" si="0"/>
        <v>130</v>
      </c>
      <c r="H31" s="19">
        <f t="shared" si="1"/>
        <v>0.06</v>
      </c>
      <c r="I31" s="4">
        <f t="shared" si="2"/>
        <v>0</v>
      </c>
    </row>
    <row r="32" spans="1:9" x14ac:dyDescent="0.25">
      <c r="A32" t="s">
        <v>19</v>
      </c>
      <c r="B32" t="s">
        <v>34</v>
      </c>
      <c r="C32" s="10"/>
      <c r="D32" s="10"/>
      <c r="E32" s="10">
        <v>1570</v>
      </c>
      <c r="F32" s="10"/>
      <c r="G32" s="10">
        <f t="shared" si="0"/>
        <v>1570</v>
      </c>
      <c r="H32" s="19">
        <f t="shared" si="1"/>
        <v>0.75</v>
      </c>
      <c r="I32" s="4">
        <f t="shared" si="2"/>
        <v>4.0000000000000001E-3</v>
      </c>
    </row>
    <row r="33" spans="1:9" x14ac:dyDescent="0.25">
      <c r="A33" t="s">
        <v>19</v>
      </c>
      <c r="B33" t="s">
        <v>40</v>
      </c>
      <c r="C33" s="10"/>
      <c r="D33" s="10"/>
      <c r="E33" s="10">
        <v>1842</v>
      </c>
      <c r="F33" s="10"/>
      <c r="G33" s="10">
        <f t="shared" si="0"/>
        <v>1842</v>
      </c>
      <c r="H33" s="19">
        <f t="shared" si="1"/>
        <v>0.88</v>
      </c>
      <c r="I33" s="4">
        <f t="shared" si="2"/>
        <v>4.0000000000000001E-3</v>
      </c>
    </row>
    <row r="34" spans="1:9" x14ac:dyDescent="0.25">
      <c r="A34" t="s">
        <v>19</v>
      </c>
      <c r="B34" t="s">
        <v>35</v>
      </c>
      <c r="C34" s="10"/>
      <c r="D34" s="10"/>
      <c r="E34" s="10">
        <v>800</v>
      </c>
      <c r="F34" s="10"/>
      <c r="G34" s="10">
        <f t="shared" si="0"/>
        <v>800</v>
      </c>
      <c r="H34" s="19">
        <f t="shared" si="1"/>
        <v>0.38</v>
      </c>
      <c r="I34" s="4">
        <f t="shared" si="2"/>
        <v>2E-3</v>
      </c>
    </row>
    <row r="35" spans="1:9" x14ac:dyDescent="0.25">
      <c r="A35" t="s">
        <v>19</v>
      </c>
      <c r="B35" t="s">
        <v>36</v>
      </c>
      <c r="C35" s="10"/>
      <c r="D35" s="10"/>
      <c r="E35" s="10">
        <v>25620</v>
      </c>
      <c r="F35" s="10"/>
      <c r="G35" s="10">
        <f t="shared" si="0"/>
        <v>25620</v>
      </c>
      <c r="H35" s="19">
        <f t="shared" si="1"/>
        <v>12.29</v>
      </c>
      <c r="I35" s="4">
        <f t="shared" si="2"/>
        <v>5.7000000000000002E-2</v>
      </c>
    </row>
    <row r="36" spans="1:9" x14ac:dyDescent="0.25">
      <c r="A36" t="s">
        <v>19</v>
      </c>
      <c r="B36" t="s">
        <v>37</v>
      </c>
      <c r="C36" s="10"/>
      <c r="D36" s="10"/>
      <c r="E36" s="10">
        <v>5400</v>
      </c>
      <c r="F36" s="10"/>
      <c r="G36" s="10">
        <f t="shared" si="0"/>
        <v>5400</v>
      </c>
      <c r="H36" s="19">
        <f t="shared" si="1"/>
        <v>2.59</v>
      </c>
      <c r="I36" s="4">
        <f t="shared" si="2"/>
        <v>1.2E-2</v>
      </c>
    </row>
    <row r="37" spans="1:9" x14ac:dyDescent="0.25">
      <c r="A37" t="s">
        <v>19</v>
      </c>
      <c r="B37" t="s">
        <v>38</v>
      </c>
      <c r="C37" s="10"/>
      <c r="D37" s="10"/>
      <c r="E37" s="10">
        <v>7760</v>
      </c>
      <c r="F37" s="10"/>
      <c r="G37" s="10">
        <f t="shared" si="0"/>
        <v>7760</v>
      </c>
      <c r="H37" s="19">
        <f t="shared" si="1"/>
        <v>3.72</v>
      </c>
      <c r="I37" s="4">
        <f t="shared" si="2"/>
        <v>1.7000000000000001E-2</v>
      </c>
    </row>
    <row r="38" spans="1:9" x14ac:dyDescent="0.25">
      <c r="A38" t="s">
        <v>19</v>
      </c>
      <c r="B38" t="s">
        <v>39</v>
      </c>
      <c r="C38" s="10"/>
      <c r="D38" s="10"/>
      <c r="E38" s="10">
        <v>19920</v>
      </c>
      <c r="F38" s="10"/>
      <c r="G38" s="10">
        <f t="shared" si="0"/>
        <v>19920</v>
      </c>
      <c r="H38" s="19">
        <f t="shared" si="1"/>
        <v>9.56</v>
      </c>
      <c r="I38" s="4">
        <f t="shared" si="2"/>
        <v>4.4999999999999998E-2</v>
      </c>
    </row>
    <row r="39" spans="1:9" x14ac:dyDescent="0.25">
      <c r="A39" t="s">
        <v>19</v>
      </c>
      <c r="B39" t="s">
        <v>67</v>
      </c>
      <c r="C39" s="10"/>
      <c r="D39" s="10"/>
      <c r="E39" s="10"/>
      <c r="F39" s="10"/>
      <c r="G39" s="10">
        <f t="shared" si="0"/>
        <v>0</v>
      </c>
      <c r="H39" s="19">
        <f t="shared" si="1"/>
        <v>0</v>
      </c>
      <c r="I39" s="4">
        <f t="shared" si="2"/>
        <v>0</v>
      </c>
    </row>
    <row r="40" spans="1:9" x14ac:dyDescent="0.25">
      <c r="A40" t="s">
        <v>19</v>
      </c>
      <c r="B40" t="s">
        <v>79</v>
      </c>
      <c r="C40" s="10"/>
      <c r="D40" s="10"/>
      <c r="E40" s="10"/>
      <c r="F40" s="10"/>
      <c r="G40" s="10">
        <f t="shared" si="0"/>
        <v>0</v>
      </c>
      <c r="H40" s="19">
        <f t="shared" si="1"/>
        <v>0</v>
      </c>
      <c r="I40" s="4">
        <f t="shared" si="2"/>
        <v>0</v>
      </c>
    </row>
    <row r="41" spans="1:9" x14ac:dyDescent="0.25">
      <c r="A41" t="s">
        <v>19</v>
      </c>
      <c r="B41" t="s">
        <v>28</v>
      </c>
      <c r="C41" s="10"/>
      <c r="D41" s="10"/>
      <c r="E41" s="10"/>
      <c r="F41" s="10"/>
      <c r="G41" s="10">
        <f t="shared" si="0"/>
        <v>0</v>
      </c>
      <c r="H41" s="19">
        <f t="shared" si="1"/>
        <v>0</v>
      </c>
      <c r="I41" s="4">
        <f t="shared" ref="I41" si="3">ROUND(G41/$G$45,3)</f>
        <v>0</v>
      </c>
    </row>
    <row r="42" spans="1:9" x14ac:dyDescent="0.25">
      <c r="A42" t="s">
        <v>43</v>
      </c>
      <c r="B42" t="s">
        <v>44</v>
      </c>
      <c r="C42" s="10">
        <v>107420</v>
      </c>
      <c r="D42" s="10"/>
      <c r="E42" s="10"/>
      <c r="F42" s="10"/>
      <c r="G42" s="10">
        <f t="shared" si="0"/>
        <v>107420</v>
      </c>
      <c r="H42" s="19">
        <f t="shared" si="1"/>
        <v>51.55</v>
      </c>
      <c r="I42" s="4">
        <f>ROUND(G42/$G$45,3)</f>
        <v>0.24099999999999999</v>
      </c>
    </row>
    <row r="43" spans="1:9" x14ac:dyDescent="0.25">
      <c r="A43" t="s">
        <v>43</v>
      </c>
      <c r="B43" t="s">
        <v>46</v>
      </c>
      <c r="C43" s="10"/>
      <c r="D43" s="10"/>
      <c r="E43" s="10"/>
      <c r="F43" s="10">
        <v>19990</v>
      </c>
      <c r="G43" s="10">
        <f t="shared" si="0"/>
        <v>19990</v>
      </c>
      <c r="H43" s="19">
        <f t="shared" si="1"/>
        <v>9.59</v>
      </c>
      <c r="I43" s="4">
        <f>ROUND(G43/$G$45,3)</f>
        <v>4.4999999999999998E-2</v>
      </c>
    </row>
    <row r="44" spans="1:9" x14ac:dyDescent="0.25">
      <c r="A44" t="s">
        <v>43</v>
      </c>
      <c r="B44" t="s">
        <v>45</v>
      </c>
      <c r="C44" s="10"/>
      <c r="D44" s="10"/>
      <c r="E44" s="10">
        <v>12080</v>
      </c>
      <c r="F44" s="10"/>
      <c r="G44" s="10">
        <f t="shared" si="0"/>
        <v>12080</v>
      </c>
      <c r="H44" s="19">
        <f t="shared" si="1"/>
        <v>5.8</v>
      </c>
      <c r="I44" s="4">
        <f>ROUND(G44/$G$45,3)</f>
        <v>2.7E-2</v>
      </c>
    </row>
    <row r="45" spans="1:9" x14ac:dyDescent="0.25">
      <c r="A45" s="3" t="s">
        <v>253</v>
      </c>
      <c r="B45" s="3"/>
      <c r="C45" s="8">
        <f t="shared" ref="C45:H45" si="4">SUM(C8:C44)</f>
        <v>280060</v>
      </c>
      <c r="D45" s="8">
        <f t="shared" si="4"/>
        <v>292</v>
      </c>
      <c r="E45" s="8">
        <f t="shared" si="4"/>
        <v>143916</v>
      </c>
      <c r="F45" s="8">
        <f t="shared" si="4"/>
        <v>21954</v>
      </c>
      <c r="G45" s="8">
        <f t="shared" si="4"/>
        <v>446222</v>
      </c>
      <c r="H45" s="20">
        <f t="shared" si="4"/>
        <v>214.1</v>
      </c>
    </row>
    <row r="46" spans="1:9" x14ac:dyDescent="0.25">
      <c r="A46" s="3" t="s">
        <v>14</v>
      </c>
      <c r="B46" s="3"/>
      <c r="C46" s="12">
        <f>ROUND(C45/G45,2)</f>
        <v>0.63</v>
      </c>
      <c r="D46" s="12">
        <f>ROUND(D45/G45,2)</f>
        <v>0</v>
      </c>
      <c r="E46" s="12">
        <f>ROUND(E45/G45,2)</f>
        <v>0.32</v>
      </c>
      <c r="F46" s="12">
        <f>ROUND(F45/G45,2)</f>
        <v>0.05</v>
      </c>
      <c r="G46" s="3"/>
      <c r="H46" s="3"/>
    </row>
    <row r="47" spans="1:9" x14ac:dyDescent="0.25">
      <c r="A47" s="3" t="s">
        <v>47</v>
      </c>
      <c r="B47" s="3"/>
      <c r="C47" s="3"/>
      <c r="D47" s="3"/>
      <c r="E47" s="3"/>
      <c r="F47" s="3"/>
      <c r="G47" s="3"/>
      <c r="H47" s="3"/>
    </row>
    <row r="48" spans="1:9" x14ac:dyDescent="0.25">
      <c r="A48" s="3" t="s">
        <v>48</v>
      </c>
      <c r="B48" s="3"/>
      <c r="C48" s="8">
        <v>172640</v>
      </c>
      <c r="D48" s="8">
        <v>292</v>
      </c>
      <c r="E48" s="8">
        <v>131836</v>
      </c>
      <c r="F48" s="8">
        <v>926</v>
      </c>
      <c r="G48" s="8">
        <f>SUM(C48:F48)</f>
        <v>305694</v>
      </c>
      <c r="H48" s="20">
        <f>ROUND(G48/2084,2)</f>
        <v>146.69</v>
      </c>
    </row>
    <row r="49" spans="1:8" x14ac:dyDescent="0.25">
      <c r="A49" s="3" t="s">
        <v>49</v>
      </c>
      <c r="B49" s="3"/>
      <c r="C49" s="8">
        <v>107420</v>
      </c>
      <c r="D49" s="8">
        <v>0</v>
      </c>
      <c r="E49" s="8">
        <v>12080</v>
      </c>
      <c r="F49" s="8">
        <v>19990</v>
      </c>
      <c r="G49" s="8">
        <f>SUM(C49:F49)</f>
        <v>139490</v>
      </c>
      <c r="H49" s="20">
        <f>ROUND(G49/2084,2)</f>
        <v>66.930000000000007</v>
      </c>
    </row>
    <row r="50" spans="1:8" x14ac:dyDescent="0.25">
      <c r="A50" s="3" t="s">
        <v>50</v>
      </c>
      <c r="B50" s="3"/>
      <c r="C50" s="8">
        <v>0</v>
      </c>
      <c r="D50" s="8">
        <v>0</v>
      </c>
      <c r="E50" s="8">
        <v>0</v>
      </c>
      <c r="F50" s="8">
        <v>1038</v>
      </c>
      <c r="G50" s="8">
        <f>SUM(C50:F50)</f>
        <v>1038</v>
      </c>
      <c r="H50" s="20">
        <f>ROUND(G50/2084,2)</f>
        <v>0.5</v>
      </c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 t="s">
        <v>2</v>
      </c>
      <c r="D52" s="3">
        <v>2022</v>
      </c>
      <c r="E52" s="3" t="s">
        <v>51</v>
      </c>
      <c r="F52" s="3"/>
      <c r="G52" s="3"/>
      <c r="H52" s="3"/>
    </row>
    <row r="53" spans="1:8" x14ac:dyDescent="0.25">
      <c r="A53" s="3" t="s">
        <v>52</v>
      </c>
      <c r="B53" s="3"/>
      <c r="C53" s="12">
        <v>0.71919999999999995</v>
      </c>
      <c r="D53" s="12">
        <v>0.69299999999999995</v>
      </c>
      <c r="E53" s="12">
        <v>0.77659999999999996</v>
      </c>
      <c r="F53" s="3"/>
      <c r="G53" s="3"/>
      <c r="H53" s="3"/>
    </row>
    <row r="54" spans="1:8" x14ac:dyDescent="0.25">
      <c r="A54" s="3" t="s">
        <v>53</v>
      </c>
      <c r="B54" s="3"/>
      <c r="C54" s="12">
        <v>0.71009999999999995</v>
      </c>
      <c r="D54" s="12">
        <v>0.68159999999999998</v>
      </c>
      <c r="E54" s="12">
        <v>0.75900000000000001</v>
      </c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 t="s">
        <v>256</v>
      </c>
      <c r="B56" s="3"/>
      <c r="C56" s="3" t="s">
        <v>2</v>
      </c>
      <c r="D56" s="3" t="s">
        <v>238</v>
      </c>
      <c r="E56" s="3" t="s">
        <v>55</v>
      </c>
      <c r="F56" s="3" t="s">
        <v>254</v>
      </c>
      <c r="G56" s="3"/>
      <c r="H56" s="3"/>
    </row>
    <row r="57" spans="1:8" x14ac:dyDescent="0.25">
      <c r="A57" s="3" t="s">
        <v>56</v>
      </c>
      <c r="B57" s="3"/>
      <c r="C57" s="3"/>
      <c r="D57" s="3">
        <v>94.25</v>
      </c>
      <c r="E57" s="3">
        <v>81.5</v>
      </c>
      <c r="F57" s="3">
        <v>50.61</v>
      </c>
      <c r="G57" s="3"/>
      <c r="H57" s="3"/>
    </row>
    <row r="58" spans="1:8" x14ac:dyDescent="0.25">
      <c r="A58" s="3" t="s">
        <v>57</v>
      </c>
      <c r="B58" s="3"/>
      <c r="C58" s="3"/>
      <c r="D58" s="3">
        <v>55.16</v>
      </c>
      <c r="E58" s="3">
        <v>58.24</v>
      </c>
      <c r="F58" s="3">
        <v>57.37</v>
      </c>
      <c r="G58" s="3"/>
      <c r="H58" s="3"/>
    </row>
    <row r="59" spans="1:8" x14ac:dyDescent="0.25">
      <c r="A59" s="3" t="s">
        <v>58</v>
      </c>
      <c r="B59" s="3"/>
      <c r="C59" s="3"/>
      <c r="D59" s="3">
        <v>258.17</v>
      </c>
      <c r="E59" s="3">
        <v>261.52999999999997</v>
      </c>
      <c r="F59" s="3">
        <v>249.57</v>
      </c>
      <c r="G59" s="3"/>
      <c r="H59" s="3"/>
    </row>
    <row r="60" spans="1:8" x14ac:dyDescent="0.25">
      <c r="A60" s="3" t="s">
        <v>59</v>
      </c>
      <c r="B60" s="3"/>
      <c r="C60" s="3"/>
      <c r="D60" s="3">
        <v>106.49</v>
      </c>
      <c r="E60" s="3">
        <v>103.11</v>
      </c>
      <c r="F60" s="3">
        <v>71.400000000000006</v>
      </c>
      <c r="G60" s="3"/>
      <c r="H60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2:I36"/>
  <sheetViews>
    <sheetView topLeftCell="A15" workbookViewId="0">
      <selection activeCell="G33" sqref="G33:G36"/>
    </sheetView>
  </sheetViews>
  <sheetFormatPr defaultRowHeight="15" x14ac:dyDescent="0.25"/>
  <cols>
    <col min="1" max="1" width="48.28515625" bestFit="1" customWidth="1"/>
    <col min="2" max="2" width="37.5703125" bestFit="1" customWidth="1"/>
    <col min="3" max="3" width="12.7109375" bestFit="1" customWidth="1"/>
    <col min="4" max="4" width="29.140625" bestFit="1" customWidth="1"/>
    <col min="5" max="5" width="13.85546875" bestFit="1" customWidth="1"/>
    <col min="6" max="6" width="8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239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1714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20600</v>
      </c>
      <c r="D9" s="10"/>
      <c r="E9" s="10"/>
      <c r="F9" s="10"/>
      <c r="G9" s="10">
        <f t="shared" ref="G9:G20" si="0">SUM(C9:F9)</f>
        <v>20600</v>
      </c>
      <c r="H9" s="19">
        <f t="shared" ref="H9:H20" si="1">ROUND(G9/1714,2)</f>
        <v>12.02</v>
      </c>
      <c r="I9" s="4">
        <f t="shared" ref="I9:I20" si="2">ROUND(G9/$G$21,3)</f>
        <v>0.10100000000000001</v>
      </c>
    </row>
    <row r="10" spans="1:9" x14ac:dyDescent="0.25">
      <c r="A10" t="s">
        <v>19</v>
      </c>
      <c r="B10" t="s">
        <v>21</v>
      </c>
      <c r="C10" s="10">
        <v>26580</v>
      </c>
      <c r="D10" s="10"/>
      <c r="E10" s="10"/>
      <c r="F10" s="10"/>
      <c r="G10" s="10">
        <f t="shared" si="0"/>
        <v>26580</v>
      </c>
      <c r="H10" s="19">
        <f t="shared" si="1"/>
        <v>15.51</v>
      </c>
      <c r="I10" s="4">
        <f t="shared" si="2"/>
        <v>0.13</v>
      </c>
    </row>
    <row r="11" spans="1:9" x14ac:dyDescent="0.25">
      <c r="A11" t="s">
        <v>19</v>
      </c>
      <c r="B11" t="s">
        <v>24</v>
      </c>
      <c r="C11" s="10">
        <v>26000</v>
      </c>
      <c r="D11" s="10"/>
      <c r="E11" s="10"/>
      <c r="F11" s="10"/>
      <c r="G11" s="10">
        <f t="shared" si="0"/>
        <v>26000</v>
      </c>
      <c r="H11" s="19">
        <f t="shared" si="1"/>
        <v>15.17</v>
      </c>
      <c r="I11" s="4">
        <f t="shared" si="2"/>
        <v>0.128</v>
      </c>
    </row>
    <row r="12" spans="1:9" x14ac:dyDescent="0.25">
      <c r="A12" t="s">
        <v>19</v>
      </c>
      <c r="B12" t="s">
        <v>25</v>
      </c>
      <c r="C12" s="10">
        <v>58740</v>
      </c>
      <c r="D12" s="10"/>
      <c r="E12" s="10"/>
      <c r="F12" s="10"/>
      <c r="G12" s="10">
        <f t="shared" si="0"/>
        <v>58740</v>
      </c>
      <c r="H12" s="19">
        <f t="shared" si="1"/>
        <v>34.270000000000003</v>
      </c>
      <c r="I12" s="4">
        <f t="shared" si="2"/>
        <v>0.28799999999999998</v>
      </c>
    </row>
    <row r="13" spans="1:9" x14ac:dyDescent="0.25">
      <c r="A13" t="s">
        <v>19</v>
      </c>
      <c r="B13" t="s">
        <v>42</v>
      </c>
      <c r="C13" s="10"/>
      <c r="D13" s="10">
        <v>91</v>
      </c>
      <c r="E13" s="10"/>
      <c r="F13" s="10"/>
      <c r="G13" s="10">
        <f t="shared" si="0"/>
        <v>91</v>
      </c>
      <c r="H13" s="19">
        <f t="shared" si="1"/>
        <v>0.05</v>
      </c>
      <c r="I13" s="4">
        <f t="shared" si="2"/>
        <v>0</v>
      </c>
    </row>
    <row r="14" spans="1:9" x14ac:dyDescent="0.25">
      <c r="A14" t="s">
        <v>19</v>
      </c>
      <c r="B14" t="s">
        <v>33</v>
      </c>
      <c r="C14" s="10"/>
      <c r="D14" s="10">
        <v>165</v>
      </c>
      <c r="E14" s="10"/>
      <c r="F14" s="10"/>
      <c r="G14" s="10">
        <f t="shared" si="0"/>
        <v>165</v>
      </c>
      <c r="H14" s="19">
        <f t="shared" si="1"/>
        <v>0.1</v>
      </c>
      <c r="I14" s="4">
        <f t="shared" si="2"/>
        <v>1E-3</v>
      </c>
    </row>
    <row r="15" spans="1:9" x14ac:dyDescent="0.25">
      <c r="A15" t="s">
        <v>19</v>
      </c>
      <c r="B15" t="s">
        <v>23</v>
      </c>
      <c r="C15" s="10"/>
      <c r="D15" s="10"/>
      <c r="E15" s="10"/>
      <c r="F15" s="10"/>
      <c r="G15" s="10">
        <f t="shared" si="0"/>
        <v>0</v>
      </c>
      <c r="H15" s="19">
        <f t="shared" si="1"/>
        <v>0</v>
      </c>
      <c r="I15" s="4">
        <f t="shared" si="2"/>
        <v>0</v>
      </c>
    </row>
    <row r="16" spans="1:9" x14ac:dyDescent="0.25">
      <c r="A16" t="s">
        <v>19</v>
      </c>
      <c r="B16" t="s">
        <v>36</v>
      </c>
      <c r="C16" s="10"/>
      <c r="D16" s="10"/>
      <c r="E16" s="10"/>
      <c r="F16" s="10"/>
      <c r="G16" s="10">
        <f t="shared" si="0"/>
        <v>0</v>
      </c>
      <c r="H16" s="19">
        <f t="shared" si="1"/>
        <v>0</v>
      </c>
      <c r="I16" s="4">
        <f t="shared" si="2"/>
        <v>0</v>
      </c>
    </row>
    <row r="17" spans="1:9" x14ac:dyDescent="0.25">
      <c r="A17" t="s">
        <v>19</v>
      </c>
      <c r="B17" t="s">
        <v>39</v>
      </c>
      <c r="C17" s="10"/>
      <c r="D17" s="10"/>
      <c r="E17" s="10"/>
      <c r="F17" s="10"/>
      <c r="G17" s="10">
        <f t="shared" si="0"/>
        <v>0</v>
      </c>
      <c r="H17" s="19">
        <f t="shared" si="1"/>
        <v>0</v>
      </c>
      <c r="I17" s="4">
        <f t="shared" si="2"/>
        <v>0</v>
      </c>
    </row>
    <row r="18" spans="1:9" x14ac:dyDescent="0.25">
      <c r="A18" t="s">
        <v>43</v>
      </c>
      <c r="B18" t="s">
        <v>44</v>
      </c>
      <c r="C18" s="10">
        <v>64810</v>
      </c>
      <c r="D18" s="10"/>
      <c r="E18" s="10"/>
      <c r="F18" s="10"/>
      <c r="G18" s="10">
        <f t="shared" si="0"/>
        <v>64810</v>
      </c>
      <c r="H18" s="19">
        <f t="shared" si="1"/>
        <v>37.81</v>
      </c>
      <c r="I18" s="4">
        <f t="shared" si="2"/>
        <v>0.318</v>
      </c>
    </row>
    <row r="19" spans="1:9" x14ac:dyDescent="0.25">
      <c r="A19" t="s">
        <v>43</v>
      </c>
      <c r="B19" t="s">
        <v>46</v>
      </c>
      <c r="C19" s="10"/>
      <c r="D19" s="10"/>
      <c r="E19" s="10"/>
      <c r="F19" s="10">
        <v>6860</v>
      </c>
      <c r="G19" s="10">
        <f t="shared" si="0"/>
        <v>6860</v>
      </c>
      <c r="H19" s="19">
        <f t="shared" si="1"/>
        <v>4</v>
      </c>
      <c r="I19" s="4">
        <f t="shared" si="2"/>
        <v>3.4000000000000002E-2</v>
      </c>
    </row>
    <row r="20" spans="1:9" x14ac:dyDescent="0.25">
      <c r="A20" t="s">
        <v>15</v>
      </c>
      <c r="B20" t="s">
        <v>18</v>
      </c>
      <c r="C20" s="10"/>
      <c r="D20" s="10"/>
      <c r="E20" s="10"/>
      <c r="F20" s="10"/>
      <c r="G20" s="10">
        <f t="shared" si="0"/>
        <v>0</v>
      </c>
      <c r="H20" s="19">
        <f t="shared" si="1"/>
        <v>0</v>
      </c>
      <c r="I20" s="4">
        <f t="shared" si="2"/>
        <v>0</v>
      </c>
    </row>
    <row r="21" spans="1:9" x14ac:dyDescent="0.25">
      <c r="A21" s="3" t="s">
        <v>253</v>
      </c>
      <c r="B21" s="3"/>
      <c r="C21" s="8">
        <f t="shared" ref="C21:H21" si="3">SUM(C8:C20)</f>
        <v>196730</v>
      </c>
      <c r="D21" s="8">
        <f t="shared" si="3"/>
        <v>256</v>
      </c>
      <c r="E21" s="8">
        <f t="shared" si="3"/>
        <v>0</v>
      </c>
      <c r="F21" s="8">
        <f t="shared" si="3"/>
        <v>6860</v>
      </c>
      <c r="G21" s="8">
        <f t="shared" si="3"/>
        <v>203846</v>
      </c>
      <c r="H21" s="20">
        <f t="shared" si="3"/>
        <v>118.92999999999999</v>
      </c>
    </row>
    <row r="22" spans="1:9" x14ac:dyDescent="0.25">
      <c r="A22" s="3" t="s">
        <v>14</v>
      </c>
      <c r="B22" s="3"/>
      <c r="C22" s="12">
        <f>ROUND(C21/G21,2)</f>
        <v>0.97</v>
      </c>
      <c r="D22" s="12">
        <f>ROUND(D21/G21,2)</f>
        <v>0</v>
      </c>
      <c r="E22" s="12">
        <f>ROUND(E21/G21,2)</f>
        <v>0</v>
      </c>
      <c r="F22" s="12">
        <f>ROUND(F21/G21,2)</f>
        <v>0.03</v>
      </c>
      <c r="G22" s="7"/>
      <c r="H22" s="7"/>
    </row>
    <row r="23" spans="1:9" x14ac:dyDescent="0.25">
      <c r="A23" s="3" t="s">
        <v>47</v>
      </c>
      <c r="B23" s="3"/>
      <c r="C23" s="3"/>
      <c r="D23" s="3"/>
      <c r="E23" s="3"/>
      <c r="F23" s="3"/>
      <c r="G23" s="3"/>
      <c r="H23" s="3"/>
    </row>
    <row r="24" spans="1:9" x14ac:dyDescent="0.25">
      <c r="A24" s="3" t="s">
        <v>48</v>
      </c>
      <c r="B24" s="3"/>
      <c r="C24" s="8">
        <v>131920</v>
      </c>
      <c r="D24" s="8">
        <v>256</v>
      </c>
      <c r="E24" s="8">
        <v>0</v>
      </c>
      <c r="F24" s="8">
        <v>0</v>
      </c>
      <c r="G24" s="8">
        <f>SUM(C24:F24)</f>
        <v>132176</v>
      </c>
      <c r="H24" s="20">
        <f>ROUND(G24/1714,2)</f>
        <v>77.12</v>
      </c>
    </row>
    <row r="25" spans="1:9" x14ac:dyDescent="0.25">
      <c r="A25" s="3" t="s">
        <v>49</v>
      </c>
      <c r="B25" s="3"/>
      <c r="C25" s="8">
        <v>64810</v>
      </c>
      <c r="D25" s="8">
        <v>0</v>
      </c>
      <c r="E25" s="8">
        <v>0</v>
      </c>
      <c r="F25" s="8">
        <v>6860</v>
      </c>
      <c r="G25" s="8">
        <f>SUM(C25:F25)</f>
        <v>71670</v>
      </c>
      <c r="H25" s="20">
        <f>ROUND(G25/1714,2)</f>
        <v>41.81</v>
      </c>
    </row>
    <row r="26" spans="1:9" x14ac:dyDescent="0.25">
      <c r="A26" s="3" t="s">
        <v>50</v>
      </c>
      <c r="B26" s="3"/>
      <c r="C26" s="8">
        <v>0</v>
      </c>
      <c r="D26" s="8">
        <v>0</v>
      </c>
      <c r="E26" s="8">
        <v>0</v>
      </c>
      <c r="F26" s="8">
        <v>0</v>
      </c>
      <c r="G26" s="8">
        <f>SUM(C26:F26)</f>
        <v>0</v>
      </c>
      <c r="H26" s="20">
        <f>ROUND(G26/1714,2)</f>
        <v>0</v>
      </c>
    </row>
    <row r="27" spans="1:9" x14ac:dyDescent="0.25">
      <c r="A27" s="3"/>
      <c r="B27" s="3"/>
      <c r="C27" s="3"/>
      <c r="D27" s="3"/>
      <c r="E27" s="3"/>
      <c r="F27" s="3"/>
      <c r="G27" s="3"/>
      <c r="H27" s="3"/>
    </row>
    <row r="28" spans="1:9" x14ac:dyDescent="0.25">
      <c r="A28" s="3"/>
      <c r="B28" s="3"/>
      <c r="C28" s="3" t="s">
        <v>2</v>
      </c>
      <c r="D28" s="3">
        <v>2022</v>
      </c>
      <c r="E28" s="3" t="s">
        <v>51</v>
      </c>
      <c r="F28" s="3"/>
      <c r="G28" s="3"/>
      <c r="H28" s="3"/>
    </row>
    <row r="29" spans="1:9" x14ac:dyDescent="0.25">
      <c r="A29" s="3" t="s">
        <v>52</v>
      </c>
      <c r="B29" s="3"/>
      <c r="C29" s="12">
        <v>0.68210000000000004</v>
      </c>
      <c r="D29" s="12">
        <v>0.7238</v>
      </c>
      <c r="E29" s="12">
        <v>0.77659999999999996</v>
      </c>
      <c r="F29" s="3"/>
      <c r="G29" s="3"/>
      <c r="H29" s="3"/>
    </row>
    <row r="30" spans="1:9" x14ac:dyDescent="0.25">
      <c r="A30" s="3" t="s">
        <v>53</v>
      </c>
      <c r="B30" s="3"/>
      <c r="C30" s="12">
        <v>0.67130000000000001</v>
      </c>
      <c r="D30" s="12">
        <v>0.7107</v>
      </c>
      <c r="E30" s="12">
        <v>0.75900000000000001</v>
      </c>
      <c r="F30" s="3"/>
      <c r="G30" s="3"/>
      <c r="H30" s="3"/>
    </row>
    <row r="31" spans="1:9" x14ac:dyDescent="0.25">
      <c r="A31" s="3"/>
      <c r="B31" s="3"/>
      <c r="C31" s="3"/>
      <c r="D31" s="3"/>
      <c r="E31" s="3"/>
      <c r="F31" s="3"/>
      <c r="G31" s="3"/>
      <c r="H31" s="3"/>
    </row>
    <row r="32" spans="1:9" x14ac:dyDescent="0.25">
      <c r="A32" s="3" t="s">
        <v>256</v>
      </c>
      <c r="B32" s="3"/>
      <c r="C32" s="3" t="s">
        <v>2</v>
      </c>
      <c r="D32" s="3" t="s">
        <v>240</v>
      </c>
      <c r="E32" s="3" t="s">
        <v>55</v>
      </c>
      <c r="F32" s="3" t="s">
        <v>254</v>
      </c>
      <c r="G32" s="3"/>
      <c r="H32" s="3"/>
    </row>
    <row r="33" spans="1:8" x14ac:dyDescent="0.25">
      <c r="A33" s="3" t="s">
        <v>56</v>
      </c>
      <c r="B33" s="3"/>
      <c r="C33" s="3"/>
      <c r="D33" s="3">
        <v>65.349999999999994</v>
      </c>
      <c r="E33" s="3">
        <v>81.5</v>
      </c>
      <c r="F33" s="3">
        <v>50.61</v>
      </c>
      <c r="G33" s="3"/>
      <c r="H33" s="3"/>
    </row>
    <row r="34" spans="1:8" x14ac:dyDescent="0.25">
      <c r="A34" s="3" t="s">
        <v>57</v>
      </c>
      <c r="B34" s="3"/>
      <c r="C34" s="3"/>
      <c r="D34" s="3">
        <v>69.8</v>
      </c>
      <c r="E34" s="3">
        <v>58.24</v>
      </c>
      <c r="F34" s="3">
        <v>57.37</v>
      </c>
      <c r="G34" s="3"/>
      <c r="H34" s="3"/>
    </row>
    <row r="35" spans="1:8" x14ac:dyDescent="0.25">
      <c r="A35" s="3" t="s">
        <v>58</v>
      </c>
      <c r="B35" s="3"/>
      <c r="C35" s="3"/>
      <c r="D35" s="3">
        <v>161.41</v>
      </c>
      <c r="E35" s="3">
        <v>261.52999999999997</v>
      </c>
      <c r="F35" s="3">
        <v>249.57</v>
      </c>
      <c r="G35" s="3"/>
      <c r="H35" s="3"/>
    </row>
    <row r="36" spans="1:8" x14ac:dyDescent="0.25">
      <c r="A36" s="3" t="s">
        <v>59</v>
      </c>
      <c r="B36" s="3"/>
      <c r="C36" s="3"/>
      <c r="D36" s="3">
        <v>74.53</v>
      </c>
      <c r="E36" s="3">
        <v>103.11</v>
      </c>
      <c r="F36" s="3">
        <v>71.400000000000006</v>
      </c>
      <c r="G36" s="3"/>
      <c r="H36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2:I52"/>
  <sheetViews>
    <sheetView topLeftCell="A21" workbookViewId="0">
      <selection activeCell="G49" sqref="G49:G52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31.28515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241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680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7280</v>
      </c>
      <c r="D9" s="10"/>
      <c r="E9" s="10"/>
      <c r="F9" s="10"/>
      <c r="G9" s="10">
        <f t="shared" ref="G9:G36" si="0">SUM(C9:F9)</f>
        <v>7280</v>
      </c>
      <c r="H9" s="19">
        <f t="shared" ref="H9:H36" si="1">ROUND(G9/680,2)</f>
        <v>10.71</v>
      </c>
      <c r="I9" s="4">
        <f t="shared" ref="I9:I36" si="2">ROUND(G9/$G$37,3)</f>
        <v>0.06</v>
      </c>
    </row>
    <row r="10" spans="1:9" x14ac:dyDescent="0.25">
      <c r="A10" t="s">
        <v>19</v>
      </c>
      <c r="B10" t="s">
        <v>21</v>
      </c>
      <c r="C10" s="10">
        <v>16060</v>
      </c>
      <c r="D10" s="10"/>
      <c r="E10" s="10"/>
      <c r="F10" s="10"/>
      <c r="G10" s="10">
        <f t="shared" si="0"/>
        <v>16060</v>
      </c>
      <c r="H10" s="19">
        <f t="shared" si="1"/>
        <v>23.62</v>
      </c>
      <c r="I10" s="4">
        <f t="shared" si="2"/>
        <v>0.13100000000000001</v>
      </c>
    </row>
    <row r="11" spans="1:9" x14ac:dyDescent="0.25">
      <c r="A11" t="s">
        <v>19</v>
      </c>
      <c r="B11" t="s">
        <v>41</v>
      </c>
      <c r="C11" s="10"/>
      <c r="D11" s="10"/>
      <c r="E11" s="10">
        <v>100</v>
      </c>
      <c r="F11" s="10"/>
      <c r="G11" s="10">
        <f t="shared" si="0"/>
        <v>100</v>
      </c>
      <c r="H11" s="19">
        <f t="shared" si="1"/>
        <v>0.15</v>
      </c>
      <c r="I11" s="4">
        <f t="shared" si="2"/>
        <v>1E-3</v>
      </c>
    </row>
    <row r="12" spans="1:9" x14ac:dyDescent="0.25">
      <c r="A12" t="s">
        <v>19</v>
      </c>
      <c r="B12" t="s">
        <v>23</v>
      </c>
      <c r="C12" s="10"/>
      <c r="D12" s="10"/>
      <c r="E12" s="10">
        <v>20890</v>
      </c>
      <c r="F12" s="10"/>
      <c r="G12" s="10">
        <f t="shared" si="0"/>
        <v>20890</v>
      </c>
      <c r="H12" s="19">
        <f t="shared" si="1"/>
        <v>30.72</v>
      </c>
      <c r="I12" s="4">
        <f t="shared" si="2"/>
        <v>0.17100000000000001</v>
      </c>
    </row>
    <row r="13" spans="1:9" x14ac:dyDescent="0.25">
      <c r="A13" t="s">
        <v>19</v>
      </c>
      <c r="B13" t="s">
        <v>24</v>
      </c>
      <c r="C13" s="10">
        <v>8380</v>
      </c>
      <c r="D13" s="10"/>
      <c r="E13" s="10"/>
      <c r="F13" s="10"/>
      <c r="G13" s="10">
        <f t="shared" si="0"/>
        <v>8380</v>
      </c>
      <c r="H13" s="19">
        <f t="shared" si="1"/>
        <v>12.32</v>
      </c>
      <c r="I13" s="4">
        <f t="shared" si="2"/>
        <v>6.9000000000000006E-2</v>
      </c>
    </row>
    <row r="14" spans="1:9" x14ac:dyDescent="0.25">
      <c r="A14" t="s">
        <v>19</v>
      </c>
      <c r="B14" t="s">
        <v>25</v>
      </c>
      <c r="C14" s="10">
        <v>15380</v>
      </c>
      <c r="D14" s="10"/>
      <c r="E14" s="10"/>
      <c r="F14" s="10"/>
      <c r="G14" s="10">
        <f t="shared" si="0"/>
        <v>15380</v>
      </c>
      <c r="H14" s="19">
        <f t="shared" si="1"/>
        <v>22.62</v>
      </c>
      <c r="I14" s="4">
        <f t="shared" si="2"/>
        <v>0.126</v>
      </c>
    </row>
    <row r="15" spans="1:9" x14ac:dyDescent="0.25">
      <c r="A15" t="s">
        <v>19</v>
      </c>
      <c r="B15" t="s">
        <v>26</v>
      </c>
      <c r="C15" s="10"/>
      <c r="D15" s="10"/>
      <c r="E15" s="10">
        <v>344</v>
      </c>
      <c r="F15" s="10"/>
      <c r="G15" s="10">
        <f t="shared" si="0"/>
        <v>344</v>
      </c>
      <c r="H15" s="19">
        <f t="shared" si="1"/>
        <v>0.51</v>
      </c>
      <c r="I15" s="4">
        <f t="shared" si="2"/>
        <v>3.0000000000000001E-3</v>
      </c>
    </row>
    <row r="16" spans="1:9" x14ac:dyDescent="0.25">
      <c r="A16" t="s">
        <v>19</v>
      </c>
      <c r="B16" t="s">
        <v>27</v>
      </c>
      <c r="C16" s="10"/>
      <c r="D16" s="10"/>
      <c r="E16" s="10">
        <v>229</v>
      </c>
      <c r="F16" s="10"/>
      <c r="G16" s="10">
        <f t="shared" si="0"/>
        <v>229</v>
      </c>
      <c r="H16" s="19">
        <f t="shared" si="1"/>
        <v>0.34</v>
      </c>
      <c r="I16" s="4">
        <f t="shared" si="2"/>
        <v>2E-3</v>
      </c>
    </row>
    <row r="17" spans="1:9" x14ac:dyDescent="0.25">
      <c r="A17" t="s">
        <v>19</v>
      </c>
      <c r="B17" t="s">
        <v>29</v>
      </c>
      <c r="C17" s="10"/>
      <c r="D17" s="10"/>
      <c r="E17" s="10">
        <v>410</v>
      </c>
      <c r="F17" s="10"/>
      <c r="G17" s="10">
        <f t="shared" si="0"/>
        <v>410</v>
      </c>
      <c r="H17" s="19">
        <f t="shared" si="1"/>
        <v>0.6</v>
      </c>
      <c r="I17" s="4">
        <f t="shared" si="2"/>
        <v>3.0000000000000001E-3</v>
      </c>
    </row>
    <row r="18" spans="1:9" x14ac:dyDescent="0.25">
      <c r="A18" t="s">
        <v>19</v>
      </c>
      <c r="B18" t="s">
        <v>32</v>
      </c>
      <c r="C18" s="10"/>
      <c r="D18" s="10"/>
      <c r="E18" s="10">
        <v>460</v>
      </c>
      <c r="F18" s="10"/>
      <c r="G18" s="10">
        <f t="shared" si="0"/>
        <v>460</v>
      </c>
      <c r="H18" s="19">
        <f t="shared" si="1"/>
        <v>0.68</v>
      </c>
      <c r="I18" s="4">
        <f t="shared" si="2"/>
        <v>4.0000000000000001E-3</v>
      </c>
    </row>
    <row r="19" spans="1:9" x14ac:dyDescent="0.25">
      <c r="A19" t="s">
        <v>19</v>
      </c>
      <c r="B19" t="s">
        <v>34</v>
      </c>
      <c r="C19" s="10"/>
      <c r="D19" s="10"/>
      <c r="E19" s="10">
        <v>423</v>
      </c>
      <c r="F19" s="10"/>
      <c r="G19" s="10">
        <f t="shared" si="0"/>
        <v>423</v>
      </c>
      <c r="H19" s="19">
        <f t="shared" si="1"/>
        <v>0.62</v>
      </c>
      <c r="I19" s="4">
        <f t="shared" si="2"/>
        <v>3.0000000000000001E-3</v>
      </c>
    </row>
    <row r="20" spans="1:9" x14ac:dyDescent="0.25">
      <c r="A20" t="s">
        <v>19</v>
      </c>
      <c r="B20" t="s">
        <v>40</v>
      </c>
      <c r="C20" s="10"/>
      <c r="D20" s="10"/>
      <c r="E20" s="10">
        <v>1691</v>
      </c>
      <c r="F20" s="10"/>
      <c r="G20" s="10">
        <f t="shared" si="0"/>
        <v>1691</v>
      </c>
      <c r="H20" s="19">
        <f t="shared" si="1"/>
        <v>2.4900000000000002</v>
      </c>
      <c r="I20" s="4">
        <f t="shared" si="2"/>
        <v>1.4E-2</v>
      </c>
    </row>
    <row r="21" spans="1:9" x14ac:dyDescent="0.25">
      <c r="A21" t="s">
        <v>19</v>
      </c>
      <c r="B21" t="s">
        <v>36</v>
      </c>
      <c r="C21" s="10"/>
      <c r="D21" s="10"/>
      <c r="E21" s="10">
        <v>9970</v>
      </c>
      <c r="F21" s="10"/>
      <c r="G21" s="10">
        <f t="shared" si="0"/>
        <v>9970</v>
      </c>
      <c r="H21" s="19">
        <f t="shared" si="1"/>
        <v>14.66</v>
      </c>
      <c r="I21" s="4">
        <f t="shared" si="2"/>
        <v>8.2000000000000003E-2</v>
      </c>
    </row>
    <row r="22" spans="1:9" x14ac:dyDescent="0.25">
      <c r="A22" t="s">
        <v>19</v>
      </c>
      <c r="B22" t="s">
        <v>38</v>
      </c>
      <c r="C22" s="10"/>
      <c r="D22" s="10"/>
      <c r="E22" s="10">
        <v>5360</v>
      </c>
      <c r="F22" s="10"/>
      <c r="G22" s="10">
        <f t="shared" si="0"/>
        <v>5360</v>
      </c>
      <c r="H22" s="19">
        <f t="shared" si="1"/>
        <v>7.88</v>
      </c>
      <c r="I22" s="4">
        <f t="shared" si="2"/>
        <v>4.3999999999999997E-2</v>
      </c>
    </row>
    <row r="23" spans="1:9" x14ac:dyDescent="0.25">
      <c r="A23" t="s">
        <v>19</v>
      </c>
      <c r="B23" t="s">
        <v>39</v>
      </c>
      <c r="C23" s="10"/>
      <c r="D23" s="10"/>
      <c r="E23" s="10">
        <v>3095</v>
      </c>
      <c r="F23" s="10"/>
      <c r="G23" s="10">
        <f t="shared" si="0"/>
        <v>3095</v>
      </c>
      <c r="H23" s="19">
        <f t="shared" si="1"/>
        <v>4.55</v>
      </c>
      <c r="I23" s="4">
        <f t="shared" si="2"/>
        <v>2.5000000000000001E-2</v>
      </c>
    </row>
    <row r="24" spans="1:9" x14ac:dyDescent="0.25">
      <c r="A24" t="s">
        <v>19</v>
      </c>
      <c r="B24" t="s">
        <v>35</v>
      </c>
      <c r="C24" s="10"/>
      <c r="D24" s="10"/>
      <c r="E24" s="10"/>
      <c r="F24" s="10"/>
      <c r="G24" s="10">
        <f t="shared" si="0"/>
        <v>0</v>
      </c>
      <c r="H24" s="19">
        <f t="shared" si="1"/>
        <v>0</v>
      </c>
      <c r="I24" s="4">
        <f t="shared" si="2"/>
        <v>0</v>
      </c>
    </row>
    <row r="25" spans="1:9" x14ac:dyDescent="0.25">
      <c r="A25" t="s">
        <v>19</v>
      </c>
      <c r="B25" t="s">
        <v>30</v>
      </c>
      <c r="C25" s="10"/>
      <c r="D25" s="10"/>
      <c r="E25" s="10"/>
      <c r="F25" s="10"/>
      <c r="G25" s="10">
        <f t="shared" si="0"/>
        <v>0</v>
      </c>
      <c r="H25" s="19">
        <f t="shared" si="1"/>
        <v>0</v>
      </c>
      <c r="I25" s="4">
        <f t="shared" si="2"/>
        <v>0</v>
      </c>
    </row>
    <row r="26" spans="1:9" x14ac:dyDescent="0.25">
      <c r="A26" t="s">
        <v>19</v>
      </c>
      <c r="B26" t="s">
        <v>42</v>
      </c>
      <c r="C26" s="10"/>
      <c r="D26" s="10"/>
      <c r="E26" s="10"/>
      <c r="F26" s="10"/>
      <c r="G26" s="10">
        <f t="shared" si="0"/>
        <v>0</v>
      </c>
      <c r="H26" s="19">
        <f t="shared" si="1"/>
        <v>0</v>
      </c>
      <c r="I26" s="4">
        <f t="shared" si="2"/>
        <v>0</v>
      </c>
    </row>
    <row r="27" spans="1:9" x14ac:dyDescent="0.25">
      <c r="A27" t="s">
        <v>19</v>
      </c>
      <c r="B27" t="s">
        <v>66</v>
      </c>
      <c r="C27" s="10"/>
      <c r="D27" s="10"/>
      <c r="E27" s="10"/>
      <c r="F27" s="10"/>
      <c r="G27" s="10">
        <f t="shared" si="0"/>
        <v>0</v>
      </c>
      <c r="H27" s="19">
        <f t="shared" si="1"/>
        <v>0</v>
      </c>
      <c r="I27" s="4">
        <f t="shared" si="2"/>
        <v>0</v>
      </c>
    </row>
    <row r="28" spans="1:9" x14ac:dyDescent="0.25">
      <c r="A28" t="s">
        <v>19</v>
      </c>
      <c r="B28" t="s">
        <v>22</v>
      </c>
      <c r="C28" s="10"/>
      <c r="D28" s="10"/>
      <c r="E28" s="10"/>
      <c r="F28" s="10"/>
      <c r="G28" s="10">
        <f t="shared" si="0"/>
        <v>0</v>
      </c>
      <c r="H28" s="19">
        <f t="shared" si="1"/>
        <v>0</v>
      </c>
      <c r="I28" s="4">
        <f t="shared" si="2"/>
        <v>0</v>
      </c>
    </row>
    <row r="29" spans="1:9" x14ac:dyDescent="0.25">
      <c r="A29" t="s">
        <v>19</v>
      </c>
      <c r="B29" t="s">
        <v>28</v>
      </c>
      <c r="C29" s="10"/>
      <c r="D29" s="10"/>
      <c r="E29" s="10"/>
      <c r="F29" s="10"/>
      <c r="G29" s="10">
        <f t="shared" si="0"/>
        <v>0</v>
      </c>
      <c r="H29" s="19">
        <f t="shared" si="1"/>
        <v>0</v>
      </c>
      <c r="I29" s="4">
        <f t="shared" si="2"/>
        <v>0</v>
      </c>
    </row>
    <row r="30" spans="1:9" x14ac:dyDescent="0.25">
      <c r="A30" t="s">
        <v>19</v>
      </c>
      <c r="B30" t="s">
        <v>31</v>
      </c>
      <c r="C30" s="10"/>
      <c r="D30" s="10"/>
      <c r="E30" s="10"/>
      <c r="F30" s="10"/>
      <c r="G30" s="10">
        <f t="shared" si="0"/>
        <v>0</v>
      </c>
      <c r="H30" s="19">
        <f t="shared" si="1"/>
        <v>0</v>
      </c>
      <c r="I30" s="4">
        <f t="shared" si="2"/>
        <v>0</v>
      </c>
    </row>
    <row r="31" spans="1:9" x14ac:dyDescent="0.25">
      <c r="A31" t="s">
        <v>19</v>
      </c>
      <c r="B31" t="s">
        <v>33</v>
      </c>
      <c r="C31" s="10"/>
      <c r="D31" s="10"/>
      <c r="E31" s="10"/>
      <c r="F31" s="10"/>
      <c r="G31" s="10">
        <f t="shared" si="0"/>
        <v>0</v>
      </c>
      <c r="H31" s="19">
        <f t="shared" si="1"/>
        <v>0</v>
      </c>
      <c r="I31" s="4">
        <f t="shared" si="2"/>
        <v>0</v>
      </c>
    </row>
    <row r="32" spans="1:9" x14ac:dyDescent="0.25">
      <c r="A32" t="s">
        <v>19</v>
      </c>
      <c r="B32" t="s">
        <v>37</v>
      </c>
      <c r="C32" s="10"/>
      <c r="D32" s="10"/>
      <c r="E32" s="10"/>
      <c r="F32" s="10"/>
      <c r="G32" s="10">
        <f t="shared" si="0"/>
        <v>0</v>
      </c>
      <c r="H32" s="19">
        <f t="shared" si="1"/>
        <v>0</v>
      </c>
      <c r="I32" s="4">
        <f t="shared" si="2"/>
        <v>0</v>
      </c>
    </row>
    <row r="33" spans="1:9" x14ac:dyDescent="0.25">
      <c r="A33" t="s">
        <v>43</v>
      </c>
      <c r="B33" t="s">
        <v>44</v>
      </c>
      <c r="C33" s="10">
        <v>25470</v>
      </c>
      <c r="D33" s="10"/>
      <c r="E33" s="10"/>
      <c r="F33" s="10"/>
      <c r="G33" s="10">
        <f t="shared" si="0"/>
        <v>25470</v>
      </c>
      <c r="H33" s="19">
        <f t="shared" si="1"/>
        <v>37.46</v>
      </c>
      <c r="I33" s="4">
        <f t="shared" si="2"/>
        <v>0.20799999999999999</v>
      </c>
    </row>
    <row r="34" spans="1:9" x14ac:dyDescent="0.25">
      <c r="A34" t="s">
        <v>43</v>
      </c>
      <c r="B34" t="s">
        <v>45</v>
      </c>
      <c r="C34" s="10"/>
      <c r="D34" s="10"/>
      <c r="E34" s="10">
        <v>6750</v>
      </c>
      <c r="F34" s="10"/>
      <c r="G34" s="10">
        <f t="shared" si="0"/>
        <v>6750</v>
      </c>
      <c r="H34" s="19">
        <f t="shared" si="1"/>
        <v>9.93</v>
      </c>
      <c r="I34" s="4">
        <f t="shared" si="2"/>
        <v>5.5E-2</v>
      </c>
    </row>
    <row r="35" spans="1:9" x14ac:dyDescent="0.25">
      <c r="A35" t="s">
        <v>43</v>
      </c>
      <c r="B35" t="s">
        <v>46</v>
      </c>
      <c r="C35" s="10"/>
      <c r="D35" s="10"/>
      <c r="E35" s="10"/>
      <c r="F35" s="10"/>
      <c r="G35" s="10">
        <f t="shared" si="0"/>
        <v>0</v>
      </c>
      <c r="H35" s="19">
        <f t="shared" si="1"/>
        <v>0</v>
      </c>
      <c r="I35" s="4">
        <f t="shared" si="2"/>
        <v>0</v>
      </c>
    </row>
    <row r="36" spans="1:9" x14ac:dyDescent="0.25">
      <c r="A36" t="s">
        <v>15</v>
      </c>
      <c r="B36" t="s">
        <v>18</v>
      </c>
      <c r="C36" s="10"/>
      <c r="D36" s="10"/>
      <c r="E36" s="10"/>
      <c r="F36" s="10"/>
      <c r="G36" s="10">
        <f t="shared" si="0"/>
        <v>0</v>
      </c>
      <c r="H36" s="19">
        <f t="shared" si="1"/>
        <v>0</v>
      </c>
      <c r="I36" s="4">
        <f t="shared" si="2"/>
        <v>0</v>
      </c>
    </row>
    <row r="37" spans="1:9" x14ac:dyDescent="0.25">
      <c r="A37" s="3" t="s">
        <v>253</v>
      </c>
      <c r="B37" s="3"/>
      <c r="C37" s="8">
        <f t="shared" ref="C37:H37" si="3">SUM(C8:C36)</f>
        <v>72570</v>
      </c>
      <c r="D37" s="8">
        <f t="shared" si="3"/>
        <v>0</v>
      </c>
      <c r="E37" s="8">
        <f t="shared" si="3"/>
        <v>49722</v>
      </c>
      <c r="F37" s="8">
        <f t="shared" si="3"/>
        <v>0</v>
      </c>
      <c r="G37" s="8">
        <f t="shared" si="3"/>
        <v>122292</v>
      </c>
      <c r="H37" s="20">
        <f t="shared" si="3"/>
        <v>179.86</v>
      </c>
    </row>
    <row r="38" spans="1:9" x14ac:dyDescent="0.25">
      <c r="A38" s="3" t="s">
        <v>14</v>
      </c>
      <c r="B38" s="3"/>
      <c r="C38" s="12">
        <f>ROUND(C37/G37,2)</f>
        <v>0.59</v>
      </c>
      <c r="D38" s="12">
        <f>ROUND(D37/G37,2)</f>
        <v>0</v>
      </c>
      <c r="E38" s="12">
        <f>ROUND(E37/G37,2)</f>
        <v>0.41</v>
      </c>
      <c r="F38" s="12">
        <f>ROUND(F37/G37,2)</f>
        <v>0</v>
      </c>
      <c r="G38" s="7"/>
      <c r="H38" s="7"/>
    </row>
    <row r="39" spans="1:9" x14ac:dyDescent="0.25">
      <c r="A39" s="3" t="s">
        <v>47</v>
      </c>
      <c r="B39" s="3"/>
      <c r="C39" s="3"/>
      <c r="D39" s="3"/>
      <c r="E39" s="3"/>
      <c r="F39" s="3"/>
      <c r="G39" s="3"/>
      <c r="H39" s="3"/>
    </row>
    <row r="40" spans="1:9" x14ac:dyDescent="0.25">
      <c r="A40" s="3" t="s">
        <v>48</v>
      </c>
      <c r="B40" s="3"/>
      <c r="C40" s="8">
        <v>47100</v>
      </c>
      <c r="D40" s="8">
        <v>0</v>
      </c>
      <c r="E40" s="8">
        <v>42972</v>
      </c>
      <c r="F40" s="8">
        <v>0</v>
      </c>
      <c r="G40" s="8">
        <f>SUM(C40:F40)</f>
        <v>90072</v>
      </c>
      <c r="H40" s="20">
        <f>ROUND(G40/680,2)</f>
        <v>132.46</v>
      </c>
    </row>
    <row r="41" spans="1:9" x14ac:dyDescent="0.25">
      <c r="A41" s="3" t="s">
        <v>49</v>
      </c>
      <c r="B41" s="3"/>
      <c r="C41" s="8">
        <v>25470</v>
      </c>
      <c r="D41" s="8">
        <v>0</v>
      </c>
      <c r="E41" s="8">
        <v>6750</v>
      </c>
      <c r="F41" s="8">
        <v>0</v>
      </c>
      <c r="G41" s="8">
        <f>SUM(C41:F41)</f>
        <v>32220</v>
      </c>
      <c r="H41" s="20">
        <f>ROUND(G41/680,2)</f>
        <v>47.38</v>
      </c>
    </row>
    <row r="42" spans="1:9" x14ac:dyDescent="0.25">
      <c r="A42" s="3" t="s">
        <v>50</v>
      </c>
      <c r="B42" s="3"/>
      <c r="C42" s="20">
        <v>0</v>
      </c>
      <c r="D42" s="20">
        <v>0</v>
      </c>
      <c r="E42" s="20">
        <v>0</v>
      </c>
      <c r="F42" s="20">
        <v>0</v>
      </c>
      <c r="G42" s="20">
        <f>SUM(C42:F42)</f>
        <v>0</v>
      </c>
      <c r="H42" s="20">
        <f>ROUND(G42/680,2)</f>
        <v>0</v>
      </c>
    </row>
    <row r="43" spans="1:9" x14ac:dyDescent="0.25">
      <c r="A43" s="3"/>
      <c r="B43" s="3"/>
      <c r="C43" s="3"/>
      <c r="D43" s="3"/>
      <c r="E43" s="3"/>
      <c r="F43" s="3"/>
      <c r="G43" s="3"/>
      <c r="H43" s="3"/>
    </row>
    <row r="44" spans="1:9" x14ac:dyDescent="0.25">
      <c r="A44" s="3"/>
      <c r="B44" s="3"/>
      <c r="C44" s="3" t="s">
        <v>2</v>
      </c>
      <c r="D44" s="3">
        <v>2022</v>
      </c>
      <c r="E44" s="3" t="s">
        <v>51</v>
      </c>
      <c r="F44" s="3"/>
      <c r="G44" s="3"/>
      <c r="H44" s="3"/>
    </row>
    <row r="45" spans="1:9" x14ac:dyDescent="0.25">
      <c r="A45" s="3" t="s">
        <v>52</v>
      </c>
      <c r="B45" s="3"/>
      <c r="C45" s="12">
        <v>0.74890000000000001</v>
      </c>
      <c r="D45" s="12">
        <v>0.751</v>
      </c>
      <c r="E45" s="12">
        <v>0.77659999999999996</v>
      </c>
      <c r="F45" s="3"/>
      <c r="G45" s="3"/>
      <c r="H45" s="3"/>
    </row>
    <row r="46" spans="1:9" x14ac:dyDescent="0.25">
      <c r="A46" s="3" t="s">
        <v>53</v>
      </c>
      <c r="B46" s="3"/>
      <c r="C46" s="12">
        <v>0.74890000000000001</v>
      </c>
      <c r="D46" s="12">
        <v>0.71479999999999999</v>
      </c>
      <c r="E46" s="12">
        <v>0.75900000000000001</v>
      </c>
      <c r="F46" s="3"/>
      <c r="G46" s="3"/>
      <c r="H46" s="3"/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A48" s="3" t="s">
        <v>256</v>
      </c>
      <c r="B48" s="3"/>
      <c r="C48" s="3" t="s">
        <v>2</v>
      </c>
      <c r="D48" s="3" t="s">
        <v>242</v>
      </c>
      <c r="E48" s="3" t="s">
        <v>55</v>
      </c>
      <c r="F48" s="3" t="s">
        <v>254</v>
      </c>
      <c r="G48" s="3"/>
      <c r="H48" s="3"/>
    </row>
    <row r="49" spans="1:8" x14ac:dyDescent="0.25">
      <c r="A49" s="3" t="s">
        <v>56</v>
      </c>
      <c r="B49" s="3"/>
      <c r="C49" s="3"/>
      <c r="D49" s="3">
        <v>66.39</v>
      </c>
      <c r="E49" s="3">
        <v>81.5</v>
      </c>
      <c r="F49" s="3">
        <v>50.61</v>
      </c>
      <c r="G49" s="3"/>
      <c r="H49" s="3"/>
    </row>
    <row r="50" spans="1:8" x14ac:dyDescent="0.25">
      <c r="A50" s="3" t="s">
        <v>57</v>
      </c>
      <c r="B50" s="3"/>
      <c r="C50" s="3"/>
      <c r="D50" s="3">
        <v>40.619999999999997</v>
      </c>
      <c r="E50" s="3">
        <v>58.24</v>
      </c>
      <c r="F50" s="3">
        <v>57.37</v>
      </c>
      <c r="G50" s="3"/>
      <c r="H50" s="3"/>
    </row>
    <row r="51" spans="1:8" x14ac:dyDescent="0.25">
      <c r="A51" s="3" t="s">
        <v>58</v>
      </c>
      <c r="B51" s="3"/>
      <c r="C51" s="3"/>
      <c r="D51" s="3">
        <v>216.36</v>
      </c>
      <c r="E51" s="3">
        <v>261.52999999999997</v>
      </c>
      <c r="F51" s="3">
        <v>249.57</v>
      </c>
      <c r="G51" s="3"/>
      <c r="H51" s="3"/>
    </row>
    <row r="52" spans="1:8" x14ac:dyDescent="0.25">
      <c r="A52" s="3" t="s">
        <v>59</v>
      </c>
      <c r="B52" s="3"/>
      <c r="C52" s="3"/>
      <c r="D52" s="3">
        <v>87.24</v>
      </c>
      <c r="E52" s="3">
        <v>103.11</v>
      </c>
      <c r="F52" s="3">
        <v>71.400000000000006</v>
      </c>
      <c r="G52" s="3"/>
      <c r="H52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2:I58"/>
  <sheetViews>
    <sheetView topLeftCell="A33" workbookViewId="0">
      <selection activeCell="G55" sqref="G55:G58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7109375" bestFit="1" customWidth="1"/>
    <col min="4" max="4" width="21" bestFit="1" customWidth="1"/>
    <col min="5" max="5" width="13.85546875" bestFit="1" customWidth="1"/>
    <col min="6" max="6" width="9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243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2641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40</v>
      </c>
      <c r="G9" s="10">
        <f t="shared" ref="G9:G42" si="0">SUM(C9:F9)</f>
        <v>40</v>
      </c>
      <c r="H9" s="19">
        <f t="shared" ref="H9:H42" si="1">ROUND(G9/2641,2)</f>
        <v>0.02</v>
      </c>
      <c r="I9" s="18">
        <f t="shared" ref="I9:I40" si="2">ROUND(G9/$G$43,3)</f>
        <v>0</v>
      </c>
    </row>
    <row r="10" spans="1:9" x14ac:dyDescent="0.25">
      <c r="A10" t="s">
        <v>15</v>
      </c>
      <c r="B10" t="s">
        <v>17</v>
      </c>
      <c r="C10" s="10"/>
      <c r="D10" s="10"/>
      <c r="E10" s="10"/>
      <c r="F10" s="10">
        <v>235</v>
      </c>
      <c r="G10" s="10">
        <f t="shared" si="0"/>
        <v>235</v>
      </c>
      <c r="H10" s="19">
        <f t="shared" si="1"/>
        <v>0.09</v>
      </c>
      <c r="I10" s="18">
        <f t="shared" si="2"/>
        <v>1E-3</v>
      </c>
    </row>
    <row r="11" spans="1:9" x14ac:dyDescent="0.25">
      <c r="A11" t="s">
        <v>15</v>
      </c>
      <c r="B11" t="s">
        <v>18</v>
      </c>
      <c r="C11" s="10"/>
      <c r="D11" s="10"/>
      <c r="E11" s="10"/>
      <c r="F11" s="10"/>
      <c r="G11" s="10">
        <f t="shared" si="0"/>
        <v>0</v>
      </c>
      <c r="H11" s="19">
        <f t="shared" si="1"/>
        <v>0</v>
      </c>
      <c r="I11" s="18">
        <f t="shared" si="2"/>
        <v>0</v>
      </c>
    </row>
    <row r="12" spans="1:9" x14ac:dyDescent="0.25">
      <c r="A12" t="s">
        <v>19</v>
      </c>
      <c r="B12" t="s">
        <v>64</v>
      </c>
      <c r="C12" s="10"/>
      <c r="D12" s="10"/>
      <c r="E12" s="10">
        <v>30</v>
      </c>
      <c r="F12" s="10"/>
      <c r="G12" s="10">
        <f t="shared" si="0"/>
        <v>30</v>
      </c>
      <c r="H12" s="19">
        <f t="shared" si="1"/>
        <v>0.01</v>
      </c>
      <c r="I12" s="18">
        <f t="shared" si="2"/>
        <v>0</v>
      </c>
    </row>
    <row r="13" spans="1:9" x14ac:dyDescent="0.25">
      <c r="A13" t="s">
        <v>19</v>
      </c>
      <c r="B13" t="s">
        <v>65</v>
      </c>
      <c r="C13" s="10">
        <v>1340</v>
      </c>
      <c r="D13" s="10"/>
      <c r="E13" s="10"/>
      <c r="F13" s="10"/>
      <c r="G13" s="10">
        <f t="shared" si="0"/>
        <v>1340</v>
      </c>
      <c r="H13" s="19">
        <f t="shared" si="1"/>
        <v>0.51</v>
      </c>
      <c r="I13" s="18">
        <f t="shared" si="2"/>
        <v>3.0000000000000001E-3</v>
      </c>
    </row>
    <row r="14" spans="1:9" x14ac:dyDescent="0.25">
      <c r="A14" t="s">
        <v>19</v>
      </c>
      <c r="B14" t="s">
        <v>20</v>
      </c>
      <c r="C14" s="10">
        <v>44460</v>
      </c>
      <c r="D14" s="10"/>
      <c r="E14" s="10">
        <v>520</v>
      </c>
      <c r="F14" s="10"/>
      <c r="G14" s="10">
        <f t="shared" si="0"/>
        <v>44980</v>
      </c>
      <c r="H14" s="19">
        <f t="shared" si="1"/>
        <v>17.03</v>
      </c>
      <c r="I14" s="18">
        <f t="shared" si="2"/>
        <v>0.104</v>
      </c>
    </row>
    <row r="15" spans="1:9" x14ac:dyDescent="0.25">
      <c r="A15" t="s">
        <v>19</v>
      </c>
      <c r="B15" t="s">
        <v>21</v>
      </c>
      <c r="C15" s="10">
        <v>58590</v>
      </c>
      <c r="D15" s="10"/>
      <c r="E15" s="10"/>
      <c r="F15" s="10"/>
      <c r="G15" s="10">
        <f t="shared" si="0"/>
        <v>58590</v>
      </c>
      <c r="H15" s="19">
        <f t="shared" si="1"/>
        <v>22.18</v>
      </c>
      <c r="I15" s="18">
        <f t="shared" si="2"/>
        <v>0.13500000000000001</v>
      </c>
    </row>
    <row r="16" spans="1:9" x14ac:dyDescent="0.25">
      <c r="A16" t="s">
        <v>19</v>
      </c>
      <c r="B16" t="s">
        <v>76</v>
      </c>
      <c r="C16" s="10"/>
      <c r="D16" s="10"/>
      <c r="E16" s="10">
        <v>37</v>
      </c>
      <c r="F16" s="10"/>
      <c r="G16" s="10">
        <f t="shared" si="0"/>
        <v>37</v>
      </c>
      <c r="H16" s="19">
        <f t="shared" si="1"/>
        <v>0.01</v>
      </c>
      <c r="I16" s="18">
        <f t="shared" si="2"/>
        <v>0</v>
      </c>
    </row>
    <row r="17" spans="1:9" x14ac:dyDescent="0.25">
      <c r="A17" t="s">
        <v>19</v>
      </c>
      <c r="B17" t="s">
        <v>41</v>
      </c>
      <c r="C17" s="10"/>
      <c r="D17" s="10"/>
      <c r="E17" s="10">
        <v>47</v>
      </c>
      <c r="F17" s="10"/>
      <c r="G17" s="10">
        <f t="shared" si="0"/>
        <v>47</v>
      </c>
      <c r="H17" s="19">
        <f t="shared" si="1"/>
        <v>0.02</v>
      </c>
      <c r="I17" s="18">
        <f t="shared" si="2"/>
        <v>0</v>
      </c>
    </row>
    <row r="18" spans="1:9" x14ac:dyDescent="0.25">
      <c r="A18" t="s">
        <v>19</v>
      </c>
      <c r="B18" t="s">
        <v>22</v>
      </c>
      <c r="C18" s="10"/>
      <c r="D18" s="10"/>
      <c r="E18" s="10">
        <v>1000</v>
      </c>
      <c r="F18" s="10"/>
      <c r="G18" s="10">
        <f t="shared" si="0"/>
        <v>1000</v>
      </c>
      <c r="H18" s="19">
        <f t="shared" si="1"/>
        <v>0.38</v>
      </c>
      <c r="I18" s="18">
        <f t="shared" si="2"/>
        <v>2E-3</v>
      </c>
    </row>
    <row r="19" spans="1:9" x14ac:dyDescent="0.25">
      <c r="A19" t="s">
        <v>19</v>
      </c>
      <c r="B19" t="s">
        <v>23</v>
      </c>
      <c r="C19" s="10"/>
      <c r="D19" s="10"/>
      <c r="E19" s="10">
        <v>13280</v>
      </c>
      <c r="F19" s="10"/>
      <c r="G19" s="10">
        <f t="shared" si="0"/>
        <v>13280</v>
      </c>
      <c r="H19" s="19">
        <f t="shared" si="1"/>
        <v>5.03</v>
      </c>
      <c r="I19" s="18">
        <f t="shared" si="2"/>
        <v>3.1E-2</v>
      </c>
    </row>
    <row r="20" spans="1:9" x14ac:dyDescent="0.25">
      <c r="A20" t="s">
        <v>19</v>
      </c>
      <c r="B20" t="s">
        <v>24</v>
      </c>
      <c r="C20" s="10">
        <v>56540</v>
      </c>
      <c r="D20" s="10"/>
      <c r="E20" s="10"/>
      <c r="F20" s="10"/>
      <c r="G20" s="10">
        <f t="shared" si="0"/>
        <v>56540</v>
      </c>
      <c r="H20" s="19">
        <f t="shared" si="1"/>
        <v>21.41</v>
      </c>
      <c r="I20" s="18">
        <f t="shared" si="2"/>
        <v>0.13</v>
      </c>
    </row>
    <row r="21" spans="1:9" x14ac:dyDescent="0.25">
      <c r="A21" t="s">
        <v>19</v>
      </c>
      <c r="B21" t="s">
        <v>66</v>
      </c>
      <c r="C21" s="10"/>
      <c r="D21" s="10"/>
      <c r="E21" s="10">
        <v>950</v>
      </c>
      <c r="F21" s="10"/>
      <c r="G21" s="10">
        <f t="shared" si="0"/>
        <v>950</v>
      </c>
      <c r="H21" s="19">
        <f t="shared" si="1"/>
        <v>0.36</v>
      </c>
      <c r="I21" s="18">
        <f t="shared" si="2"/>
        <v>2E-3</v>
      </c>
    </row>
    <row r="22" spans="1:9" x14ac:dyDescent="0.25">
      <c r="A22" t="s">
        <v>19</v>
      </c>
      <c r="B22" t="s">
        <v>25</v>
      </c>
      <c r="C22" s="10">
        <v>92830</v>
      </c>
      <c r="D22" s="10"/>
      <c r="E22" s="10"/>
      <c r="F22" s="10">
        <v>270</v>
      </c>
      <c r="G22" s="10">
        <f t="shared" si="0"/>
        <v>93100</v>
      </c>
      <c r="H22" s="19">
        <f t="shared" si="1"/>
        <v>35.25</v>
      </c>
      <c r="I22" s="18">
        <f t="shared" si="2"/>
        <v>0.214</v>
      </c>
    </row>
    <row r="23" spans="1:9" x14ac:dyDescent="0.25">
      <c r="A23" t="s">
        <v>19</v>
      </c>
      <c r="B23" t="s">
        <v>26</v>
      </c>
      <c r="C23" s="10"/>
      <c r="D23" s="10"/>
      <c r="E23" s="10">
        <v>355</v>
      </c>
      <c r="F23" s="10"/>
      <c r="G23" s="10">
        <f t="shared" si="0"/>
        <v>355</v>
      </c>
      <c r="H23" s="19">
        <f t="shared" si="1"/>
        <v>0.13</v>
      </c>
      <c r="I23" s="18">
        <f t="shared" si="2"/>
        <v>1E-3</v>
      </c>
    </row>
    <row r="24" spans="1:9" x14ac:dyDescent="0.25">
      <c r="A24" t="s">
        <v>19</v>
      </c>
      <c r="B24" t="s">
        <v>27</v>
      </c>
      <c r="C24" s="10"/>
      <c r="D24" s="10"/>
      <c r="E24" s="10">
        <v>200</v>
      </c>
      <c r="F24" s="10"/>
      <c r="G24" s="10">
        <f t="shared" si="0"/>
        <v>200</v>
      </c>
      <c r="H24" s="19">
        <f t="shared" si="1"/>
        <v>0.08</v>
      </c>
      <c r="I24" s="18">
        <f t="shared" si="2"/>
        <v>0</v>
      </c>
    </row>
    <row r="25" spans="1:9" x14ac:dyDescent="0.25">
      <c r="A25" t="s">
        <v>19</v>
      </c>
      <c r="B25" t="s">
        <v>28</v>
      </c>
      <c r="C25" s="10"/>
      <c r="D25" s="10"/>
      <c r="E25" s="10">
        <v>94</v>
      </c>
      <c r="F25" s="10"/>
      <c r="G25" s="10">
        <f t="shared" si="0"/>
        <v>94</v>
      </c>
      <c r="H25" s="19">
        <f t="shared" si="1"/>
        <v>0.04</v>
      </c>
      <c r="I25" s="18">
        <f t="shared" si="2"/>
        <v>0</v>
      </c>
    </row>
    <row r="26" spans="1:9" x14ac:dyDescent="0.25">
      <c r="A26" t="s">
        <v>19</v>
      </c>
      <c r="B26" t="s">
        <v>29</v>
      </c>
      <c r="C26" s="10"/>
      <c r="D26" s="10"/>
      <c r="E26" s="10">
        <v>2380</v>
      </c>
      <c r="F26" s="10"/>
      <c r="G26" s="10">
        <f t="shared" si="0"/>
        <v>2380</v>
      </c>
      <c r="H26" s="19">
        <f t="shared" si="1"/>
        <v>0.9</v>
      </c>
      <c r="I26" s="18">
        <f t="shared" si="2"/>
        <v>5.0000000000000001E-3</v>
      </c>
    </row>
    <row r="27" spans="1:9" x14ac:dyDescent="0.25">
      <c r="A27" t="s">
        <v>19</v>
      </c>
      <c r="B27" t="s">
        <v>30</v>
      </c>
      <c r="C27" s="10"/>
      <c r="D27" s="10"/>
      <c r="E27" s="10">
        <v>870</v>
      </c>
      <c r="F27" s="10"/>
      <c r="G27" s="10">
        <f t="shared" si="0"/>
        <v>870</v>
      </c>
      <c r="H27" s="19">
        <f t="shared" si="1"/>
        <v>0.33</v>
      </c>
      <c r="I27" s="18">
        <f t="shared" si="2"/>
        <v>2E-3</v>
      </c>
    </row>
    <row r="28" spans="1:9" x14ac:dyDescent="0.25">
      <c r="A28" t="s">
        <v>19</v>
      </c>
      <c r="B28" t="s">
        <v>31</v>
      </c>
      <c r="C28" s="10"/>
      <c r="D28" s="10"/>
      <c r="E28" s="10">
        <v>230</v>
      </c>
      <c r="F28" s="10"/>
      <c r="G28" s="10">
        <f t="shared" si="0"/>
        <v>230</v>
      </c>
      <c r="H28" s="19">
        <f t="shared" si="1"/>
        <v>0.09</v>
      </c>
      <c r="I28" s="18">
        <f t="shared" si="2"/>
        <v>1E-3</v>
      </c>
    </row>
    <row r="29" spans="1:9" x14ac:dyDescent="0.25">
      <c r="A29" t="s">
        <v>19</v>
      </c>
      <c r="B29" t="s">
        <v>32</v>
      </c>
      <c r="C29" s="10"/>
      <c r="D29" s="10"/>
      <c r="E29" s="10">
        <v>760</v>
      </c>
      <c r="F29" s="10"/>
      <c r="G29" s="10">
        <f t="shared" si="0"/>
        <v>760</v>
      </c>
      <c r="H29" s="19">
        <f t="shared" si="1"/>
        <v>0.28999999999999998</v>
      </c>
      <c r="I29" s="18">
        <f t="shared" si="2"/>
        <v>2E-3</v>
      </c>
    </row>
    <row r="30" spans="1:9" x14ac:dyDescent="0.25">
      <c r="A30" t="s">
        <v>19</v>
      </c>
      <c r="B30" t="s">
        <v>42</v>
      </c>
      <c r="C30" s="10"/>
      <c r="D30" s="10">
        <v>215</v>
      </c>
      <c r="E30" s="10"/>
      <c r="F30" s="10"/>
      <c r="G30" s="10">
        <f t="shared" si="0"/>
        <v>215</v>
      </c>
      <c r="H30" s="19">
        <f t="shared" si="1"/>
        <v>0.08</v>
      </c>
      <c r="I30" s="18">
        <f t="shared" si="2"/>
        <v>0</v>
      </c>
    </row>
    <row r="31" spans="1:9" x14ac:dyDescent="0.25">
      <c r="A31" t="s">
        <v>19</v>
      </c>
      <c r="B31" t="s">
        <v>67</v>
      </c>
      <c r="C31" s="10"/>
      <c r="D31" s="10"/>
      <c r="E31" s="10">
        <v>600</v>
      </c>
      <c r="F31" s="10"/>
      <c r="G31" s="10">
        <f t="shared" si="0"/>
        <v>600</v>
      </c>
      <c r="H31" s="19">
        <f t="shared" si="1"/>
        <v>0.23</v>
      </c>
      <c r="I31" s="18">
        <f t="shared" si="2"/>
        <v>1E-3</v>
      </c>
    </row>
    <row r="32" spans="1:9" x14ac:dyDescent="0.25">
      <c r="A32" t="s">
        <v>19</v>
      </c>
      <c r="B32" t="s">
        <v>33</v>
      </c>
      <c r="C32" s="10"/>
      <c r="D32" s="10"/>
      <c r="E32" s="10">
        <v>183</v>
      </c>
      <c r="F32" s="10"/>
      <c r="G32" s="10">
        <f t="shared" si="0"/>
        <v>183</v>
      </c>
      <c r="H32" s="19">
        <f t="shared" si="1"/>
        <v>7.0000000000000007E-2</v>
      </c>
      <c r="I32" s="18">
        <f t="shared" si="2"/>
        <v>0</v>
      </c>
    </row>
    <row r="33" spans="1:9" x14ac:dyDescent="0.25">
      <c r="A33" t="s">
        <v>19</v>
      </c>
      <c r="B33" t="s">
        <v>34</v>
      </c>
      <c r="C33" s="10"/>
      <c r="D33" s="10"/>
      <c r="E33" s="10">
        <v>2258</v>
      </c>
      <c r="F33" s="10"/>
      <c r="G33" s="10">
        <f t="shared" si="0"/>
        <v>2258</v>
      </c>
      <c r="H33" s="19">
        <f t="shared" si="1"/>
        <v>0.85</v>
      </c>
      <c r="I33" s="18">
        <f t="shared" si="2"/>
        <v>5.0000000000000001E-3</v>
      </c>
    </row>
    <row r="34" spans="1:9" x14ac:dyDescent="0.25">
      <c r="A34" t="s">
        <v>19</v>
      </c>
      <c r="B34" t="s">
        <v>35</v>
      </c>
      <c r="C34" s="10"/>
      <c r="D34" s="10"/>
      <c r="E34" s="10">
        <v>2600</v>
      </c>
      <c r="F34" s="10"/>
      <c r="G34" s="10">
        <f t="shared" si="0"/>
        <v>2600</v>
      </c>
      <c r="H34" s="19">
        <f t="shared" si="1"/>
        <v>0.98</v>
      </c>
      <c r="I34" s="18">
        <f t="shared" si="2"/>
        <v>6.0000000000000001E-3</v>
      </c>
    </row>
    <row r="35" spans="1:9" x14ac:dyDescent="0.25">
      <c r="A35" t="s">
        <v>19</v>
      </c>
      <c r="B35" t="s">
        <v>40</v>
      </c>
      <c r="C35" s="10"/>
      <c r="D35" s="10"/>
      <c r="E35" s="10">
        <v>547</v>
      </c>
      <c r="F35" s="10"/>
      <c r="G35" s="10">
        <f t="shared" si="0"/>
        <v>547</v>
      </c>
      <c r="H35" s="19">
        <f t="shared" si="1"/>
        <v>0.21</v>
      </c>
      <c r="I35" s="18">
        <f t="shared" si="2"/>
        <v>1E-3</v>
      </c>
    </row>
    <row r="36" spans="1:9" x14ac:dyDescent="0.25">
      <c r="A36" t="s">
        <v>19</v>
      </c>
      <c r="B36" t="s">
        <v>36</v>
      </c>
      <c r="C36" s="10"/>
      <c r="D36" s="10"/>
      <c r="E36" s="10">
        <v>24260</v>
      </c>
      <c r="F36" s="10"/>
      <c r="G36" s="10">
        <f t="shared" si="0"/>
        <v>24260</v>
      </c>
      <c r="H36" s="19">
        <f t="shared" si="1"/>
        <v>9.19</v>
      </c>
      <c r="I36" s="18">
        <f t="shared" si="2"/>
        <v>5.6000000000000001E-2</v>
      </c>
    </row>
    <row r="37" spans="1:9" x14ac:dyDescent="0.25">
      <c r="A37" t="s">
        <v>19</v>
      </c>
      <c r="B37" t="s">
        <v>37</v>
      </c>
      <c r="C37" s="10"/>
      <c r="D37" s="10"/>
      <c r="E37" s="10">
        <v>820</v>
      </c>
      <c r="F37" s="10"/>
      <c r="G37" s="10">
        <f t="shared" si="0"/>
        <v>820</v>
      </c>
      <c r="H37" s="19">
        <f t="shared" si="1"/>
        <v>0.31</v>
      </c>
      <c r="I37" s="18">
        <f t="shared" si="2"/>
        <v>2E-3</v>
      </c>
    </row>
    <row r="38" spans="1:9" x14ac:dyDescent="0.25">
      <c r="A38" t="s">
        <v>19</v>
      </c>
      <c r="B38" t="s">
        <v>38</v>
      </c>
      <c r="C38" s="10"/>
      <c r="D38" s="10"/>
      <c r="E38" s="10">
        <v>7550</v>
      </c>
      <c r="F38" s="10"/>
      <c r="G38" s="10">
        <f t="shared" si="0"/>
        <v>7550</v>
      </c>
      <c r="H38" s="19">
        <f t="shared" si="1"/>
        <v>2.86</v>
      </c>
      <c r="I38" s="18">
        <f t="shared" si="2"/>
        <v>1.7000000000000001E-2</v>
      </c>
    </row>
    <row r="39" spans="1:9" x14ac:dyDescent="0.25">
      <c r="A39" t="s">
        <v>19</v>
      </c>
      <c r="B39" t="s">
        <v>39</v>
      </c>
      <c r="C39" s="10"/>
      <c r="D39" s="10"/>
      <c r="E39" s="10">
        <v>25840</v>
      </c>
      <c r="F39" s="10"/>
      <c r="G39" s="10">
        <f t="shared" si="0"/>
        <v>25840</v>
      </c>
      <c r="H39" s="19">
        <f t="shared" si="1"/>
        <v>9.7799999999999994</v>
      </c>
      <c r="I39" s="18">
        <f t="shared" si="2"/>
        <v>0.06</v>
      </c>
    </row>
    <row r="40" spans="1:9" x14ac:dyDescent="0.25">
      <c r="A40" t="s">
        <v>43</v>
      </c>
      <c r="B40" t="s">
        <v>44</v>
      </c>
      <c r="C40" s="10">
        <v>68790</v>
      </c>
      <c r="D40" s="10"/>
      <c r="E40" s="10"/>
      <c r="F40" s="10">
        <v>420</v>
      </c>
      <c r="G40" s="10">
        <f t="shared" si="0"/>
        <v>69210</v>
      </c>
      <c r="H40" s="19">
        <f t="shared" si="1"/>
        <v>26.21</v>
      </c>
      <c r="I40" s="18">
        <f t="shared" si="2"/>
        <v>0.159</v>
      </c>
    </row>
    <row r="41" spans="1:9" x14ac:dyDescent="0.25">
      <c r="A41" t="s">
        <v>43</v>
      </c>
      <c r="B41" t="s">
        <v>46</v>
      </c>
      <c r="C41" s="10"/>
      <c r="D41" s="10"/>
      <c r="E41" s="10"/>
      <c r="F41" s="10">
        <v>9375</v>
      </c>
      <c r="G41" s="10">
        <f t="shared" si="0"/>
        <v>9375</v>
      </c>
      <c r="H41" s="19">
        <f t="shared" si="1"/>
        <v>3.55</v>
      </c>
      <c r="I41" s="18">
        <f t="shared" ref="I41" si="3">ROUND(G41/$G$43,3)</f>
        <v>2.1999999999999999E-2</v>
      </c>
    </row>
    <row r="42" spans="1:9" x14ac:dyDescent="0.25">
      <c r="A42" t="s">
        <v>43</v>
      </c>
      <c r="B42" t="s">
        <v>45</v>
      </c>
      <c r="C42" s="10"/>
      <c r="D42" s="10"/>
      <c r="E42" s="10">
        <v>15730</v>
      </c>
      <c r="F42" s="10"/>
      <c r="G42" s="10">
        <f t="shared" si="0"/>
        <v>15730</v>
      </c>
      <c r="H42" s="19">
        <f t="shared" si="1"/>
        <v>5.96</v>
      </c>
      <c r="I42" s="18">
        <f>ROUND(G42/$G$43,3)</f>
        <v>3.5999999999999997E-2</v>
      </c>
    </row>
    <row r="43" spans="1:9" x14ac:dyDescent="0.25">
      <c r="A43" s="3" t="s">
        <v>253</v>
      </c>
      <c r="B43" s="3"/>
      <c r="C43" s="8">
        <f t="shared" ref="C43:H43" si="4">SUM(C8:C42)</f>
        <v>322550</v>
      </c>
      <c r="D43" s="8">
        <f t="shared" si="4"/>
        <v>215</v>
      </c>
      <c r="E43" s="8">
        <f t="shared" si="4"/>
        <v>101141</v>
      </c>
      <c r="F43" s="8">
        <f t="shared" si="4"/>
        <v>10340</v>
      </c>
      <c r="G43" s="8">
        <f t="shared" si="4"/>
        <v>434246</v>
      </c>
      <c r="H43" s="20">
        <f t="shared" si="4"/>
        <v>164.44000000000003</v>
      </c>
      <c r="I43" s="18"/>
    </row>
    <row r="44" spans="1:9" x14ac:dyDescent="0.25">
      <c r="A44" s="3" t="s">
        <v>14</v>
      </c>
      <c r="B44" s="3"/>
      <c r="C44" s="12">
        <f>ROUND(C43/G43,2)</f>
        <v>0.74</v>
      </c>
      <c r="D44" s="12">
        <f>ROUND(D43/G43,2)</f>
        <v>0</v>
      </c>
      <c r="E44" s="12">
        <f>ROUND(E43/G43,2)</f>
        <v>0.23</v>
      </c>
      <c r="F44" s="12">
        <f>ROUND(F43/G43,2)</f>
        <v>0.02</v>
      </c>
      <c r="G44" s="7"/>
      <c r="H44" s="7"/>
      <c r="I44" s="6"/>
    </row>
    <row r="45" spans="1:9" x14ac:dyDescent="0.25">
      <c r="A45" s="3" t="s">
        <v>47</v>
      </c>
      <c r="B45" s="3"/>
      <c r="C45" s="3"/>
      <c r="D45" s="3"/>
      <c r="E45" s="3"/>
      <c r="F45" s="3"/>
      <c r="G45" s="3"/>
      <c r="H45" s="3"/>
    </row>
    <row r="46" spans="1:9" x14ac:dyDescent="0.25">
      <c r="A46" s="3" t="s">
        <v>48</v>
      </c>
      <c r="B46" s="3"/>
      <c r="C46" s="8">
        <v>253760</v>
      </c>
      <c r="D46" s="8">
        <v>215</v>
      </c>
      <c r="E46" s="8">
        <v>85411</v>
      </c>
      <c r="F46" s="8">
        <v>270</v>
      </c>
      <c r="G46" s="8">
        <f>SUM(C46:F46)</f>
        <v>339656</v>
      </c>
      <c r="H46" s="20">
        <f>ROUND(G46/2641,2)</f>
        <v>128.61000000000001</v>
      </c>
    </row>
    <row r="47" spans="1:9" x14ac:dyDescent="0.25">
      <c r="A47" s="3" t="s">
        <v>49</v>
      </c>
      <c r="B47" s="3"/>
      <c r="C47" s="8">
        <v>68790</v>
      </c>
      <c r="D47" s="8">
        <v>0</v>
      </c>
      <c r="E47" s="8">
        <v>15730</v>
      </c>
      <c r="F47" s="8">
        <v>9795</v>
      </c>
      <c r="G47" s="8">
        <f>SUM(C47:F47)</f>
        <v>94315</v>
      </c>
      <c r="H47" s="20">
        <f>ROUND(G47/2641,2)</f>
        <v>35.71</v>
      </c>
    </row>
    <row r="48" spans="1:9" x14ac:dyDescent="0.25">
      <c r="A48" s="3" t="s">
        <v>50</v>
      </c>
      <c r="B48" s="3"/>
      <c r="C48" s="8">
        <v>0</v>
      </c>
      <c r="D48" s="8">
        <v>0</v>
      </c>
      <c r="E48" s="8">
        <v>0</v>
      </c>
      <c r="F48" s="8">
        <v>275</v>
      </c>
      <c r="G48" s="8">
        <f>SUM(C48:F48)</f>
        <v>275</v>
      </c>
      <c r="H48" s="20">
        <f>ROUND(G48/2641,2)</f>
        <v>0.1</v>
      </c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 t="s">
        <v>2</v>
      </c>
      <c r="D50" s="3">
        <v>2022</v>
      </c>
      <c r="E50" s="3" t="s">
        <v>51</v>
      </c>
      <c r="F50" s="3"/>
      <c r="G50" s="3"/>
      <c r="H50" s="3"/>
    </row>
    <row r="51" spans="1:8" x14ac:dyDescent="0.25">
      <c r="A51" s="3" t="s">
        <v>52</v>
      </c>
      <c r="B51" s="3"/>
      <c r="C51" s="12">
        <v>0.83509999999999995</v>
      </c>
      <c r="D51" s="12">
        <v>0.81679999999999997</v>
      </c>
      <c r="E51" s="12">
        <v>0.77659999999999996</v>
      </c>
      <c r="F51" s="3"/>
      <c r="G51" s="3"/>
      <c r="H51" s="3"/>
    </row>
    <row r="52" spans="1:8" x14ac:dyDescent="0.25">
      <c r="A52" s="3" t="s">
        <v>53</v>
      </c>
      <c r="B52" s="3"/>
      <c r="C52" s="12">
        <v>0.82369999999999999</v>
      </c>
      <c r="D52" s="12">
        <v>0.80279999999999996</v>
      </c>
      <c r="E52" s="12">
        <v>0.75900000000000001</v>
      </c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 t="s">
        <v>256</v>
      </c>
      <c r="B54" s="3"/>
      <c r="C54" s="3" t="s">
        <v>2</v>
      </c>
      <c r="D54" s="3" t="s">
        <v>244</v>
      </c>
      <c r="E54" s="3" t="s">
        <v>55</v>
      </c>
      <c r="F54" s="3" t="s">
        <v>254</v>
      </c>
      <c r="G54" s="3"/>
      <c r="H54" s="3"/>
    </row>
    <row r="55" spans="1:8" x14ac:dyDescent="0.25">
      <c r="A55" s="3" t="s">
        <v>56</v>
      </c>
      <c r="B55" s="3"/>
      <c r="C55" s="3"/>
      <c r="D55" s="3">
        <v>52.04</v>
      </c>
      <c r="E55" s="3">
        <v>81.5</v>
      </c>
      <c r="F55" s="3">
        <v>50.61</v>
      </c>
      <c r="G55" s="3"/>
      <c r="H55" s="3"/>
    </row>
    <row r="56" spans="1:8" x14ac:dyDescent="0.25">
      <c r="A56" s="3" t="s">
        <v>57</v>
      </c>
      <c r="B56" s="3"/>
      <c r="C56" s="3"/>
      <c r="D56" s="3">
        <v>67.67</v>
      </c>
      <c r="E56" s="3">
        <v>58.24</v>
      </c>
      <c r="F56" s="3">
        <v>57.37</v>
      </c>
      <c r="G56" s="3"/>
      <c r="H56" s="3"/>
    </row>
    <row r="57" spans="1:8" x14ac:dyDescent="0.25">
      <c r="A57" s="3" t="s">
        <v>58</v>
      </c>
      <c r="B57" s="3"/>
      <c r="C57" s="3"/>
      <c r="D57" s="3">
        <v>247.32</v>
      </c>
      <c r="E57" s="3">
        <v>261.52999999999997</v>
      </c>
      <c r="F57" s="3">
        <v>249.57</v>
      </c>
      <c r="G57" s="3"/>
      <c r="H57" s="3"/>
    </row>
    <row r="58" spans="1:8" x14ac:dyDescent="0.25">
      <c r="A58" s="3" t="s">
        <v>59</v>
      </c>
      <c r="B58" s="3"/>
      <c r="C58" s="3"/>
      <c r="D58" s="3">
        <v>74.05</v>
      </c>
      <c r="E58" s="3">
        <v>103.11</v>
      </c>
      <c r="F58" s="3">
        <v>71.400000000000006</v>
      </c>
      <c r="G58" s="3"/>
      <c r="H5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2:I53"/>
  <sheetViews>
    <sheetView topLeftCell="A27" workbookViewId="0">
      <selection activeCell="G50" sqref="G50:G53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7109375" bestFit="1" customWidth="1"/>
    <col min="4" max="4" width="22.85546875" bestFit="1" customWidth="1"/>
    <col min="5" max="5" width="13.85546875" bestFit="1" customWidth="1"/>
    <col min="6" max="6" width="8.140625" bestFit="1" customWidth="1"/>
    <col min="7" max="7" width="15.42578125" bestFit="1" customWidth="1"/>
    <col min="8" max="8" width="15.855468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245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1939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60</v>
      </c>
      <c r="F9" s="10"/>
      <c r="G9" s="10">
        <f t="shared" ref="G9:G37" si="0">SUM(C9:F9)</f>
        <v>60</v>
      </c>
      <c r="H9" s="19">
        <f t="shared" ref="H9:H37" si="1">ROUND(G9/1939,2)</f>
        <v>0.03</v>
      </c>
      <c r="I9" s="4">
        <f t="shared" ref="I9:I37" si="2">ROUND(G9/$G$38,3)</f>
        <v>0</v>
      </c>
    </row>
    <row r="10" spans="1:9" x14ac:dyDescent="0.25">
      <c r="A10" t="s">
        <v>19</v>
      </c>
      <c r="B10" t="s">
        <v>65</v>
      </c>
      <c r="C10" s="10"/>
      <c r="D10" s="10"/>
      <c r="E10" s="10"/>
      <c r="F10" s="10">
        <v>3120</v>
      </c>
      <c r="G10" s="10">
        <f t="shared" si="0"/>
        <v>3120</v>
      </c>
      <c r="H10" s="19">
        <f t="shared" si="1"/>
        <v>1.61</v>
      </c>
      <c r="I10" s="4">
        <f t="shared" si="2"/>
        <v>8.0000000000000002E-3</v>
      </c>
    </row>
    <row r="11" spans="1:9" x14ac:dyDescent="0.25">
      <c r="A11" t="s">
        <v>19</v>
      </c>
      <c r="B11" t="s">
        <v>20</v>
      </c>
      <c r="C11" s="10">
        <v>34220</v>
      </c>
      <c r="D11" s="10"/>
      <c r="E11" s="10"/>
      <c r="F11" s="10"/>
      <c r="G11" s="10">
        <f t="shared" si="0"/>
        <v>34220</v>
      </c>
      <c r="H11" s="19">
        <f t="shared" si="1"/>
        <v>17.649999999999999</v>
      </c>
      <c r="I11" s="4">
        <f t="shared" si="2"/>
        <v>8.5000000000000006E-2</v>
      </c>
    </row>
    <row r="12" spans="1:9" x14ac:dyDescent="0.25">
      <c r="A12" t="s">
        <v>19</v>
      </c>
      <c r="B12" t="s">
        <v>21</v>
      </c>
      <c r="C12" s="10">
        <v>47505</v>
      </c>
      <c r="D12" s="10"/>
      <c r="E12" s="10"/>
      <c r="F12" s="10"/>
      <c r="G12" s="10">
        <f t="shared" si="0"/>
        <v>47505</v>
      </c>
      <c r="H12" s="19">
        <f t="shared" si="1"/>
        <v>24.5</v>
      </c>
      <c r="I12" s="4">
        <f t="shared" si="2"/>
        <v>0.11899999999999999</v>
      </c>
    </row>
    <row r="13" spans="1:9" x14ac:dyDescent="0.25">
      <c r="A13" t="s">
        <v>19</v>
      </c>
      <c r="B13" t="s">
        <v>22</v>
      </c>
      <c r="C13" s="10"/>
      <c r="D13" s="10"/>
      <c r="E13" s="10">
        <v>1000</v>
      </c>
      <c r="F13" s="10"/>
      <c r="G13" s="10">
        <f t="shared" si="0"/>
        <v>1000</v>
      </c>
      <c r="H13" s="19">
        <f t="shared" si="1"/>
        <v>0.52</v>
      </c>
      <c r="I13" s="4">
        <f t="shared" si="2"/>
        <v>2E-3</v>
      </c>
    </row>
    <row r="14" spans="1:9" x14ac:dyDescent="0.25">
      <c r="A14" t="s">
        <v>19</v>
      </c>
      <c r="B14" t="s">
        <v>24</v>
      </c>
      <c r="C14" s="10">
        <v>50900</v>
      </c>
      <c r="D14" s="10"/>
      <c r="E14" s="10"/>
      <c r="F14" s="10"/>
      <c r="G14" s="10">
        <f t="shared" si="0"/>
        <v>50900</v>
      </c>
      <c r="H14" s="19">
        <f t="shared" si="1"/>
        <v>26.25</v>
      </c>
      <c r="I14" s="4">
        <f t="shared" si="2"/>
        <v>0.127</v>
      </c>
    </row>
    <row r="15" spans="1:9" x14ac:dyDescent="0.25">
      <c r="A15" t="s">
        <v>19</v>
      </c>
      <c r="B15" t="s">
        <v>66</v>
      </c>
      <c r="C15" s="10"/>
      <c r="D15" s="10"/>
      <c r="E15" s="10">
        <v>2060</v>
      </c>
      <c r="F15" s="10"/>
      <c r="G15" s="10">
        <f t="shared" si="0"/>
        <v>2060</v>
      </c>
      <c r="H15" s="19">
        <f t="shared" si="1"/>
        <v>1.06</v>
      </c>
      <c r="I15" s="4">
        <f t="shared" si="2"/>
        <v>5.0000000000000001E-3</v>
      </c>
    </row>
    <row r="16" spans="1:9" x14ac:dyDescent="0.25">
      <c r="A16" t="s">
        <v>19</v>
      </c>
      <c r="B16" t="s">
        <v>25</v>
      </c>
      <c r="C16" s="10">
        <v>83140</v>
      </c>
      <c r="D16" s="10"/>
      <c r="E16" s="10"/>
      <c r="F16" s="10"/>
      <c r="G16" s="10">
        <f t="shared" si="0"/>
        <v>83140</v>
      </c>
      <c r="H16" s="19">
        <f t="shared" si="1"/>
        <v>42.88</v>
      </c>
      <c r="I16" s="4">
        <f t="shared" si="2"/>
        <v>0.20699999999999999</v>
      </c>
    </row>
    <row r="17" spans="1:9" x14ac:dyDescent="0.25">
      <c r="A17" t="s">
        <v>19</v>
      </c>
      <c r="B17" t="s">
        <v>26</v>
      </c>
      <c r="C17" s="10"/>
      <c r="D17" s="10"/>
      <c r="E17" s="10">
        <v>239</v>
      </c>
      <c r="F17" s="10"/>
      <c r="G17" s="10">
        <f t="shared" si="0"/>
        <v>239</v>
      </c>
      <c r="H17" s="19">
        <f t="shared" si="1"/>
        <v>0.12</v>
      </c>
      <c r="I17" s="4">
        <f t="shared" si="2"/>
        <v>1E-3</v>
      </c>
    </row>
    <row r="18" spans="1:9" x14ac:dyDescent="0.25">
      <c r="A18" t="s">
        <v>19</v>
      </c>
      <c r="B18" t="s">
        <v>27</v>
      </c>
      <c r="C18" s="10"/>
      <c r="D18" s="10"/>
      <c r="E18" s="10">
        <v>182</v>
      </c>
      <c r="F18" s="10"/>
      <c r="G18" s="10">
        <f t="shared" si="0"/>
        <v>182</v>
      </c>
      <c r="H18" s="19">
        <f t="shared" si="1"/>
        <v>0.09</v>
      </c>
      <c r="I18" s="4">
        <f t="shared" si="2"/>
        <v>0</v>
      </c>
    </row>
    <row r="19" spans="1:9" x14ac:dyDescent="0.25">
      <c r="A19" t="s">
        <v>19</v>
      </c>
      <c r="B19" t="s">
        <v>30</v>
      </c>
      <c r="C19" s="10"/>
      <c r="D19" s="10"/>
      <c r="E19" s="10">
        <v>150</v>
      </c>
      <c r="F19" s="10"/>
      <c r="G19" s="10">
        <f t="shared" si="0"/>
        <v>150</v>
      </c>
      <c r="H19" s="19">
        <f t="shared" si="1"/>
        <v>0.08</v>
      </c>
      <c r="I19" s="4">
        <f t="shared" si="2"/>
        <v>0</v>
      </c>
    </row>
    <row r="20" spans="1:9" x14ac:dyDescent="0.25">
      <c r="A20" t="s">
        <v>19</v>
      </c>
      <c r="B20" t="s">
        <v>32</v>
      </c>
      <c r="C20" s="10"/>
      <c r="D20" s="10"/>
      <c r="E20" s="10">
        <v>155</v>
      </c>
      <c r="F20" s="10"/>
      <c r="G20" s="10">
        <f t="shared" si="0"/>
        <v>155</v>
      </c>
      <c r="H20" s="19">
        <f t="shared" si="1"/>
        <v>0.08</v>
      </c>
      <c r="I20" s="4">
        <f t="shared" si="2"/>
        <v>0</v>
      </c>
    </row>
    <row r="21" spans="1:9" x14ac:dyDescent="0.25">
      <c r="A21" t="s">
        <v>19</v>
      </c>
      <c r="B21" t="s">
        <v>42</v>
      </c>
      <c r="C21" s="10"/>
      <c r="D21" s="10">
        <v>56</v>
      </c>
      <c r="E21" s="10"/>
      <c r="F21" s="10"/>
      <c r="G21" s="10">
        <f t="shared" si="0"/>
        <v>56</v>
      </c>
      <c r="H21" s="19">
        <f t="shared" si="1"/>
        <v>0.03</v>
      </c>
      <c r="I21" s="4">
        <f t="shared" si="2"/>
        <v>0</v>
      </c>
    </row>
    <row r="22" spans="1:9" x14ac:dyDescent="0.25">
      <c r="A22" t="s">
        <v>19</v>
      </c>
      <c r="B22" t="s">
        <v>33</v>
      </c>
      <c r="C22" s="10"/>
      <c r="D22" s="10">
        <v>230</v>
      </c>
      <c r="E22" s="10"/>
      <c r="F22" s="10"/>
      <c r="G22" s="10">
        <f t="shared" si="0"/>
        <v>230</v>
      </c>
      <c r="H22" s="19">
        <f t="shared" si="1"/>
        <v>0.12</v>
      </c>
      <c r="I22" s="4">
        <f t="shared" si="2"/>
        <v>1E-3</v>
      </c>
    </row>
    <row r="23" spans="1:9" x14ac:dyDescent="0.25">
      <c r="A23" t="s">
        <v>19</v>
      </c>
      <c r="B23" t="s">
        <v>34</v>
      </c>
      <c r="C23" s="10"/>
      <c r="D23" s="10"/>
      <c r="E23" s="10">
        <v>3240</v>
      </c>
      <c r="F23" s="10"/>
      <c r="G23" s="10">
        <f t="shared" si="0"/>
        <v>3240</v>
      </c>
      <c r="H23" s="19">
        <f t="shared" si="1"/>
        <v>1.67</v>
      </c>
      <c r="I23" s="4">
        <f t="shared" si="2"/>
        <v>8.0000000000000002E-3</v>
      </c>
    </row>
    <row r="24" spans="1:9" x14ac:dyDescent="0.25">
      <c r="A24" t="s">
        <v>19</v>
      </c>
      <c r="B24" t="s">
        <v>40</v>
      </c>
      <c r="C24" s="10"/>
      <c r="D24" s="10"/>
      <c r="E24" s="10">
        <v>1188</v>
      </c>
      <c r="F24" s="10"/>
      <c r="G24" s="10">
        <f t="shared" si="0"/>
        <v>1188</v>
      </c>
      <c r="H24" s="19">
        <f t="shared" si="1"/>
        <v>0.61</v>
      </c>
      <c r="I24" s="4">
        <f t="shared" si="2"/>
        <v>3.0000000000000001E-3</v>
      </c>
    </row>
    <row r="25" spans="1:9" x14ac:dyDescent="0.25">
      <c r="A25" t="s">
        <v>19</v>
      </c>
      <c r="B25" t="s">
        <v>36</v>
      </c>
      <c r="C25" s="10"/>
      <c r="D25" s="10"/>
      <c r="E25" s="10">
        <v>30450</v>
      </c>
      <c r="F25" s="10"/>
      <c r="G25" s="10">
        <f t="shared" si="0"/>
        <v>30450</v>
      </c>
      <c r="H25" s="19">
        <f t="shared" si="1"/>
        <v>15.7</v>
      </c>
      <c r="I25" s="4">
        <f t="shared" si="2"/>
        <v>7.5999999999999998E-2</v>
      </c>
    </row>
    <row r="26" spans="1:9" x14ac:dyDescent="0.25">
      <c r="A26" t="s">
        <v>19</v>
      </c>
      <c r="B26" t="s">
        <v>37</v>
      </c>
      <c r="C26" s="10"/>
      <c r="D26" s="10"/>
      <c r="E26" s="10">
        <v>4260</v>
      </c>
      <c r="F26" s="10"/>
      <c r="G26" s="10">
        <f t="shared" si="0"/>
        <v>4260</v>
      </c>
      <c r="H26" s="19">
        <f t="shared" si="1"/>
        <v>2.2000000000000002</v>
      </c>
      <c r="I26" s="4">
        <f t="shared" si="2"/>
        <v>1.0999999999999999E-2</v>
      </c>
    </row>
    <row r="27" spans="1:9" x14ac:dyDescent="0.25">
      <c r="A27" t="s">
        <v>19</v>
      </c>
      <c r="B27" t="s">
        <v>38</v>
      </c>
      <c r="C27" s="10"/>
      <c r="D27" s="10"/>
      <c r="E27" s="10">
        <v>11920</v>
      </c>
      <c r="F27" s="10"/>
      <c r="G27" s="10">
        <f t="shared" si="0"/>
        <v>11920</v>
      </c>
      <c r="H27" s="19">
        <f t="shared" si="1"/>
        <v>6.15</v>
      </c>
      <c r="I27" s="4">
        <f t="shared" si="2"/>
        <v>0.03</v>
      </c>
    </row>
    <row r="28" spans="1:9" x14ac:dyDescent="0.25">
      <c r="A28" t="s">
        <v>19</v>
      </c>
      <c r="B28" t="s">
        <v>39</v>
      </c>
      <c r="C28" s="10"/>
      <c r="D28" s="10"/>
      <c r="E28" s="10">
        <v>13600</v>
      </c>
      <c r="F28" s="10"/>
      <c r="G28" s="10">
        <f t="shared" si="0"/>
        <v>13600</v>
      </c>
      <c r="H28" s="19">
        <f t="shared" si="1"/>
        <v>7.01</v>
      </c>
      <c r="I28" s="4">
        <f t="shared" si="2"/>
        <v>3.4000000000000002E-2</v>
      </c>
    </row>
    <row r="29" spans="1:9" x14ac:dyDescent="0.25">
      <c r="A29" t="s">
        <v>19</v>
      </c>
      <c r="B29" t="s">
        <v>67</v>
      </c>
      <c r="C29" s="10"/>
      <c r="D29" s="10"/>
      <c r="E29" s="10"/>
      <c r="F29" s="10"/>
      <c r="G29" s="10">
        <f t="shared" si="0"/>
        <v>0</v>
      </c>
      <c r="H29" s="19">
        <f t="shared" si="1"/>
        <v>0</v>
      </c>
      <c r="I29" s="4">
        <f t="shared" si="2"/>
        <v>0</v>
      </c>
    </row>
    <row r="30" spans="1:9" x14ac:dyDescent="0.25">
      <c r="A30" t="s">
        <v>19</v>
      </c>
      <c r="B30" t="s">
        <v>23</v>
      </c>
      <c r="C30" s="10"/>
      <c r="D30" s="10"/>
      <c r="E30" s="10"/>
      <c r="F30" s="10"/>
      <c r="G30" s="10">
        <f t="shared" si="0"/>
        <v>0</v>
      </c>
      <c r="H30" s="19">
        <f t="shared" si="1"/>
        <v>0</v>
      </c>
      <c r="I30" s="4">
        <f t="shared" si="2"/>
        <v>0</v>
      </c>
    </row>
    <row r="31" spans="1:9" x14ac:dyDescent="0.25">
      <c r="A31" t="s">
        <v>19</v>
      </c>
      <c r="B31" t="s">
        <v>29</v>
      </c>
      <c r="C31" s="10"/>
      <c r="D31" s="10"/>
      <c r="E31" s="10"/>
      <c r="F31" s="10"/>
      <c r="G31" s="10">
        <f t="shared" si="0"/>
        <v>0</v>
      </c>
      <c r="H31" s="19">
        <f t="shared" si="1"/>
        <v>0</v>
      </c>
      <c r="I31" s="4">
        <f t="shared" si="2"/>
        <v>0</v>
      </c>
    </row>
    <row r="32" spans="1:9" x14ac:dyDescent="0.25">
      <c r="A32" t="s">
        <v>19</v>
      </c>
      <c r="B32" t="s">
        <v>31</v>
      </c>
      <c r="C32" s="10"/>
      <c r="D32" s="10"/>
      <c r="E32" s="10"/>
      <c r="F32" s="10"/>
      <c r="G32" s="10">
        <f t="shared" si="0"/>
        <v>0</v>
      </c>
      <c r="H32" s="19">
        <f t="shared" si="1"/>
        <v>0</v>
      </c>
      <c r="I32" s="4">
        <f t="shared" si="2"/>
        <v>0</v>
      </c>
    </row>
    <row r="33" spans="1:9" x14ac:dyDescent="0.25">
      <c r="A33" t="s">
        <v>19</v>
      </c>
      <c r="B33" t="s">
        <v>28</v>
      </c>
      <c r="C33" s="10"/>
      <c r="D33" s="10"/>
      <c r="E33" s="10"/>
      <c r="F33" s="10"/>
      <c r="G33" s="10">
        <f t="shared" si="0"/>
        <v>0</v>
      </c>
      <c r="H33" s="19">
        <f t="shared" si="1"/>
        <v>0</v>
      </c>
      <c r="I33" s="4">
        <f t="shared" si="2"/>
        <v>0</v>
      </c>
    </row>
    <row r="34" spans="1:9" x14ac:dyDescent="0.25">
      <c r="A34" t="s">
        <v>19</v>
      </c>
      <c r="B34" t="s">
        <v>70</v>
      </c>
      <c r="C34" s="10"/>
      <c r="D34" s="10"/>
      <c r="E34" s="10"/>
      <c r="F34" s="10"/>
      <c r="G34" s="10">
        <f t="shared" si="0"/>
        <v>0</v>
      </c>
      <c r="H34" s="19">
        <f t="shared" si="1"/>
        <v>0</v>
      </c>
      <c r="I34" s="4">
        <f t="shared" si="2"/>
        <v>0</v>
      </c>
    </row>
    <row r="35" spans="1:9" x14ac:dyDescent="0.25">
      <c r="A35" t="s">
        <v>43</v>
      </c>
      <c r="B35" t="s">
        <v>44</v>
      </c>
      <c r="C35" s="10">
        <v>74695</v>
      </c>
      <c r="D35" s="10">
        <v>4085</v>
      </c>
      <c r="E35" s="10"/>
      <c r="F35" s="10">
        <v>900</v>
      </c>
      <c r="G35" s="10">
        <f t="shared" si="0"/>
        <v>79680</v>
      </c>
      <c r="H35" s="19">
        <f t="shared" si="1"/>
        <v>41.09</v>
      </c>
      <c r="I35" s="4">
        <f t="shared" si="2"/>
        <v>0.19900000000000001</v>
      </c>
    </row>
    <row r="36" spans="1:9" x14ac:dyDescent="0.25">
      <c r="A36" t="s">
        <v>43</v>
      </c>
      <c r="B36" t="s">
        <v>45</v>
      </c>
      <c r="C36" s="10"/>
      <c r="D36" s="10"/>
      <c r="E36" s="10">
        <v>33420</v>
      </c>
      <c r="F36" s="10"/>
      <c r="G36" s="10">
        <f t="shared" si="0"/>
        <v>33420</v>
      </c>
      <c r="H36" s="19">
        <f t="shared" si="1"/>
        <v>17.239999999999998</v>
      </c>
      <c r="I36" s="4">
        <f t="shared" si="2"/>
        <v>8.3000000000000004E-2</v>
      </c>
    </row>
    <row r="37" spans="1:9" x14ac:dyDescent="0.25">
      <c r="A37" t="s">
        <v>15</v>
      </c>
      <c r="B37" t="s">
        <v>18</v>
      </c>
      <c r="C37" s="10"/>
      <c r="D37" s="10"/>
      <c r="E37" s="10"/>
      <c r="F37" s="10"/>
      <c r="G37" s="10">
        <f t="shared" si="0"/>
        <v>0</v>
      </c>
      <c r="H37" s="19">
        <f t="shared" si="1"/>
        <v>0</v>
      </c>
      <c r="I37" s="4">
        <f t="shared" si="2"/>
        <v>0</v>
      </c>
    </row>
    <row r="38" spans="1:9" x14ac:dyDescent="0.25">
      <c r="A38" s="3" t="s">
        <v>253</v>
      </c>
      <c r="B38" s="3"/>
      <c r="C38" s="8">
        <f t="shared" ref="C38:H38" si="3">SUM(C8:C37)</f>
        <v>290460</v>
      </c>
      <c r="D38" s="8">
        <f t="shared" si="3"/>
        <v>4371</v>
      </c>
      <c r="E38" s="8">
        <f t="shared" si="3"/>
        <v>101924</v>
      </c>
      <c r="F38" s="8">
        <f t="shared" si="3"/>
        <v>4020</v>
      </c>
      <c r="G38" s="8">
        <f t="shared" si="3"/>
        <v>400775</v>
      </c>
      <c r="H38" s="20">
        <f t="shared" si="3"/>
        <v>206.69</v>
      </c>
    </row>
    <row r="39" spans="1:9" x14ac:dyDescent="0.25">
      <c r="A39" s="3" t="s">
        <v>14</v>
      </c>
      <c r="B39" s="3"/>
      <c r="C39" s="12">
        <f>ROUND(C38/G38,2)</f>
        <v>0.72</v>
      </c>
      <c r="D39" s="12">
        <f>ROUND(D38/G38,2)</f>
        <v>0.01</v>
      </c>
      <c r="E39" s="12">
        <f>ROUND(E38/G38,2)</f>
        <v>0.25</v>
      </c>
      <c r="F39" s="12">
        <f>ROUND(F38/G38,2)</f>
        <v>0.01</v>
      </c>
      <c r="G39" s="3"/>
      <c r="H39" s="3"/>
    </row>
    <row r="40" spans="1:9" x14ac:dyDescent="0.25">
      <c r="A40" s="3" t="s">
        <v>47</v>
      </c>
      <c r="B40" s="3"/>
      <c r="C40" s="3"/>
      <c r="D40" s="3"/>
      <c r="E40" s="3"/>
      <c r="F40" s="3"/>
      <c r="G40" s="3"/>
      <c r="H40" s="3"/>
    </row>
    <row r="41" spans="1:9" x14ac:dyDescent="0.25">
      <c r="A41" s="3" t="s">
        <v>48</v>
      </c>
      <c r="B41" s="3"/>
      <c r="C41" s="8">
        <v>215765</v>
      </c>
      <c r="D41" s="8">
        <v>286</v>
      </c>
      <c r="E41" s="8">
        <v>68504</v>
      </c>
      <c r="F41" s="8">
        <v>3120</v>
      </c>
      <c r="G41" s="8">
        <f>SUM(C41:F41)</f>
        <v>287675</v>
      </c>
      <c r="H41" s="20">
        <f>ROUND(G41/1939,2)</f>
        <v>148.36000000000001</v>
      </c>
    </row>
    <row r="42" spans="1:9" x14ac:dyDescent="0.25">
      <c r="A42" s="3" t="s">
        <v>49</v>
      </c>
      <c r="B42" s="3"/>
      <c r="C42" s="8">
        <v>74695</v>
      </c>
      <c r="D42" s="8">
        <v>4085</v>
      </c>
      <c r="E42" s="8">
        <v>33420</v>
      </c>
      <c r="F42" s="8">
        <v>900</v>
      </c>
      <c r="G42" s="8">
        <f>SUM(C42:F42)</f>
        <v>113100</v>
      </c>
      <c r="H42" s="20">
        <f>ROUND(G42/1939,2)</f>
        <v>58.33</v>
      </c>
    </row>
    <row r="43" spans="1:9" x14ac:dyDescent="0.25">
      <c r="A43" s="3" t="s">
        <v>50</v>
      </c>
      <c r="B43" s="3"/>
      <c r="C43" s="8">
        <v>0</v>
      </c>
      <c r="D43" s="8">
        <v>0</v>
      </c>
      <c r="E43" s="8">
        <v>0</v>
      </c>
      <c r="F43" s="8">
        <v>0</v>
      </c>
      <c r="G43" s="8">
        <f>SUM(C43:F43)</f>
        <v>0</v>
      </c>
      <c r="H43" s="20">
        <f>ROUND(G43/1939,2)</f>
        <v>0</v>
      </c>
    </row>
    <row r="44" spans="1:9" x14ac:dyDescent="0.25">
      <c r="A44" s="3"/>
      <c r="B44" s="3"/>
      <c r="C44" s="3"/>
      <c r="D44" s="3"/>
      <c r="E44" s="3"/>
      <c r="F44" s="3"/>
      <c r="G44" s="3"/>
      <c r="H44" s="3"/>
    </row>
    <row r="45" spans="1:9" x14ac:dyDescent="0.25">
      <c r="A45" s="3"/>
      <c r="B45" s="3"/>
      <c r="C45" s="3" t="s">
        <v>2</v>
      </c>
      <c r="D45" s="3">
        <v>2022</v>
      </c>
      <c r="E45" s="3" t="s">
        <v>51</v>
      </c>
      <c r="F45" s="3"/>
      <c r="G45" s="3"/>
      <c r="H45" s="3"/>
    </row>
    <row r="46" spans="1:9" x14ac:dyDescent="0.25">
      <c r="A46" s="3" t="s">
        <v>52</v>
      </c>
      <c r="B46" s="3"/>
      <c r="C46" s="12">
        <v>0.80069999999999997</v>
      </c>
      <c r="D46" s="12">
        <v>0.79949999999999999</v>
      </c>
      <c r="E46" s="12">
        <v>0.77659999999999996</v>
      </c>
      <c r="F46" s="3"/>
      <c r="G46" s="3"/>
      <c r="H46" s="3"/>
    </row>
    <row r="47" spans="1:9" x14ac:dyDescent="0.25">
      <c r="A47" s="3" t="s">
        <v>53</v>
      </c>
      <c r="B47" s="3"/>
      <c r="C47" s="12">
        <v>0.79239999999999999</v>
      </c>
      <c r="D47" s="12">
        <v>0.78900000000000003</v>
      </c>
      <c r="E47" s="12">
        <v>0.75900000000000001</v>
      </c>
      <c r="F47" s="3"/>
      <c r="G47" s="3"/>
      <c r="H47" s="3"/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 t="s">
        <v>256</v>
      </c>
      <c r="B49" s="3"/>
      <c r="C49" s="3" t="s">
        <v>2</v>
      </c>
      <c r="D49" s="3" t="s">
        <v>246</v>
      </c>
      <c r="E49" s="3" t="s">
        <v>55</v>
      </c>
      <c r="F49" s="3" t="s">
        <v>254</v>
      </c>
      <c r="G49" s="3"/>
      <c r="H49" s="3"/>
    </row>
    <row r="50" spans="1:8" x14ac:dyDescent="0.25">
      <c r="A50" s="3" t="s">
        <v>56</v>
      </c>
      <c r="B50" s="3"/>
      <c r="C50" s="3"/>
      <c r="D50" s="3">
        <v>79.239999999999995</v>
      </c>
      <c r="E50" s="3">
        <v>81.5</v>
      </c>
      <c r="F50" s="3">
        <v>50.61</v>
      </c>
      <c r="G50" s="3"/>
      <c r="H50" s="3"/>
    </row>
    <row r="51" spans="1:8" x14ac:dyDescent="0.25">
      <c r="A51" s="3" t="s">
        <v>57</v>
      </c>
      <c r="B51" s="3"/>
      <c r="C51" s="3"/>
      <c r="D51" s="3">
        <v>76.62</v>
      </c>
      <c r="E51" s="3">
        <v>58.24</v>
      </c>
      <c r="F51" s="3">
        <v>57.37</v>
      </c>
      <c r="G51" s="3"/>
      <c r="H51" s="3"/>
    </row>
    <row r="52" spans="1:8" x14ac:dyDescent="0.25">
      <c r="A52" s="3" t="s">
        <v>58</v>
      </c>
      <c r="B52" s="3"/>
      <c r="C52" s="3"/>
      <c r="D52" s="3">
        <v>360.36</v>
      </c>
      <c r="E52" s="3">
        <v>261.52999999999997</v>
      </c>
      <c r="F52" s="3">
        <v>249.57</v>
      </c>
      <c r="G52" s="3"/>
      <c r="H52" s="3"/>
    </row>
    <row r="53" spans="1:8" x14ac:dyDescent="0.25">
      <c r="A53" s="3" t="s">
        <v>59</v>
      </c>
      <c r="B53" s="3"/>
      <c r="C53" s="3"/>
      <c r="D53" s="3">
        <v>109.56</v>
      </c>
      <c r="E53" s="3">
        <v>103.11</v>
      </c>
      <c r="F53" s="3">
        <v>71.400000000000006</v>
      </c>
      <c r="G53" s="3"/>
      <c r="H53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2:I49"/>
  <sheetViews>
    <sheetView topLeftCell="A18" workbookViewId="0">
      <selection activeCell="G46" sqref="G46:G49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3.855468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247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849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14890</v>
      </c>
      <c r="D9" s="10"/>
      <c r="E9" s="10">
        <v>1578.71</v>
      </c>
      <c r="F9" s="10"/>
      <c r="G9" s="10">
        <f t="shared" ref="G9:G33" si="0">SUM(C9:F9)</f>
        <v>16468.71</v>
      </c>
      <c r="H9" s="19">
        <f t="shared" ref="H9:H33" si="1">ROUND(G9/849,2)</f>
        <v>19.399999999999999</v>
      </c>
      <c r="I9" s="18">
        <f t="shared" ref="I9:I33" si="2">ROUND(G9/$G$34,3)</f>
        <v>0.11</v>
      </c>
    </row>
    <row r="10" spans="1:9" x14ac:dyDescent="0.25">
      <c r="A10" t="s">
        <v>19</v>
      </c>
      <c r="B10" t="s">
        <v>21</v>
      </c>
      <c r="C10" s="10">
        <v>18865</v>
      </c>
      <c r="D10" s="10"/>
      <c r="E10" s="10"/>
      <c r="F10" s="10"/>
      <c r="G10" s="10">
        <f t="shared" si="0"/>
        <v>18865</v>
      </c>
      <c r="H10" s="19">
        <f t="shared" si="1"/>
        <v>22.22</v>
      </c>
      <c r="I10" s="18">
        <f t="shared" si="2"/>
        <v>0.126</v>
      </c>
    </row>
    <row r="11" spans="1:9" x14ac:dyDescent="0.25">
      <c r="A11" t="s">
        <v>19</v>
      </c>
      <c r="B11" t="s">
        <v>41</v>
      </c>
      <c r="C11" s="10"/>
      <c r="D11" s="10"/>
      <c r="E11" s="10">
        <v>25.96</v>
      </c>
      <c r="F11" s="10"/>
      <c r="G11" s="10">
        <f t="shared" si="0"/>
        <v>25.96</v>
      </c>
      <c r="H11" s="19">
        <f t="shared" si="1"/>
        <v>0.03</v>
      </c>
      <c r="I11" s="18">
        <f t="shared" si="2"/>
        <v>0</v>
      </c>
    </row>
    <row r="12" spans="1:9" x14ac:dyDescent="0.25">
      <c r="A12" t="s">
        <v>19</v>
      </c>
      <c r="B12" t="s">
        <v>22</v>
      </c>
      <c r="C12" s="10"/>
      <c r="D12" s="10"/>
      <c r="E12" s="10">
        <v>312.5</v>
      </c>
      <c r="F12" s="10"/>
      <c r="G12" s="10">
        <f t="shared" si="0"/>
        <v>312.5</v>
      </c>
      <c r="H12" s="19">
        <f t="shared" si="1"/>
        <v>0.37</v>
      </c>
      <c r="I12" s="18">
        <f t="shared" si="2"/>
        <v>2E-3</v>
      </c>
    </row>
    <row r="13" spans="1:9" x14ac:dyDescent="0.25">
      <c r="A13" t="s">
        <v>19</v>
      </c>
      <c r="B13" t="s">
        <v>23</v>
      </c>
      <c r="C13" s="10"/>
      <c r="D13" s="10"/>
      <c r="E13" s="10">
        <v>10047.450000000001</v>
      </c>
      <c r="F13" s="10"/>
      <c r="G13" s="10">
        <f t="shared" si="0"/>
        <v>10047.450000000001</v>
      </c>
      <c r="H13" s="19">
        <f t="shared" si="1"/>
        <v>11.83</v>
      </c>
      <c r="I13" s="18">
        <f t="shared" si="2"/>
        <v>6.7000000000000004E-2</v>
      </c>
    </row>
    <row r="14" spans="1:9" x14ac:dyDescent="0.25">
      <c r="A14" t="s">
        <v>19</v>
      </c>
      <c r="B14" t="s">
        <v>24</v>
      </c>
      <c r="C14" s="10">
        <v>13790</v>
      </c>
      <c r="D14" s="10"/>
      <c r="E14" s="10">
        <v>2879.57</v>
      </c>
      <c r="F14" s="10"/>
      <c r="G14" s="10">
        <f t="shared" si="0"/>
        <v>16669.57</v>
      </c>
      <c r="H14" s="19">
        <f t="shared" si="1"/>
        <v>19.63</v>
      </c>
      <c r="I14" s="18">
        <f t="shared" si="2"/>
        <v>0.112</v>
      </c>
    </row>
    <row r="15" spans="1:9" x14ac:dyDescent="0.25">
      <c r="A15" t="s">
        <v>19</v>
      </c>
      <c r="B15" t="s">
        <v>25</v>
      </c>
      <c r="C15" s="10">
        <v>19040</v>
      </c>
      <c r="D15" s="10"/>
      <c r="E15" s="10"/>
      <c r="F15" s="10"/>
      <c r="G15" s="10">
        <f t="shared" si="0"/>
        <v>19040</v>
      </c>
      <c r="H15" s="19">
        <f t="shared" si="1"/>
        <v>22.43</v>
      </c>
      <c r="I15" s="18">
        <f t="shared" si="2"/>
        <v>0.128</v>
      </c>
    </row>
    <row r="16" spans="1:9" x14ac:dyDescent="0.25">
      <c r="A16" t="s">
        <v>19</v>
      </c>
      <c r="B16" t="s">
        <v>28</v>
      </c>
      <c r="C16" s="10"/>
      <c r="D16" s="10"/>
      <c r="E16" s="10">
        <v>22.79</v>
      </c>
      <c r="F16" s="10"/>
      <c r="G16" s="10">
        <f t="shared" si="0"/>
        <v>22.79</v>
      </c>
      <c r="H16" s="19">
        <f t="shared" si="1"/>
        <v>0.03</v>
      </c>
      <c r="I16" s="18">
        <f t="shared" si="2"/>
        <v>0</v>
      </c>
    </row>
    <row r="17" spans="1:9" x14ac:dyDescent="0.25">
      <c r="A17" t="s">
        <v>19</v>
      </c>
      <c r="B17" t="s">
        <v>29</v>
      </c>
      <c r="C17" s="10"/>
      <c r="D17" s="10"/>
      <c r="E17" s="10">
        <v>859.52</v>
      </c>
      <c r="F17" s="10"/>
      <c r="G17" s="10">
        <f t="shared" si="0"/>
        <v>859.52</v>
      </c>
      <c r="H17" s="19">
        <f t="shared" si="1"/>
        <v>1.01</v>
      </c>
      <c r="I17" s="18">
        <f t="shared" si="2"/>
        <v>6.0000000000000001E-3</v>
      </c>
    </row>
    <row r="18" spans="1:9" x14ac:dyDescent="0.25">
      <c r="A18" t="s">
        <v>19</v>
      </c>
      <c r="B18" t="s">
        <v>30</v>
      </c>
      <c r="C18" s="10"/>
      <c r="D18" s="10"/>
      <c r="E18" s="10">
        <v>192.07</v>
      </c>
      <c r="F18" s="10"/>
      <c r="G18" s="10">
        <f t="shared" si="0"/>
        <v>192.07</v>
      </c>
      <c r="H18" s="19">
        <f t="shared" si="1"/>
        <v>0.23</v>
      </c>
      <c r="I18" s="18">
        <f t="shared" si="2"/>
        <v>1E-3</v>
      </c>
    </row>
    <row r="19" spans="1:9" x14ac:dyDescent="0.25">
      <c r="A19" t="s">
        <v>19</v>
      </c>
      <c r="B19" t="s">
        <v>31</v>
      </c>
      <c r="C19" s="10"/>
      <c r="D19" s="10"/>
      <c r="E19" s="10">
        <v>27.47</v>
      </c>
      <c r="F19" s="10"/>
      <c r="G19" s="10">
        <f t="shared" si="0"/>
        <v>27.47</v>
      </c>
      <c r="H19" s="19">
        <f t="shared" si="1"/>
        <v>0.03</v>
      </c>
      <c r="I19" s="18">
        <f t="shared" si="2"/>
        <v>0</v>
      </c>
    </row>
    <row r="20" spans="1:9" x14ac:dyDescent="0.25">
      <c r="A20" t="s">
        <v>19</v>
      </c>
      <c r="B20" t="s">
        <v>32</v>
      </c>
      <c r="C20" s="10"/>
      <c r="D20" s="10"/>
      <c r="E20" s="10">
        <v>159.37</v>
      </c>
      <c r="F20" s="10"/>
      <c r="G20" s="10">
        <f t="shared" si="0"/>
        <v>159.37</v>
      </c>
      <c r="H20" s="19">
        <f t="shared" si="1"/>
        <v>0.19</v>
      </c>
      <c r="I20" s="18">
        <f t="shared" si="2"/>
        <v>1E-3</v>
      </c>
    </row>
    <row r="21" spans="1:9" x14ac:dyDescent="0.25">
      <c r="A21" t="s">
        <v>19</v>
      </c>
      <c r="B21" t="s">
        <v>33</v>
      </c>
      <c r="C21" s="10"/>
      <c r="D21" s="10"/>
      <c r="E21" s="10">
        <v>41.33</v>
      </c>
      <c r="F21" s="10"/>
      <c r="G21" s="10">
        <f t="shared" si="0"/>
        <v>41.33</v>
      </c>
      <c r="H21" s="19">
        <f t="shared" si="1"/>
        <v>0.05</v>
      </c>
      <c r="I21" s="18">
        <f t="shared" si="2"/>
        <v>0</v>
      </c>
    </row>
    <row r="22" spans="1:9" x14ac:dyDescent="0.25">
      <c r="A22" t="s">
        <v>19</v>
      </c>
      <c r="B22" t="s">
        <v>34</v>
      </c>
      <c r="C22" s="10"/>
      <c r="D22" s="10"/>
      <c r="E22" s="10">
        <v>178.68</v>
      </c>
      <c r="F22" s="10"/>
      <c r="G22" s="10">
        <f t="shared" si="0"/>
        <v>178.68</v>
      </c>
      <c r="H22" s="19">
        <f t="shared" si="1"/>
        <v>0.21</v>
      </c>
      <c r="I22" s="18">
        <f t="shared" si="2"/>
        <v>1E-3</v>
      </c>
    </row>
    <row r="23" spans="1:9" x14ac:dyDescent="0.25">
      <c r="A23" t="s">
        <v>19</v>
      </c>
      <c r="B23" t="s">
        <v>35</v>
      </c>
      <c r="C23" s="10"/>
      <c r="D23" s="10"/>
      <c r="E23" s="10">
        <v>1204.68</v>
      </c>
      <c r="F23" s="10"/>
      <c r="G23" s="10">
        <f t="shared" si="0"/>
        <v>1204.68</v>
      </c>
      <c r="H23" s="19">
        <f t="shared" si="1"/>
        <v>1.42</v>
      </c>
      <c r="I23" s="18">
        <f t="shared" si="2"/>
        <v>8.0000000000000002E-3</v>
      </c>
    </row>
    <row r="24" spans="1:9" x14ac:dyDescent="0.25">
      <c r="A24" t="s">
        <v>19</v>
      </c>
      <c r="B24" t="s">
        <v>36</v>
      </c>
      <c r="C24" s="10"/>
      <c r="D24" s="10"/>
      <c r="E24" s="10">
        <v>9793.4</v>
      </c>
      <c r="F24" s="10"/>
      <c r="G24" s="10">
        <f t="shared" si="0"/>
        <v>9793.4</v>
      </c>
      <c r="H24" s="19">
        <f t="shared" si="1"/>
        <v>11.54</v>
      </c>
      <c r="I24" s="18">
        <f t="shared" si="2"/>
        <v>6.6000000000000003E-2</v>
      </c>
    </row>
    <row r="25" spans="1:9" x14ac:dyDescent="0.25">
      <c r="A25" t="s">
        <v>19</v>
      </c>
      <c r="B25" t="s">
        <v>37</v>
      </c>
      <c r="C25" s="10"/>
      <c r="D25" s="10"/>
      <c r="E25" s="10">
        <v>1159.17</v>
      </c>
      <c r="F25" s="10"/>
      <c r="G25" s="10">
        <f t="shared" si="0"/>
        <v>1159.17</v>
      </c>
      <c r="H25" s="19">
        <f t="shared" si="1"/>
        <v>1.37</v>
      </c>
      <c r="I25" s="18">
        <f t="shared" si="2"/>
        <v>8.0000000000000002E-3</v>
      </c>
    </row>
    <row r="26" spans="1:9" x14ac:dyDescent="0.25">
      <c r="A26" t="s">
        <v>19</v>
      </c>
      <c r="B26" t="s">
        <v>38</v>
      </c>
      <c r="C26" s="10"/>
      <c r="D26" s="10"/>
      <c r="E26" s="10">
        <v>5100.66</v>
      </c>
      <c r="F26" s="10"/>
      <c r="G26" s="10">
        <f t="shared" si="0"/>
        <v>5100.66</v>
      </c>
      <c r="H26" s="19">
        <f t="shared" si="1"/>
        <v>6.01</v>
      </c>
      <c r="I26" s="18">
        <f t="shared" si="2"/>
        <v>3.4000000000000002E-2</v>
      </c>
    </row>
    <row r="27" spans="1:9" x14ac:dyDescent="0.25">
      <c r="A27" t="s">
        <v>19</v>
      </c>
      <c r="B27" t="s">
        <v>39</v>
      </c>
      <c r="C27" s="10"/>
      <c r="D27" s="10"/>
      <c r="E27" s="10">
        <v>3112.9</v>
      </c>
      <c r="F27" s="10"/>
      <c r="G27" s="10">
        <f t="shared" si="0"/>
        <v>3112.9</v>
      </c>
      <c r="H27" s="19">
        <f t="shared" si="1"/>
        <v>3.67</v>
      </c>
      <c r="I27" s="18">
        <f t="shared" si="2"/>
        <v>2.1000000000000001E-2</v>
      </c>
    </row>
    <row r="28" spans="1:9" x14ac:dyDescent="0.25">
      <c r="A28" t="s">
        <v>19</v>
      </c>
      <c r="B28" t="s">
        <v>42</v>
      </c>
      <c r="C28" s="10"/>
      <c r="D28" s="10"/>
      <c r="E28" s="10"/>
      <c r="F28" s="10"/>
      <c r="G28" s="10">
        <f t="shared" si="0"/>
        <v>0</v>
      </c>
      <c r="H28" s="19">
        <f t="shared" si="1"/>
        <v>0</v>
      </c>
      <c r="I28" s="18">
        <f t="shared" si="2"/>
        <v>0</v>
      </c>
    </row>
    <row r="29" spans="1:9" x14ac:dyDescent="0.25">
      <c r="A29" t="s">
        <v>43</v>
      </c>
      <c r="B29" t="s">
        <v>44</v>
      </c>
      <c r="C29" s="10">
        <v>36790</v>
      </c>
      <c r="D29" s="10"/>
      <c r="E29" s="10"/>
      <c r="F29" s="10"/>
      <c r="G29" s="10">
        <f t="shared" si="0"/>
        <v>36790</v>
      </c>
      <c r="H29" s="19">
        <f t="shared" si="1"/>
        <v>43.33</v>
      </c>
      <c r="I29" s="18">
        <f t="shared" si="2"/>
        <v>0.247</v>
      </c>
    </row>
    <row r="30" spans="1:9" x14ac:dyDescent="0.25">
      <c r="A30" t="s">
        <v>43</v>
      </c>
      <c r="B30" t="s">
        <v>45</v>
      </c>
      <c r="C30" s="10"/>
      <c r="D30" s="10"/>
      <c r="E30" s="10">
        <v>9159.01</v>
      </c>
      <c r="F30" s="10"/>
      <c r="G30" s="10">
        <f t="shared" si="0"/>
        <v>9159.01</v>
      </c>
      <c r="H30" s="19">
        <f t="shared" si="1"/>
        <v>10.79</v>
      </c>
      <c r="I30" s="18">
        <f t="shared" si="2"/>
        <v>6.0999999999999999E-2</v>
      </c>
    </row>
    <row r="31" spans="1:9" x14ac:dyDescent="0.25">
      <c r="A31" t="s">
        <v>43</v>
      </c>
      <c r="B31" t="s">
        <v>46</v>
      </c>
      <c r="C31" s="10"/>
      <c r="D31" s="10"/>
      <c r="E31" s="10"/>
      <c r="F31" s="10"/>
      <c r="G31" s="10">
        <f t="shared" si="0"/>
        <v>0</v>
      </c>
      <c r="H31" s="19">
        <f t="shared" si="1"/>
        <v>0</v>
      </c>
      <c r="I31" s="18">
        <f t="shared" si="2"/>
        <v>0</v>
      </c>
    </row>
    <row r="32" spans="1:9" x14ac:dyDescent="0.25">
      <c r="A32" t="s">
        <v>15</v>
      </c>
      <c r="B32" t="s">
        <v>63</v>
      </c>
      <c r="C32" s="10"/>
      <c r="D32" s="10"/>
      <c r="E32" s="10"/>
      <c r="F32" s="10"/>
      <c r="G32" s="10">
        <f t="shared" si="0"/>
        <v>0</v>
      </c>
      <c r="H32" s="19">
        <f t="shared" si="1"/>
        <v>0</v>
      </c>
      <c r="I32" s="18">
        <f t="shared" si="2"/>
        <v>0</v>
      </c>
    </row>
    <row r="33" spans="1:9" x14ac:dyDescent="0.25">
      <c r="A33" t="s">
        <v>15</v>
      </c>
      <c r="B33" t="s">
        <v>18</v>
      </c>
      <c r="C33" s="10"/>
      <c r="D33" s="10"/>
      <c r="E33" s="10"/>
      <c r="F33" s="10"/>
      <c r="G33" s="10">
        <f t="shared" si="0"/>
        <v>0</v>
      </c>
      <c r="H33" s="19">
        <f t="shared" si="1"/>
        <v>0</v>
      </c>
      <c r="I33" s="18">
        <f t="shared" si="2"/>
        <v>0</v>
      </c>
    </row>
    <row r="34" spans="1:9" x14ac:dyDescent="0.25">
      <c r="A34" s="3" t="s">
        <v>253</v>
      </c>
      <c r="B34" s="3"/>
      <c r="C34" s="8">
        <f t="shared" ref="C34:H34" si="3">SUM(C8:C33)</f>
        <v>103375</v>
      </c>
      <c r="D34" s="8">
        <f t="shared" si="3"/>
        <v>0</v>
      </c>
      <c r="E34" s="8">
        <f t="shared" si="3"/>
        <v>45855.240000000005</v>
      </c>
      <c r="F34" s="8">
        <f t="shared" si="3"/>
        <v>0</v>
      </c>
      <c r="G34" s="8">
        <f t="shared" si="3"/>
        <v>149230.24</v>
      </c>
      <c r="H34" s="20">
        <f t="shared" si="3"/>
        <v>175.79</v>
      </c>
    </row>
    <row r="35" spans="1:9" x14ac:dyDescent="0.25">
      <c r="A35" s="3" t="s">
        <v>14</v>
      </c>
      <c r="B35" s="3"/>
      <c r="C35" s="12">
        <f>ROUND(C34/G34,2)</f>
        <v>0.69</v>
      </c>
      <c r="D35" s="12">
        <f>ROUND(D34/G34,2)</f>
        <v>0</v>
      </c>
      <c r="E35" s="12">
        <f>ROUND(E34/G34,2)</f>
        <v>0.31</v>
      </c>
      <c r="F35" s="12">
        <f>ROUND(F34/G34,2)</f>
        <v>0</v>
      </c>
      <c r="G35" s="7"/>
      <c r="H35" s="7"/>
    </row>
    <row r="36" spans="1:9" x14ac:dyDescent="0.25">
      <c r="A36" s="3" t="s">
        <v>47</v>
      </c>
      <c r="B36" s="3"/>
      <c r="C36" s="3"/>
      <c r="D36" s="3"/>
      <c r="E36" s="3"/>
      <c r="F36" s="3"/>
      <c r="G36" s="3"/>
      <c r="H36" s="3"/>
    </row>
    <row r="37" spans="1:9" x14ac:dyDescent="0.25">
      <c r="A37" s="3" t="s">
        <v>48</v>
      </c>
      <c r="B37" s="3"/>
      <c r="C37" s="8">
        <v>66585</v>
      </c>
      <c r="D37" s="8">
        <v>0</v>
      </c>
      <c r="E37" s="8">
        <v>36696.230000000003</v>
      </c>
      <c r="F37" s="8">
        <v>0</v>
      </c>
      <c r="G37" s="8">
        <f>SUM(C37:F37)</f>
        <v>103281.23000000001</v>
      </c>
      <c r="H37" s="20">
        <f>ROUND(G37/849,2)</f>
        <v>121.65</v>
      </c>
    </row>
    <row r="38" spans="1:9" x14ac:dyDescent="0.25">
      <c r="A38" s="3" t="s">
        <v>49</v>
      </c>
      <c r="B38" s="3"/>
      <c r="C38" s="8">
        <v>36790</v>
      </c>
      <c r="D38" s="8">
        <v>0</v>
      </c>
      <c r="E38" s="8">
        <v>9159.01</v>
      </c>
      <c r="F38" s="8">
        <v>0</v>
      </c>
      <c r="G38" s="8">
        <f>SUM(C38:F38)</f>
        <v>45949.01</v>
      </c>
      <c r="H38" s="20">
        <f>ROUND(G38/849,2)</f>
        <v>54.12</v>
      </c>
    </row>
    <row r="39" spans="1:9" x14ac:dyDescent="0.25">
      <c r="A39" s="3" t="s">
        <v>50</v>
      </c>
      <c r="B39" s="3"/>
      <c r="C39" s="8">
        <v>0</v>
      </c>
      <c r="D39" s="8">
        <v>0</v>
      </c>
      <c r="E39" s="8">
        <v>0</v>
      </c>
      <c r="F39" s="8">
        <v>0</v>
      </c>
      <c r="G39" s="8">
        <f>SUM(C39:F39)</f>
        <v>0</v>
      </c>
      <c r="H39" s="20">
        <f>ROUND(G39/849,2)</f>
        <v>0</v>
      </c>
    </row>
    <row r="40" spans="1:9" x14ac:dyDescent="0.25">
      <c r="A40" s="3"/>
      <c r="B40" s="3"/>
      <c r="C40" s="3"/>
      <c r="D40" s="3"/>
      <c r="E40" s="3"/>
      <c r="F40" s="3"/>
      <c r="G40" s="3"/>
      <c r="H40" s="3"/>
    </row>
    <row r="41" spans="1:9" x14ac:dyDescent="0.25">
      <c r="A41" s="3"/>
      <c r="B41" s="3"/>
      <c r="C41" s="3" t="s">
        <v>2</v>
      </c>
      <c r="D41" s="3">
        <v>2022</v>
      </c>
      <c r="E41" s="3" t="s">
        <v>51</v>
      </c>
      <c r="F41" s="3"/>
      <c r="G41" s="3"/>
      <c r="H41" s="3"/>
    </row>
    <row r="42" spans="1:9" x14ac:dyDescent="0.25">
      <c r="A42" s="3" t="s">
        <v>52</v>
      </c>
      <c r="B42" s="3"/>
      <c r="C42" s="12">
        <v>0.73509999999999998</v>
      </c>
      <c r="D42" s="12">
        <v>0.72840000000000005</v>
      </c>
      <c r="E42" s="12">
        <v>0.77659999999999996</v>
      </c>
      <c r="F42" s="3"/>
      <c r="G42" s="3"/>
      <c r="H42" s="3"/>
    </row>
    <row r="43" spans="1:9" x14ac:dyDescent="0.25">
      <c r="A43" s="3" t="s">
        <v>53</v>
      </c>
      <c r="B43" s="3"/>
      <c r="C43" s="12">
        <v>0.73509999999999998</v>
      </c>
      <c r="D43" s="12">
        <v>0.68659999999999999</v>
      </c>
      <c r="E43" s="12">
        <v>0.75900000000000001</v>
      </c>
      <c r="F43" s="3"/>
      <c r="G43" s="3"/>
      <c r="H43" s="3"/>
    </row>
    <row r="44" spans="1:9" x14ac:dyDescent="0.25">
      <c r="A44" s="3"/>
      <c r="B44" s="3"/>
      <c r="C44" s="3"/>
      <c r="D44" s="3"/>
      <c r="E44" s="3"/>
      <c r="F44" s="3"/>
      <c r="G44" s="3"/>
      <c r="H44" s="3"/>
    </row>
    <row r="45" spans="1:9" x14ac:dyDescent="0.25">
      <c r="A45" s="3" t="s">
        <v>256</v>
      </c>
      <c r="B45" s="3"/>
      <c r="C45" s="3" t="s">
        <v>2</v>
      </c>
      <c r="D45" s="3" t="s">
        <v>248</v>
      </c>
      <c r="E45" s="3" t="s">
        <v>55</v>
      </c>
      <c r="F45" s="3" t="s">
        <v>254</v>
      </c>
      <c r="G45" s="3"/>
      <c r="H45" s="3"/>
    </row>
    <row r="46" spans="1:9" x14ac:dyDescent="0.25">
      <c r="A46" s="3" t="s">
        <v>56</v>
      </c>
      <c r="B46" s="3"/>
      <c r="C46" s="3"/>
      <c r="D46" s="3">
        <v>75.95</v>
      </c>
      <c r="E46" s="3">
        <v>81.5</v>
      </c>
      <c r="F46" s="3">
        <v>50.61</v>
      </c>
      <c r="G46" s="3"/>
      <c r="H46" s="3"/>
    </row>
    <row r="47" spans="1:9" x14ac:dyDescent="0.25">
      <c r="A47" s="3" t="s">
        <v>57</v>
      </c>
      <c r="B47" s="3"/>
      <c r="C47" s="3"/>
      <c r="D47" s="3">
        <v>39.5</v>
      </c>
      <c r="E47" s="3">
        <v>58.24</v>
      </c>
      <c r="F47" s="3">
        <v>57.37</v>
      </c>
      <c r="G47" s="3"/>
      <c r="H47" s="3"/>
    </row>
    <row r="48" spans="1:9" x14ac:dyDescent="0.25">
      <c r="A48" s="3" t="s">
        <v>58</v>
      </c>
      <c r="B48" s="3"/>
      <c r="C48" s="3"/>
      <c r="D48" s="3">
        <v>228.75</v>
      </c>
      <c r="E48" s="3">
        <v>261.52999999999997</v>
      </c>
      <c r="F48" s="3">
        <v>249.57</v>
      </c>
      <c r="G48" s="3"/>
      <c r="H48" s="3"/>
    </row>
    <row r="49" spans="1:8" x14ac:dyDescent="0.25">
      <c r="A49" s="3" t="s">
        <v>59</v>
      </c>
      <c r="B49" s="3"/>
      <c r="C49" s="3"/>
      <c r="D49" s="3">
        <v>95.64</v>
      </c>
      <c r="E49" s="3">
        <v>103.11</v>
      </c>
      <c r="F49" s="3">
        <v>71.400000000000006</v>
      </c>
      <c r="G49" s="3"/>
      <c r="H4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5"/>
  <sheetViews>
    <sheetView topLeftCell="A33" workbookViewId="0">
      <selection activeCell="G52" sqref="G52:G55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3.285156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83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705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25</v>
      </c>
      <c r="F9" s="10"/>
      <c r="G9" s="10">
        <f t="shared" ref="G9:G39" si="0">SUM(C9:F9)</f>
        <v>25</v>
      </c>
      <c r="H9">
        <f t="shared" ref="H9:H39" si="1">ROUND(G9/705,2)</f>
        <v>0.04</v>
      </c>
      <c r="I9" s="14">
        <f t="shared" ref="I9:I39" si="2">ROUND(G9/$G$40,3)</f>
        <v>0</v>
      </c>
    </row>
    <row r="10" spans="1:9" x14ac:dyDescent="0.25">
      <c r="A10" t="s">
        <v>19</v>
      </c>
      <c r="B10" t="s">
        <v>20</v>
      </c>
      <c r="C10" s="10">
        <v>11520</v>
      </c>
      <c r="D10" s="10"/>
      <c r="E10" s="10"/>
      <c r="F10" s="10"/>
      <c r="G10" s="10">
        <f t="shared" si="0"/>
        <v>11520</v>
      </c>
      <c r="H10">
        <f t="shared" si="1"/>
        <v>16.34</v>
      </c>
      <c r="I10" s="14">
        <f t="shared" si="2"/>
        <v>8.7999999999999995E-2</v>
      </c>
    </row>
    <row r="11" spans="1:9" x14ac:dyDescent="0.25">
      <c r="A11" t="s">
        <v>19</v>
      </c>
      <c r="B11" t="s">
        <v>21</v>
      </c>
      <c r="C11" s="10">
        <v>16155</v>
      </c>
      <c r="D11" s="10"/>
      <c r="E11" s="10"/>
      <c r="F11" s="10"/>
      <c r="G11" s="10">
        <f t="shared" si="0"/>
        <v>16155</v>
      </c>
      <c r="H11">
        <f t="shared" si="1"/>
        <v>22.91</v>
      </c>
      <c r="I11" s="14">
        <f t="shared" si="2"/>
        <v>0.123</v>
      </c>
    </row>
    <row r="12" spans="1:9" x14ac:dyDescent="0.25">
      <c r="A12" t="s">
        <v>19</v>
      </c>
      <c r="B12" t="s">
        <v>76</v>
      </c>
      <c r="C12" s="10"/>
      <c r="D12" s="10"/>
      <c r="E12" s="10">
        <v>22</v>
      </c>
      <c r="F12" s="10"/>
      <c r="G12" s="10">
        <f t="shared" si="0"/>
        <v>22</v>
      </c>
      <c r="H12">
        <f t="shared" si="1"/>
        <v>0.03</v>
      </c>
      <c r="I12" s="14">
        <f t="shared" si="2"/>
        <v>0</v>
      </c>
    </row>
    <row r="13" spans="1:9" x14ac:dyDescent="0.25">
      <c r="A13" t="s">
        <v>19</v>
      </c>
      <c r="B13" t="s">
        <v>22</v>
      </c>
      <c r="C13" s="10"/>
      <c r="D13" s="10"/>
      <c r="E13" s="10">
        <v>1000</v>
      </c>
      <c r="F13" s="10"/>
      <c r="G13" s="10">
        <f t="shared" si="0"/>
        <v>1000</v>
      </c>
      <c r="H13">
        <f t="shared" si="1"/>
        <v>1.42</v>
      </c>
      <c r="I13" s="14">
        <f t="shared" si="2"/>
        <v>8.0000000000000002E-3</v>
      </c>
    </row>
    <row r="14" spans="1:9" x14ac:dyDescent="0.25">
      <c r="A14" t="s">
        <v>19</v>
      </c>
      <c r="B14" t="s">
        <v>23</v>
      </c>
      <c r="C14" s="10"/>
      <c r="D14" s="10"/>
      <c r="E14" s="10">
        <v>21620</v>
      </c>
      <c r="F14" s="10"/>
      <c r="G14" s="10">
        <f t="shared" si="0"/>
        <v>21620</v>
      </c>
      <c r="H14">
        <f t="shared" si="1"/>
        <v>30.67</v>
      </c>
      <c r="I14" s="14">
        <f t="shared" si="2"/>
        <v>0.16400000000000001</v>
      </c>
    </row>
    <row r="15" spans="1:9" x14ac:dyDescent="0.25">
      <c r="A15" t="s">
        <v>19</v>
      </c>
      <c r="B15" t="s">
        <v>24</v>
      </c>
      <c r="C15" s="10">
        <v>15040</v>
      </c>
      <c r="D15" s="10"/>
      <c r="E15" s="10"/>
      <c r="F15" s="10"/>
      <c r="G15" s="10">
        <f t="shared" si="0"/>
        <v>15040</v>
      </c>
      <c r="H15">
        <f t="shared" si="1"/>
        <v>21.33</v>
      </c>
      <c r="I15" s="14">
        <f t="shared" si="2"/>
        <v>0.114</v>
      </c>
    </row>
    <row r="16" spans="1:9" x14ac:dyDescent="0.25">
      <c r="A16" t="s">
        <v>19</v>
      </c>
      <c r="B16" t="s">
        <v>25</v>
      </c>
      <c r="C16" s="10">
        <v>18890</v>
      </c>
      <c r="D16" s="10"/>
      <c r="E16" s="10"/>
      <c r="F16" s="10">
        <v>240</v>
      </c>
      <c r="G16" s="10">
        <f t="shared" si="0"/>
        <v>19130</v>
      </c>
      <c r="H16">
        <f t="shared" si="1"/>
        <v>27.13</v>
      </c>
      <c r="I16" s="14">
        <f t="shared" si="2"/>
        <v>0.14599999999999999</v>
      </c>
    </row>
    <row r="17" spans="1:9" x14ac:dyDescent="0.25">
      <c r="A17" t="s">
        <v>19</v>
      </c>
      <c r="B17" t="s">
        <v>28</v>
      </c>
      <c r="C17" s="10"/>
      <c r="D17" s="10"/>
      <c r="E17" s="10">
        <v>29</v>
      </c>
      <c r="F17" s="10"/>
      <c r="G17" s="10">
        <f t="shared" si="0"/>
        <v>29</v>
      </c>
      <c r="H17">
        <f t="shared" si="1"/>
        <v>0.04</v>
      </c>
      <c r="I17" s="14">
        <f t="shared" si="2"/>
        <v>0</v>
      </c>
    </row>
    <row r="18" spans="1:9" x14ac:dyDescent="0.25">
      <c r="A18" t="s">
        <v>19</v>
      </c>
      <c r="B18" t="s">
        <v>30</v>
      </c>
      <c r="C18" s="10"/>
      <c r="D18" s="10"/>
      <c r="E18" s="10">
        <v>300</v>
      </c>
      <c r="F18" s="10"/>
      <c r="G18" s="10">
        <f t="shared" si="0"/>
        <v>300</v>
      </c>
      <c r="H18">
        <f t="shared" si="1"/>
        <v>0.43</v>
      </c>
      <c r="I18" s="14">
        <f t="shared" si="2"/>
        <v>2E-3</v>
      </c>
    </row>
    <row r="19" spans="1:9" x14ac:dyDescent="0.25">
      <c r="A19" t="s">
        <v>19</v>
      </c>
      <c r="B19" t="s">
        <v>31</v>
      </c>
      <c r="C19" s="10"/>
      <c r="D19" s="10"/>
      <c r="E19" s="10">
        <v>230</v>
      </c>
      <c r="F19" s="10"/>
      <c r="G19" s="10">
        <f t="shared" si="0"/>
        <v>230</v>
      </c>
      <c r="H19">
        <f t="shared" si="1"/>
        <v>0.33</v>
      </c>
      <c r="I19" s="14">
        <f t="shared" si="2"/>
        <v>2E-3</v>
      </c>
    </row>
    <row r="20" spans="1:9" x14ac:dyDescent="0.25">
      <c r="A20" t="s">
        <v>19</v>
      </c>
      <c r="B20" t="s">
        <v>32</v>
      </c>
      <c r="C20" s="10"/>
      <c r="D20" s="10"/>
      <c r="E20" s="10">
        <v>200</v>
      </c>
      <c r="F20" s="10"/>
      <c r="G20" s="10">
        <f t="shared" si="0"/>
        <v>200</v>
      </c>
      <c r="H20">
        <f t="shared" si="1"/>
        <v>0.28000000000000003</v>
      </c>
      <c r="I20" s="14">
        <f t="shared" si="2"/>
        <v>2E-3</v>
      </c>
    </row>
    <row r="21" spans="1:9" x14ac:dyDescent="0.25">
      <c r="A21" t="s">
        <v>19</v>
      </c>
      <c r="B21" t="s">
        <v>42</v>
      </c>
      <c r="C21" s="10"/>
      <c r="D21" s="10">
        <v>35</v>
      </c>
      <c r="E21" s="10"/>
      <c r="F21" s="10"/>
      <c r="G21" s="10">
        <f t="shared" si="0"/>
        <v>35</v>
      </c>
      <c r="H21">
        <f t="shared" si="1"/>
        <v>0.05</v>
      </c>
      <c r="I21" s="14">
        <f t="shared" si="2"/>
        <v>0</v>
      </c>
    </row>
    <row r="22" spans="1:9" x14ac:dyDescent="0.25">
      <c r="A22" t="s">
        <v>19</v>
      </c>
      <c r="B22" t="s">
        <v>67</v>
      </c>
      <c r="C22" s="10"/>
      <c r="D22" s="10"/>
      <c r="E22" s="10">
        <v>460</v>
      </c>
      <c r="F22" s="10"/>
      <c r="G22" s="10">
        <f t="shared" si="0"/>
        <v>460</v>
      </c>
      <c r="H22">
        <f t="shared" si="1"/>
        <v>0.65</v>
      </c>
      <c r="I22" s="14">
        <f t="shared" si="2"/>
        <v>3.0000000000000001E-3</v>
      </c>
    </row>
    <row r="23" spans="1:9" x14ac:dyDescent="0.25">
      <c r="A23" t="s">
        <v>19</v>
      </c>
      <c r="B23" t="s">
        <v>33</v>
      </c>
      <c r="C23" s="10"/>
      <c r="D23" s="10">
        <v>65</v>
      </c>
      <c r="E23" s="10"/>
      <c r="F23" s="10"/>
      <c r="G23" s="10">
        <f t="shared" si="0"/>
        <v>65</v>
      </c>
      <c r="H23">
        <f t="shared" si="1"/>
        <v>0.09</v>
      </c>
      <c r="I23" s="14">
        <f t="shared" si="2"/>
        <v>0</v>
      </c>
    </row>
    <row r="24" spans="1:9" x14ac:dyDescent="0.25">
      <c r="A24" t="s">
        <v>19</v>
      </c>
      <c r="B24" t="s">
        <v>34</v>
      </c>
      <c r="C24" s="10"/>
      <c r="D24" s="10"/>
      <c r="E24" s="10">
        <v>830</v>
      </c>
      <c r="F24" s="10"/>
      <c r="G24" s="10">
        <f t="shared" si="0"/>
        <v>830</v>
      </c>
      <c r="H24">
        <f t="shared" si="1"/>
        <v>1.18</v>
      </c>
      <c r="I24" s="14">
        <f t="shared" si="2"/>
        <v>6.0000000000000001E-3</v>
      </c>
    </row>
    <row r="25" spans="1:9" x14ac:dyDescent="0.25">
      <c r="A25" t="s">
        <v>19</v>
      </c>
      <c r="B25" t="s">
        <v>40</v>
      </c>
      <c r="C25" s="10"/>
      <c r="D25" s="10"/>
      <c r="E25" s="10">
        <v>550</v>
      </c>
      <c r="F25" s="10"/>
      <c r="G25" s="10">
        <f t="shared" si="0"/>
        <v>550</v>
      </c>
      <c r="H25">
        <f t="shared" si="1"/>
        <v>0.78</v>
      </c>
      <c r="I25" s="14">
        <f t="shared" si="2"/>
        <v>4.0000000000000001E-3</v>
      </c>
    </row>
    <row r="26" spans="1:9" x14ac:dyDescent="0.25">
      <c r="A26" t="s">
        <v>19</v>
      </c>
      <c r="B26" t="s">
        <v>35</v>
      </c>
      <c r="C26" s="10"/>
      <c r="D26" s="10"/>
      <c r="E26" s="10">
        <v>1080</v>
      </c>
      <c r="F26" s="10"/>
      <c r="G26" s="10">
        <f t="shared" si="0"/>
        <v>1080</v>
      </c>
      <c r="H26">
        <f t="shared" si="1"/>
        <v>1.53</v>
      </c>
      <c r="I26" s="14">
        <f t="shared" si="2"/>
        <v>8.0000000000000002E-3</v>
      </c>
    </row>
    <row r="27" spans="1:9" x14ac:dyDescent="0.25">
      <c r="A27" t="s">
        <v>19</v>
      </c>
      <c r="B27" t="s">
        <v>36</v>
      </c>
      <c r="C27" s="10"/>
      <c r="D27" s="10"/>
      <c r="E27" s="10">
        <v>5640</v>
      </c>
      <c r="F27" s="10"/>
      <c r="G27" s="10">
        <f t="shared" si="0"/>
        <v>5640</v>
      </c>
      <c r="H27">
        <f t="shared" si="1"/>
        <v>8</v>
      </c>
      <c r="I27" s="14">
        <f t="shared" si="2"/>
        <v>4.2999999999999997E-2</v>
      </c>
    </row>
    <row r="28" spans="1:9" x14ac:dyDescent="0.25">
      <c r="A28" t="s">
        <v>19</v>
      </c>
      <c r="B28" t="s">
        <v>37</v>
      </c>
      <c r="C28" s="10"/>
      <c r="D28" s="10"/>
      <c r="E28" s="10">
        <v>1020</v>
      </c>
      <c r="F28" s="10"/>
      <c r="G28" s="10">
        <f t="shared" si="0"/>
        <v>1020</v>
      </c>
      <c r="H28">
        <f t="shared" si="1"/>
        <v>1.45</v>
      </c>
      <c r="I28" s="14">
        <f t="shared" si="2"/>
        <v>8.0000000000000002E-3</v>
      </c>
    </row>
    <row r="29" spans="1:9" x14ac:dyDescent="0.25">
      <c r="A29" t="s">
        <v>19</v>
      </c>
      <c r="B29" t="s">
        <v>38</v>
      </c>
      <c r="C29" s="10"/>
      <c r="D29" s="10"/>
      <c r="E29" s="10">
        <v>4210</v>
      </c>
      <c r="F29" s="10"/>
      <c r="G29" s="10">
        <f t="shared" si="0"/>
        <v>4210</v>
      </c>
      <c r="H29">
        <f t="shared" si="1"/>
        <v>5.97</v>
      </c>
      <c r="I29" s="14">
        <f t="shared" si="2"/>
        <v>3.2000000000000001E-2</v>
      </c>
    </row>
    <row r="30" spans="1:9" x14ac:dyDescent="0.25">
      <c r="A30" t="s">
        <v>19</v>
      </c>
      <c r="B30" t="s">
        <v>39</v>
      </c>
      <c r="C30" s="10"/>
      <c r="D30" s="10"/>
      <c r="E30" s="10">
        <v>2760</v>
      </c>
      <c r="F30" s="10"/>
      <c r="G30" s="10">
        <f t="shared" si="0"/>
        <v>2760</v>
      </c>
      <c r="H30">
        <f t="shared" si="1"/>
        <v>3.91</v>
      </c>
      <c r="I30" s="14">
        <f t="shared" si="2"/>
        <v>2.1000000000000001E-2</v>
      </c>
    </row>
    <row r="31" spans="1:9" x14ac:dyDescent="0.25">
      <c r="A31" t="s">
        <v>19</v>
      </c>
      <c r="B31" t="s">
        <v>29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4">
        <f t="shared" si="2"/>
        <v>0</v>
      </c>
    </row>
    <row r="32" spans="1:9" x14ac:dyDescent="0.25">
      <c r="A32" t="s">
        <v>19</v>
      </c>
      <c r="B32" t="s">
        <v>66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4">
        <f t="shared" si="2"/>
        <v>0</v>
      </c>
    </row>
    <row r="33" spans="1:9" x14ac:dyDescent="0.25">
      <c r="A33" t="s">
        <v>19</v>
      </c>
      <c r="B33" t="s">
        <v>41</v>
      </c>
      <c r="C33" s="10"/>
      <c r="D33" s="10"/>
      <c r="E33" s="10"/>
      <c r="F33" s="10"/>
      <c r="G33" s="10">
        <f t="shared" si="0"/>
        <v>0</v>
      </c>
      <c r="H33">
        <f t="shared" si="1"/>
        <v>0</v>
      </c>
      <c r="I33" s="14">
        <f t="shared" si="2"/>
        <v>0</v>
      </c>
    </row>
    <row r="34" spans="1:9" x14ac:dyDescent="0.25">
      <c r="A34" t="s">
        <v>19</v>
      </c>
      <c r="B34" t="s">
        <v>71</v>
      </c>
      <c r="C34" s="10"/>
      <c r="D34" s="10"/>
      <c r="E34" s="10"/>
      <c r="F34" s="10"/>
      <c r="G34" s="10">
        <f t="shared" si="0"/>
        <v>0</v>
      </c>
      <c r="H34">
        <f t="shared" si="1"/>
        <v>0</v>
      </c>
      <c r="I34" s="14">
        <f t="shared" si="2"/>
        <v>0</v>
      </c>
    </row>
    <row r="35" spans="1:9" x14ac:dyDescent="0.25">
      <c r="A35" t="s">
        <v>43</v>
      </c>
      <c r="B35" t="s">
        <v>44</v>
      </c>
      <c r="C35" s="10">
        <v>25080</v>
      </c>
      <c r="D35" s="10"/>
      <c r="E35" s="10"/>
      <c r="F35" s="10"/>
      <c r="G35" s="10">
        <f t="shared" si="0"/>
        <v>25080</v>
      </c>
      <c r="H35">
        <f t="shared" si="1"/>
        <v>35.57</v>
      </c>
      <c r="I35" s="14">
        <f t="shared" si="2"/>
        <v>0.191</v>
      </c>
    </row>
    <row r="36" spans="1:9" x14ac:dyDescent="0.25">
      <c r="A36" t="s">
        <v>43</v>
      </c>
      <c r="B36" t="s">
        <v>45</v>
      </c>
      <c r="C36" s="10"/>
      <c r="D36" s="10"/>
      <c r="E36" s="10">
        <v>4460</v>
      </c>
      <c r="F36" s="10"/>
      <c r="G36" s="10">
        <f t="shared" si="0"/>
        <v>4460</v>
      </c>
      <c r="H36">
        <f t="shared" si="1"/>
        <v>6.33</v>
      </c>
      <c r="I36" s="14">
        <f t="shared" si="2"/>
        <v>3.4000000000000002E-2</v>
      </c>
    </row>
    <row r="37" spans="1:9" x14ac:dyDescent="0.25">
      <c r="A37" t="s">
        <v>43</v>
      </c>
      <c r="B37" t="s">
        <v>46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4">
        <f t="shared" si="2"/>
        <v>0</v>
      </c>
    </row>
    <row r="38" spans="1:9" x14ac:dyDescent="0.25">
      <c r="A38" t="s">
        <v>15</v>
      </c>
      <c r="B38" t="s">
        <v>18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4">
        <f t="shared" si="2"/>
        <v>0</v>
      </c>
    </row>
    <row r="39" spans="1:9" x14ac:dyDescent="0.25">
      <c r="A39" t="s">
        <v>15</v>
      </c>
      <c r="B39" t="s">
        <v>63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s="3" t="s">
        <v>253</v>
      </c>
      <c r="B40" s="3"/>
      <c r="C40" s="8">
        <f t="shared" ref="C40:H40" si="3">SUM(C8:C39)</f>
        <v>86685</v>
      </c>
      <c r="D40" s="8">
        <f t="shared" si="3"/>
        <v>100</v>
      </c>
      <c r="E40" s="8">
        <f t="shared" si="3"/>
        <v>44436</v>
      </c>
      <c r="F40" s="8">
        <f t="shared" si="3"/>
        <v>240</v>
      </c>
      <c r="G40" s="8">
        <f t="shared" si="3"/>
        <v>131461</v>
      </c>
      <c r="H40" s="3">
        <f t="shared" si="3"/>
        <v>186.46</v>
      </c>
    </row>
    <row r="41" spans="1:9" x14ac:dyDescent="0.25">
      <c r="A41" s="3" t="s">
        <v>14</v>
      </c>
      <c r="B41" s="3"/>
      <c r="C41" s="12">
        <f>ROUND(C40/G40,2)</f>
        <v>0.66</v>
      </c>
      <c r="D41" s="12">
        <f>ROUND(D40/G40,2)</f>
        <v>0</v>
      </c>
      <c r="E41" s="12">
        <f>ROUND(E40/G40,2)</f>
        <v>0.34</v>
      </c>
      <c r="F41" s="12">
        <f>ROUND(F40/G40,2)</f>
        <v>0</v>
      </c>
      <c r="G41" s="3"/>
      <c r="H41" s="3"/>
    </row>
    <row r="42" spans="1:9" x14ac:dyDescent="0.25">
      <c r="A42" s="3" t="s">
        <v>47</v>
      </c>
      <c r="B42" s="3"/>
      <c r="C42" s="3"/>
      <c r="D42" s="3"/>
      <c r="E42" s="3"/>
      <c r="F42" s="3"/>
      <c r="G42" s="3"/>
      <c r="H42" s="3"/>
    </row>
    <row r="43" spans="1:9" x14ac:dyDescent="0.25">
      <c r="A43" s="3" t="s">
        <v>48</v>
      </c>
      <c r="B43" s="3"/>
      <c r="C43" s="8">
        <v>61605</v>
      </c>
      <c r="D43" s="8">
        <v>100</v>
      </c>
      <c r="E43" s="8">
        <v>39976</v>
      </c>
      <c r="F43" s="8">
        <v>240</v>
      </c>
      <c r="G43" s="8">
        <f>SUM(C43:F43)</f>
        <v>101921</v>
      </c>
      <c r="H43" s="3">
        <f>ROUND(G43/705,2)</f>
        <v>144.57</v>
      </c>
    </row>
    <row r="44" spans="1:9" x14ac:dyDescent="0.25">
      <c r="A44" s="3" t="s">
        <v>49</v>
      </c>
      <c r="B44" s="3"/>
      <c r="C44" s="8">
        <v>25080</v>
      </c>
      <c r="D44" s="8">
        <v>0</v>
      </c>
      <c r="E44" s="8">
        <v>4460</v>
      </c>
      <c r="F44" s="8">
        <v>0</v>
      </c>
      <c r="G44" s="8">
        <f>SUM(C44:F44)</f>
        <v>29540</v>
      </c>
      <c r="H44" s="3">
        <f>ROUND(G44/705,2)</f>
        <v>41.9</v>
      </c>
    </row>
    <row r="45" spans="1:9" x14ac:dyDescent="0.25">
      <c r="A45" s="3" t="s">
        <v>50</v>
      </c>
      <c r="B45" s="3"/>
      <c r="C45" s="8">
        <v>0</v>
      </c>
      <c r="D45" s="8">
        <v>0</v>
      </c>
      <c r="E45" s="8">
        <v>0</v>
      </c>
      <c r="F45" s="8">
        <v>0</v>
      </c>
      <c r="G45" s="8">
        <f>SUM(C45:F45)</f>
        <v>0</v>
      </c>
      <c r="H45" s="3">
        <f>ROUND(G45/705,2)</f>
        <v>0</v>
      </c>
    </row>
    <row r="46" spans="1:9" x14ac:dyDescent="0.25">
      <c r="A46" s="3"/>
      <c r="B46" s="3"/>
      <c r="C46" s="3"/>
      <c r="D46" s="3"/>
      <c r="E46" s="3"/>
      <c r="F46" s="3"/>
      <c r="G46" s="3"/>
      <c r="H46" s="3"/>
    </row>
    <row r="47" spans="1:9" x14ac:dyDescent="0.25">
      <c r="A47" s="3"/>
      <c r="B47" s="3"/>
      <c r="C47" s="3" t="s">
        <v>2</v>
      </c>
      <c r="D47" s="3">
        <v>2022</v>
      </c>
      <c r="E47" s="3" t="s">
        <v>51</v>
      </c>
      <c r="F47" s="3"/>
      <c r="G47" s="3"/>
      <c r="H47" s="3"/>
    </row>
    <row r="48" spans="1:9" x14ac:dyDescent="0.25">
      <c r="A48" s="3" t="s">
        <v>52</v>
      </c>
      <c r="B48" s="3"/>
      <c r="C48" s="13">
        <v>0.76959999999999995</v>
      </c>
      <c r="D48" s="13">
        <v>0.75839999999999996</v>
      </c>
      <c r="E48" s="13">
        <v>0.77659999999999996</v>
      </c>
      <c r="F48" s="3"/>
      <c r="G48" s="3"/>
      <c r="H48" s="3"/>
    </row>
    <row r="49" spans="1:8" x14ac:dyDescent="0.25">
      <c r="A49" s="3" t="s">
        <v>53</v>
      </c>
      <c r="B49" s="3"/>
      <c r="C49" s="13">
        <v>0.75800000000000001</v>
      </c>
      <c r="D49" s="13">
        <v>0.74490000000000001</v>
      </c>
      <c r="E49" s="13">
        <v>0.75900000000000001</v>
      </c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 t="s">
        <v>256</v>
      </c>
      <c r="B51" s="3"/>
      <c r="C51" s="3" t="s">
        <v>2</v>
      </c>
      <c r="D51" s="3" t="s">
        <v>84</v>
      </c>
      <c r="E51" s="3" t="s">
        <v>55</v>
      </c>
      <c r="F51" s="5" t="s">
        <v>254</v>
      </c>
      <c r="G51" s="3"/>
      <c r="H51" s="3"/>
    </row>
    <row r="52" spans="1:8" x14ac:dyDescent="0.25">
      <c r="A52" s="3" t="s">
        <v>56</v>
      </c>
      <c r="B52" s="3"/>
      <c r="C52" s="3"/>
      <c r="D52" s="3">
        <v>78.34</v>
      </c>
      <c r="E52" s="3">
        <v>81.5</v>
      </c>
      <c r="F52" s="3">
        <v>50.61</v>
      </c>
      <c r="G52" s="3"/>
      <c r="H52" s="3"/>
    </row>
    <row r="53" spans="1:8" x14ac:dyDescent="0.25">
      <c r="A53" s="3" t="s">
        <v>57</v>
      </c>
      <c r="B53" s="3"/>
      <c r="C53" s="3"/>
      <c r="D53" s="3">
        <v>50.96</v>
      </c>
      <c r="E53" s="3">
        <v>58.24</v>
      </c>
      <c r="F53" s="3">
        <v>57.37</v>
      </c>
      <c r="G53" s="3"/>
      <c r="H53" s="3"/>
    </row>
    <row r="54" spans="1:8" x14ac:dyDescent="0.25">
      <c r="A54" s="3" t="s">
        <v>58</v>
      </c>
      <c r="B54" s="3"/>
      <c r="C54" s="3"/>
      <c r="D54" s="3">
        <v>281.35000000000002</v>
      </c>
      <c r="E54" s="3">
        <v>261.52999999999997</v>
      </c>
      <c r="F54" s="3">
        <v>249.57</v>
      </c>
      <c r="G54" s="3"/>
      <c r="H54" s="3"/>
    </row>
    <row r="55" spans="1:8" x14ac:dyDescent="0.25">
      <c r="A55" s="3" t="s">
        <v>59</v>
      </c>
      <c r="B55" s="3"/>
      <c r="C55" s="3"/>
      <c r="D55" s="3">
        <v>91.78</v>
      </c>
      <c r="E55" s="3">
        <v>103.11</v>
      </c>
      <c r="F55" s="3">
        <v>71.400000000000006</v>
      </c>
      <c r="G55" s="3"/>
      <c r="H55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I57"/>
  <sheetViews>
    <sheetView topLeftCell="A30" workbookViewId="0">
      <selection activeCell="G54" sqref="G54:G57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7.5703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249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2136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15</v>
      </c>
      <c r="B9" t="s">
        <v>16</v>
      </c>
      <c r="C9" s="10"/>
      <c r="D9" s="10"/>
      <c r="E9" s="10"/>
      <c r="F9" s="10">
        <v>100</v>
      </c>
      <c r="G9" s="10">
        <f t="shared" ref="G9:G41" si="0">SUM(C9:F9)</f>
        <v>100</v>
      </c>
      <c r="H9">
        <f t="shared" ref="H9:H41" si="1">ROUND(G9/2136,2)</f>
        <v>0.05</v>
      </c>
      <c r="I9" s="18">
        <f t="shared" ref="I9:I40" si="2">ROUND(G9/$G$42,3)</f>
        <v>0</v>
      </c>
    </row>
    <row r="10" spans="1:9" x14ac:dyDescent="0.25">
      <c r="A10" t="s">
        <v>15</v>
      </c>
      <c r="B10" t="s">
        <v>63</v>
      </c>
      <c r="C10" s="10"/>
      <c r="D10" s="10"/>
      <c r="E10" s="10"/>
      <c r="F10" s="10">
        <v>343</v>
      </c>
      <c r="G10" s="10">
        <f t="shared" si="0"/>
        <v>343</v>
      </c>
      <c r="H10">
        <f t="shared" si="1"/>
        <v>0.16</v>
      </c>
      <c r="I10" s="18">
        <f t="shared" si="2"/>
        <v>1E-3</v>
      </c>
    </row>
    <row r="11" spans="1:9" x14ac:dyDescent="0.25">
      <c r="A11" t="s">
        <v>15</v>
      </c>
      <c r="B11" t="s">
        <v>17</v>
      </c>
      <c r="C11" s="10"/>
      <c r="D11" s="10"/>
      <c r="E11" s="10"/>
      <c r="F11" s="10">
        <v>64</v>
      </c>
      <c r="G11" s="10">
        <f t="shared" si="0"/>
        <v>64</v>
      </c>
      <c r="H11">
        <f t="shared" si="1"/>
        <v>0.03</v>
      </c>
      <c r="I11" s="18">
        <f t="shared" si="2"/>
        <v>0</v>
      </c>
    </row>
    <row r="12" spans="1:9" x14ac:dyDescent="0.25">
      <c r="A12" t="s">
        <v>15</v>
      </c>
      <c r="B12" t="s">
        <v>18</v>
      </c>
      <c r="C12" s="10"/>
      <c r="D12" s="10"/>
      <c r="E12" s="10"/>
      <c r="F12" s="10"/>
      <c r="G12" s="10">
        <f t="shared" si="0"/>
        <v>0</v>
      </c>
      <c r="H12">
        <f t="shared" si="1"/>
        <v>0</v>
      </c>
      <c r="I12" s="18">
        <f t="shared" si="2"/>
        <v>0</v>
      </c>
    </row>
    <row r="13" spans="1:9" x14ac:dyDescent="0.25">
      <c r="A13" t="s">
        <v>19</v>
      </c>
      <c r="B13" t="s">
        <v>64</v>
      </c>
      <c r="C13" s="10"/>
      <c r="D13" s="10"/>
      <c r="E13" s="10">
        <v>135</v>
      </c>
      <c r="F13" s="10"/>
      <c r="G13" s="10">
        <f t="shared" si="0"/>
        <v>135</v>
      </c>
      <c r="H13">
        <f t="shared" si="1"/>
        <v>0.06</v>
      </c>
      <c r="I13" s="18">
        <f t="shared" si="2"/>
        <v>0</v>
      </c>
    </row>
    <row r="14" spans="1:9" x14ac:dyDescent="0.25">
      <c r="A14" t="s">
        <v>19</v>
      </c>
      <c r="B14" t="s">
        <v>20</v>
      </c>
      <c r="C14" s="10">
        <v>36980</v>
      </c>
      <c r="D14" s="10"/>
      <c r="E14" s="10">
        <v>10928.08</v>
      </c>
      <c r="F14" s="10">
        <v>80</v>
      </c>
      <c r="G14" s="10">
        <f t="shared" si="0"/>
        <v>47988.08</v>
      </c>
      <c r="H14">
        <f t="shared" si="1"/>
        <v>22.47</v>
      </c>
      <c r="I14" s="18">
        <f t="shared" si="2"/>
        <v>9.7000000000000003E-2</v>
      </c>
    </row>
    <row r="15" spans="1:9" x14ac:dyDescent="0.25">
      <c r="A15" t="s">
        <v>19</v>
      </c>
      <c r="B15" t="s">
        <v>21</v>
      </c>
      <c r="C15" s="10">
        <v>46935</v>
      </c>
      <c r="D15" s="10"/>
      <c r="E15" s="10"/>
      <c r="F15" s="10"/>
      <c r="G15" s="10">
        <f t="shared" si="0"/>
        <v>46935</v>
      </c>
      <c r="H15">
        <f t="shared" si="1"/>
        <v>21.97</v>
      </c>
      <c r="I15" s="18">
        <f t="shared" si="2"/>
        <v>9.5000000000000001E-2</v>
      </c>
    </row>
    <row r="16" spans="1:9" x14ac:dyDescent="0.25">
      <c r="A16" t="s">
        <v>19</v>
      </c>
      <c r="B16" t="s">
        <v>41</v>
      </c>
      <c r="C16" s="10"/>
      <c r="D16" s="10"/>
      <c r="E16" s="10">
        <v>175</v>
      </c>
      <c r="F16" s="10"/>
      <c r="G16" s="10">
        <f t="shared" si="0"/>
        <v>175</v>
      </c>
      <c r="H16">
        <f t="shared" si="1"/>
        <v>0.08</v>
      </c>
      <c r="I16" s="18">
        <f t="shared" si="2"/>
        <v>0</v>
      </c>
    </row>
    <row r="17" spans="1:9" x14ac:dyDescent="0.25">
      <c r="A17" t="s">
        <v>19</v>
      </c>
      <c r="B17" t="s">
        <v>22</v>
      </c>
      <c r="C17" s="10"/>
      <c r="D17" s="10"/>
      <c r="E17" s="10">
        <v>1000</v>
      </c>
      <c r="F17" s="10"/>
      <c r="G17" s="10">
        <f t="shared" si="0"/>
        <v>1000</v>
      </c>
      <c r="H17">
        <f t="shared" si="1"/>
        <v>0.47</v>
      </c>
      <c r="I17" s="18">
        <f t="shared" si="2"/>
        <v>2E-3</v>
      </c>
    </row>
    <row r="18" spans="1:9" x14ac:dyDescent="0.25">
      <c r="A18" t="s">
        <v>19</v>
      </c>
      <c r="B18" t="s">
        <v>23</v>
      </c>
      <c r="C18" s="10"/>
      <c r="D18" s="10"/>
      <c r="E18" s="10">
        <v>45090.36</v>
      </c>
      <c r="F18" s="10"/>
      <c r="G18" s="10">
        <f t="shared" si="0"/>
        <v>45090.36</v>
      </c>
      <c r="H18">
        <f t="shared" si="1"/>
        <v>21.11</v>
      </c>
      <c r="I18" s="18">
        <f t="shared" si="2"/>
        <v>9.0999999999999998E-2</v>
      </c>
    </row>
    <row r="19" spans="1:9" x14ac:dyDescent="0.25">
      <c r="A19" t="s">
        <v>19</v>
      </c>
      <c r="B19" t="s">
        <v>24</v>
      </c>
      <c r="C19" s="10">
        <v>44310</v>
      </c>
      <c r="D19" s="10"/>
      <c r="E19" s="10">
        <v>25282.45</v>
      </c>
      <c r="F19" s="10"/>
      <c r="G19" s="10">
        <f t="shared" si="0"/>
        <v>69592.45</v>
      </c>
      <c r="H19">
        <f t="shared" si="1"/>
        <v>32.58</v>
      </c>
      <c r="I19" s="18">
        <f t="shared" si="2"/>
        <v>0.14000000000000001</v>
      </c>
    </row>
    <row r="20" spans="1:9" x14ac:dyDescent="0.25">
      <c r="A20" t="s">
        <v>19</v>
      </c>
      <c r="B20" t="s">
        <v>66</v>
      </c>
      <c r="C20" s="10"/>
      <c r="D20" s="10"/>
      <c r="E20" s="10">
        <v>5050</v>
      </c>
      <c r="F20" s="10"/>
      <c r="G20" s="10">
        <f t="shared" si="0"/>
        <v>5050</v>
      </c>
      <c r="H20">
        <f t="shared" si="1"/>
        <v>2.36</v>
      </c>
      <c r="I20" s="18">
        <f t="shared" si="2"/>
        <v>0.01</v>
      </c>
    </row>
    <row r="21" spans="1:9" x14ac:dyDescent="0.25">
      <c r="A21" t="s">
        <v>19</v>
      </c>
      <c r="B21" t="s">
        <v>25</v>
      </c>
      <c r="C21" s="10">
        <v>57340</v>
      </c>
      <c r="D21" s="10"/>
      <c r="E21" s="10"/>
      <c r="F21" s="10">
        <v>150</v>
      </c>
      <c r="G21" s="10">
        <f t="shared" si="0"/>
        <v>57490</v>
      </c>
      <c r="H21">
        <f t="shared" si="1"/>
        <v>26.91</v>
      </c>
      <c r="I21" s="18">
        <f t="shared" si="2"/>
        <v>0.11600000000000001</v>
      </c>
    </row>
    <row r="22" spans="1:9" x14ac:dyDescent="0.25">
      <c r="A22" t="s">
        <v>19</v>
      </c>
      <c r="B22" t="s">
        <v>26</v>
      </c>
      <c r="C22" s="10"/>
      <c r="D22" s="10"/>
      <c r="E22" s="10">
        <v>471</v>
      </c>
      <c r="F22" s="10"/>
      <c r="G22" s="10">
        <f t="shared" si="0"/>
        <v>471</v>
      </c>
      <c r="H22">
        <f t="shared" si="1"/>
        <v>0.22</v>
      </c>
      <c r="I22" s="18">
        <f t="shared" si="2"/>
        <v>1E-3</v>
      </c>
    </row>
    <row r="23" spans="1:9" x14ac:dyDescent="0.25">
      <c r="A23" t="s">
        <v>19</v>
      </c>
      <c r="B23" t="s">
        <v>27</v>
      </c>
      <c r="C23" s="10"/>
      <c r="D23" s="10"/>
      <c r="E23" s="10">
        <v>491</v>
      </c>
      <c r="F23" s="10"/>
      <c r="G23" s="10">
        <f t="shared" si="0"/>
        <v>491</v>
      </c>
      <c r="H23">
        <f t="shared" si="1"/>
        <v>0.23</v>
      </c>
      <c r="I23" s="18">
        <f t="shared" si="2"/>
        <v>1E-3</v>
      </c>
    </row>
    <row r="24" spans="1:9" x14ac:dyDescent="0.25">
      <c r="A24" t="s">
        <v>19</v>
      </c>
      <c r="B24" t="s">
        <v>28</v>
      </c>
      <c r="C24" s="10"/>
      <c r="D24" s="10"/>
      <c r="E24" s="10">
        <v>171.31</v>
      </c>
      <c r="F24" s="10"/>
      <c r="G24" s="10">
        <f t="shared" si="0"/>
        <v>171.31</v>
      </c>
      <c r="H24">
        <f t="shared" si="1"/>
        <v>0.08</v>
      </c>
      <c r="I24" s="18">
        <f t="shared" si="2"/>
        <v>0</v>
      </c>
    </row>
    <row r="25" spans="1:9" x14ac:dyDescent="0.25">
      <c r="A25" t="s">
        <v>19</v>
      </c>
      <c r="B25" t="s">
        <v>29</v>
      </c>
      <c r="C25" s="10"/>
      <c r="D25" s="10"/>
      <c r="E25" s="10">
        <v>2251.61</v>
      </c>
      <c r="F25" s="10"/>
      <c r="G25" s="10">
        <f t="shared" si="0"/>
        <v>2251.61</v>
      </c>
      <c r="H25">
        <f t="shared" si="1"/>
        <v>1.05</v>
      </c>
      <c r="I25" s="18">
        <f t="shared" si="2"/>
        <v>5.0000000000000001E-3</v>
      </c>
    </row>
    <row r="26" spans="1:9" x14ac:dyDescent="0.25">
      <c r="A26" t="s">
        <v>19</v>
      </c>
      <c r="B26" t="s">
        <v>30</v>
      </c>
      <c r="C26" s="10"/>
      <c r="D26" s="10"/>
      <c r="E26" s="10">
        <v>369</v>
      </c>
      <c r="F26" s="10"/>
      <c r="G26" s="10">
        <f t="shared" si="0"/>
        <v>369</v>
      </c>
      <c r="H26">
        <f t="shared" si="1"/>
        <v>0.17</v>
      </c>
      <c r="I26" s="18">
        <f t="shared" si="2"/>
        <v>1E-3</v>
      </c>
    </row>
    <row r="27" spans="1:9" x14ac:dyDescent="0.25">
      <c r="A27" t="s">
        <v>19</v>
      </c>
      <c r="B27" t="s">
        <v>31</v>
      </c>
      <c r="C27" s="10"/>
      <c r="D27" s="10"/>
      <c r="E27" s="10">
        <v>107.14</v>
      </c>
      <c r="F27" s="10"/>
      <c r="G27" s="10">
        <f t="shared" si="0"/>
        <v>107.14</v>
      </c>
      <c r="H27">
        <f t="shared" si="1"/>
        <v>0.05</v>
      </c>
      <c r="I27" s="18">
        <f t="shared" si="2"/>
        <v>0</v>
      </c>
    </row>
    <row r="28" spans="1:9" x14ac:dyDescent="0.25">
      <c r="A28" t="s">
        <v>19</v>
      </c>
      <c r="B28" t="s">
        <v>32</v>
      </c>
      <c r="C28" s="10"/>
      <c r="D28" s="10"/>
      <c r="E28" s="10">
        <v>1010</v>
      </c>
      <c r="F28" s="10"/>
      <c r="G28" s="10">
        <f t="shared" si="0"/>
        <v>1010</v>
      </c>
      <c r="H28">
        <f t="shared" si="1"/>
        <v>0.47</v>
      </c>
      <c r="I28" s="18">
        <f t="shared" si="2"/>
        <v>2E-3</v>
      </c>
    </row>
    <row r="29" spans="1:9" x14ac:dyDescent="0.25">
      <c r="A29" t="s">
        <v>19</v>
      </c>
      <c r="B29" t="s">
        <v>42</v>
      </c>
      <c r="C29" s="10"/>
      <c r="D29" s="10">
        <v>631</v>
      </c>
      <c r="E29" s="10"/>
      <c r="F29" s="10"/>
      <c r="G29" s="10">
        <f t="shared" si="0"/>
        <v>631</v>
      </c>
      <c r="H29">
        <f t="shared" si="1"/>
        <v>0.3</v>
      </c>
      <c r="I29" s="18">
        <f t="shared" si="2"/>
        <v>1E-3</v>
      </c>
    </row>
    <row r="30" spans="1:9" x14ac:dyDescent="0.25">
      <c r="A30" t="s">
        <v>19</v>
      </c>
      <c r="B30" t="s">
        <v>34</v>
      </c>
      <c r="C30" s="10"/>
      <c r="D30" s="10"/>
      <c r="E30" s="10">
        <v>1049.51</v>
      </c>
      <c r="F30" s="10"/>
      <c r="G30" s="10">
        <f t="shared" si="0"/>
        <v>1049.51</v>
      </c>
      <c r="H30">
        <f t="shared" si="1"/>
        <v>0.49</v>
      </c>
      <c r="I30" s="18">
        <f t="shared" si="2"/>
        <v>2E-3</v>
      </c>
    </row>
    <row r="31" spans="1:9" x14ac:dyDescent="0.25">
      <c r="A31" t="s">
        <v>19</v>
      </c>
      <c r="B31" t="s">
        <v>35</v>
      </c>
      <c r="C31" s="10"/>
      <c r="D31" s="10"/>
      <c r="E31" s="10">
        <v>871.43</v>
      </c>
      <c r="F31" s="10"/>
      <c r="G31" s="10">
        <f t="shared" si="0"/>
        <v>871.43</v>
      </c>
      <c r="H31">
        <f t="shared" si="1"/>
        <v>0.41</v>
      </c>
      <c r="I31" s="18">
        <f t="shared" si="2"/>
        <v>2E-3</v>
      </c>
    </row>
    <row r="32" spans="1:9" x14ac:dyDescent="0.25">
      <c r="A32" t="s">
        <v>19</v>
      </c>
      <c r="B32" t="s">
        <v>40</v>
      </c>
      <c r="C32" s="10"/>
      <c r="D32" s="10"/>
      <c r="E32" s="10">
        <v>12490</v>
      </c>
      <c r="F32" s="10"/>
      <c r="G32" s="10">
        <f t="shared" si="0"/>
        <v>12490</v>
      </c>
      <c r="H32">
        <f t="shared" si="1"/>
        <v>5.85</v>
      </c>
      <c r="I32" s="18">
        <f t="shared" si="2"/>
        <v>2.5000000000000001E-2</v>
      </c>
    </row>
    <row r="33" spans="1:9" x14ac:dyDescent="0.25">
      <c r="A33" t="s">
        <v>19</v>
      </c>
      <c r="B33" t="s">
        <v>36</v>
      </c>
      <c r="C33" s="10"/>
      <c r="D33" s="10"/>
      <c r="E33" s="10">
        <v>40318.870000000003</v>
      </c>
      <c r="F33" s="10"/>
      <c r="G33" s="10">
        <f t="shared" si="0"/>
        <v>40318.870000000003</v>
      </c>
      <c r="H33">
        <f t="shared" si="1"/>
        <v>18.88</v>
      </c>
      <c r="I33" s="18">
        <f t="shared" si="2"/>
        <v>8.1000000000000003E-2</v>
      </c>
    </row>
    <row r="34" spans="1:9" x14ac:dyDescent="0.25">
      <c r="A34" t="s">
        <v>19</v>
      </c>
      <c r="B34" t="s">
        <v>38</v>
      </c>
      <c r="C34" s="10"/>
      <c r="D34" s="10"/>
      <c r="E34" s="10">
        <v>15975.63</v>
      </c>
      <c r="F34" s="10"/>
      <c r="G34" s="10">
        <f t="shared" si="0"/>
        <v>15975.63</v>
      </c>
      <c r="H34">
        <f t="shared" si="1"/>
        <v>7.48</v>
      </c>
      <c r="I34" s="18">
        <f t="shared" si="2"/>
        <v>3.2000000000000001E-2</v>
      </c>
    </row>
    <row r="35" spans="1:9" x14ac:dyDescent="0.25">
      <c r="A35" t="s">
        <v>19</v>
      </c>
      <c r="B35" t="s">
        <v>39</v>
      </c>
      <c r="C35" s="10"/>
      <c r="D35" s="10"/>
      <c r="E35" s="10">
        <v>39423.85</v>
      </c>
      <c r="F35" s="10"/>
      <c r="G35" s="10">
        <f t="shared" si="0"/>
        <v>39423.85</v>
      </c>
      <c r="H35">
        <f t="shared" si="1"/>
        <v>18.46</v>
      </c>
      <c r="I35" s="18">
        <f t="shared" si="2"/>
        <v>7.9000000000000001E-2</v>
      </c>
    </row>
    <row r="36" spans="1:9" x14ac:dyDescent="0.25">
      <c r="A36" t="s">
        <v>19</v>
      </c>
      <c r="B36" t="s">
        <v>67</v>
      </c>
      <c r="C36" s="10"/>
      <c r="D36" s="10"/>
      <c r="E36" s="10"/>
      <c r="F36" s="10"/>
      <c r="G36" s="10">
        <f t="shared" si="0"/>
        <v>0</v>
      </c>
      <c r="H36">
        <f t="shared" si="1"/>
        <v>0</v>
      </c>
      <c r="I36" s="18">
        <f t="shared" si="2"/>
        <v>0</v>
      </c>
    </row>
    <row r="37" spans="1:9" x14ac:dyDescent="0.25">
      <c r="A37" t="s">
        <v>19</v>
      </c>
      <c r="B37" t="s">
        <v>33</v>
      </c>
      <c r="C37" s="10"/>
      <c r="D37" s="10"/>
      <c r="E37" s="10"/>
      <c r="F37" s="10"/>
      <c r="G37" s="10">
        <f t="shared" si="0"/>
        <v>0</v>
      </c>
      <c r="H37">
        <f t="shared" si="1"/>
        <v>0</v>
      </c>
      <c r="I37" s="18">
        <f t="shared" si="2"/>
        <v>0</v>
      </c>
    </row>
    <row r="38" spans="1:9" x14ac:dyDescent="0.25">
      <c r="A38" t="s">
        <v>19</v>
      </c>
      <c r="B38" t="s">
        <v>37</v>
      </c>
      <c r="C38" s="10"/>
      <c r="D38" s="10"/>
      <c r="E38" s="10"/>
      <c r="F38" s="10"/>
      <c r="G38" s="10">
        <f t="shared" si="0"/>
        <v>0</v>
      </c>
      <c r="H38">
        <f t="shared" si="1"/>
        <v>0</v>
      </c>
      <c r="I38" s="18">
        <f t="shared" si="2"/>
        <v>0</v>
      </c>
    </row>
    <row r="39" spans="1:9" x14ac:dyDescent="0.25">
      <c r="A39" t="s">
        <v>43</v>
      </c>
      <c r="B39" t="s">
        <v>44</v>
      </c>
      <c r="C39" s="10">
        <v>80080</v>
      </c>
      <c r="D39" s="10"/>
      <c r="E39" s="10"/>
      <c r="F39" s="10">
        <v>140</v>
      </c>
      <c r="G39" s="10">
        <f t="shared" si="0"/>
        <v>80220</v>
      </c>
      <c r="H39">
        <f t="shared" si="1"/>
        <v>37.56</v>
      </c>
      <c r="I39" s="18">
        <f t="shared" si="2"/>
        <v>0.16200000000000001</v>
      </c>
    </row>
    <row r="40" spans="1:9" x14ac:dyDescent="0.25">
      <c r="A40" t="s">
        <v>43</v>
      </c>
      <c r="B40" t="s">
        <v>45</v>
      </c>
      <c r="C40" s="10"/>
      <c r="D40" s="10"/>
      <c r="E40" s="10">
        <v>26802.44</v>
      </c>
      <c r="F40" s="10"/>
      <c r="G40" s="10">
        <f t="shared" si="0"/>
        <v>26802.44</v>
      </c>
      <c r="H40">
        <f t="shared" si="1"/>
        <v>12.55</v>
      </c>
      <c r="I40" s="18">
        <f t="shared" si="2"/>
        <v>5.3999999999999999E-2</v>
      </c>
    </row>
    <row r="41" spans="1:9" x14ac:dyDescent="0.25">
      <c r="A41" t="s">
        <v>43</v>
      </c>
      <c r="B41" t="s">
        <v>46</v>
      </c>
      <c r="C41" s="10"/>
      <c r="D41" s="10"/>
      <c r="E41" s="10"/>
      <c r="F41" s="10"/>
      <c r="G41" s="10">
        <f t="shared" si="0"/>
        <v>0</v>
      </c>
      <c r="H41">
        <f t="shared" si="1"/>
        <v>0</v>
      </c>
      <c r="I41" s="18">
        <f t="shared" ref="I41" si="3">ROUND(G41/$G$42,3)</f>
        <v>0</v>
      </c>
    </row>
    <row r="42" spans="1:9" x14ac:dyDescent="0.25">
      <c r="A42" s="3" t="s">
        <v>253</v>
      </c>
      <c r="B42" s="3"/>
      <c r="C42" s="8">
        <f t="shared" ref="C42:H42" si="4">SUM(C8:C41)</f>
        <v>265645</v>
      </c>
      <c r="D42" s="8">
        <f t="shared" si="4"/>
        <v>631</v>
      </c>
      <c r="E42" s="8">
        <f t="shared" si="4"/>
        <v>229463.67999999999</v>
      </c>
      <c r="F42" s="8">
        <f t="shared" si="4"/>
        <v>877</v>
      </c>
      <c r="G42" s="8">
        <f t="shared" si="4"/>
        <v>496616.68</v>
      </c>
      <c r="H42" s="20">
        <f t="shared" si="4"/>
        <v>232.50000000000003</v>
      </c>
    </row>
    <row r="43" spans="1:9" x14ac:dyDescent="0.25">
      <c r="A43" s="3" t="s">
        <v>14</v>
      </c>
      <c r="B43" s="3"/>
      <c r="C43" s="12">
        <f>ROUND(C42/G42,2)</f>
        <v>0.53</v>
      </c>
      <c r="D43" s="12">
        <f>ROUND(D42/G42,2)</f>
        <v>0</v>
      </c>
      <c r="E43" s="12">
        <f>ROUND(E42/G42,2)</f>
        <v>0.46</v>
      </c>
      <c r="F43" s="12">
        <f>ROUND(F42/G42,2)</f>
        <v>0</v>
      </c>
      <c r="G43" s="7"/>
      <c r="H43" s="7"/>
    </row>
    <row r="44" spans="1:9" x14ac:dyDescent="0.25">
      <c r="A44" s="3" t="s">
        <v>47</v>
      </c>
      <c r="B44" s="3"/>
      <c r="C44" s="3"/>
      <c r="D44" s="3"/>
      <c r="E44" s="3"/>
      <c r="F44" s="3"/>
      <c r="G44" s="3"/>
      <c r="H44" s="3"/>
    </row>
    <row r="45" spans="1:9" x14ac:dyDescent="0.25">
      <c r="A45" s="3" t="s">
        <v>48</v>
      </c>
      <c r="B45" s="3"/>
      <c r="C45" s="8">
        <v>185565</v>
      </c>
      <c r="D45" s="8">
        <v>631</v>
      </c>
      <c r="E45" s="8">
        <v>202661.24</v>
      </c>
      <c r="F45" s="8">
        <v>230</v>
      </c>
      <c r="G45" s="8">
        <f>SUM(C45:F45)</f>
        <v>389087.24</v>
      </c>
      <c r="H45" s="20">
        <f>ROUND(G45/2136,2)</f>
        <v>182.16</v>
      </c>
    </row>
    <row r="46" spans="1:9" x14ac:dyDescent="0.25">
      <c r="A46" s="3" t="s">
        <v>49</v>
      </c>
      <c r="B46" s="3"/>
      <c r="C46" s="8">
        <v>80080</v>
      </c>
      <c r="D46" s="8">
        <v>0</v>
      </c>
      <c r="E46" s="8">
        <v>26802.44</v>
      </c>
      <c r="F46" s="8">
        <v>140</v>
      </c>
      <c r="G46" s="8">
        <f>SUM(C46:F46)</f>
        <v>107022.44</v>
      </c>
      <c r="H46" s="20">
        <f>ROUND(G46/2136,2)</f>
        <v>50.1</v>
      </c>
    </row>
    <row r="47" spans="1:9" x14ac:dyDescent="0.25">
      <c r="A47" s="3" t="s">
        <v>50</v>
      </c>
      <c r="B47" s="3"/>
      <c r="C47" s="8">
        <v>0</v>
      </c>
      <c r="D47" s="8">
        <v>0</v>
      </c>
      <c r="E47" s="8">
        <v>0</v>
      </c>
      <c r="F47" s="8">
        <v>507</v>
      </c>
      <c r="G47" s="8">
        <f>SUM(C47:F47)</f>
        <v>507</v>
      </c>
      <c r="H47" s="20">
        <f>ROUND(G47/2136,2)</f>
        <v>0.24</v>
      </c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 t="s">
        <v>2</v>
      </c>
      <c r="D49" s="3">
        <v>2022</v>
      </c>
      <c r="E49" s="3" t="s">
        <v>51</v>
      </c>
      <c r="F49" s="3"/>
      <c r="G49" s="3"/>
      <c r="H49" s="3"/>
    </row>
    <row r="50" spans="1:8" x14ac:dyDescent="0.25">
      <c r="A50" s="3" t="s">
        <v>52</v>
      </c>
      <c r="B50" s="3"/>
      <c r="C50" s="12">
        <v>0.82189999999999996</v>
      </c>
      <c r="D50" s="12">
        <v>0.72209999999999996</v>
      </c>
      <c r="E50" s="12">
        <v>0.77659999999999996</v>
      </c>
      <c r="F50" s="3"/>
      <c r="G50" s="3"/>
      <c r="H50" s="3"/>
    </row>
    <row r="51" spans="1:8" x14ac:dyDescent="0.25">
      <c r="A51" s="3" t="s">
        <v>53</v>
      </c>
      <c r="B51" s="3"/>
      <c r="C51" s="12">
        <v>0.82189999999999996</v>
      </c>
      <c r="D51" s="12">
        <v>0.68569999999999998</v>
      </c>
      <c r="E51" s="12">
        <v>0.75900000000000001</v>
      </c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 t="s">
        <v>256</v>
      </c>
      <c r="B53" s="3"/>
      <c r="C53" s="3" t="s">
        <v>2</v>
      </c>
      <c r="D53" s="3" t="s">
        <v>250</v>
      </c>
      <c r="E53" s="3" t="s">
        <v>55</v>
      </c>
      <c r="F53" s="3" t="s">
        <v>254</v>
      </c>
      <c r="G53" s="3"/>
      <c r="H53" s="3"/>
    </row>
    <row r="54" spans="1:8" x14ac:dyDescent="0.25">
      <c r="A54" s="3" t="s">
        <v>56</v>
      </c>
      <c r="B54" s="3"/>
      <c r="C54" s="3"/>
      <c r="D54" s="3">
        <v>92.38</v>
      </c>
      <c r="E54" s="3">
        <v>81.5</v>
      </c>
      <c r="F54" s="3">
        <v>50.61</v>
      </c>
      <c r="G54" s="3"/>
      <c r="H54" s="3"/>
    </row>
    <row r="55" spans="1:8" x14ac:dyDescent="0.25">
      <c r="A55" s="3" t="s">
        <v>57</v>
      </c>
      <c r="B55" s="3"/>
      <c r="C55" s="3"/>
      <c r="D55" s="3">
        <v>54.74</v>
      </c>
      <c r="E55" s="3">
        <v>58.24</v>
      </c>
      <c r="F55" s="3">
        <v>57.37</v>
      </c>
      <c r="G55" s="3"/>
      <c r="H55" s="3"/>
    </row>
    <row r="56" spans="1:8" x14ac:dyDescent="0.25">
      <c r="A56" s="3" t="s">
        <v>58</v>
      </c>
      <c r="B56" s="3"/>
      <c r="C56" s="3"/>
      <c r="D56" s="3">
        <v>311.42</v>
      </c>
      <c r="E56" s="3">
        <v>261.52999999999997</v>
      </c>
      <c r="F56" s="3">
        <v>249.57</v>
      </c>
      <c r="G56" s="3"/>
      <c r="H56" s="3"/>
    </row>
    <row r="57" spans="1:8" x14ac:dyDescent="0.25">
      <c r="A57" s="3" t="s">
        <v>59</v>
      </c>
      <c r="B57" s="3"/>
      <c r="C57" s="3"/>
      <c r="D57" s="3">
        <v>117.52</v>
      </c>
      <c r="E57" s="3">
        <v>103.11</v>
      </c>
      <c r="F57" s="3">
        <v>71.400000000000006</v>
      </c>
      <c r="G57" s="3"/>
      <c r="H5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2:I48"/>
  <sheetViews>
    <sheetView topLeftCell="A21" workbookViewId="0">
      <selection activeCell="G45" sqref="G45:G48"/>
    </sheetView>
  </sheetViews>
  <sheetFormatPr defaultRowHeight="15" x14ac:dyDescent="0.25"/>
  <cols>
    <col min="1" max="1" width="48.28515625" bestFit="1" customWidth="1"/>
    <col min="2" max="2" width="39" bestFit="1" customWidth="1"/>
    <col min="3" max="3" width="12.5703125" bestFit="1" customWidth="1"/>
    <col min="4" max="4" width="20.4257812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251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541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20</v>
      </c>
      <c r="C9" s="10">
        <v>10130</v>
      </c>
      <c r="D9" s="10"/>
      <c r="E9" s="10">
        <v>719.33</v>
      </c>
      <c r="F9" s="10"/>
      <c r="G9" s="10">
        <f t="shared" ref="G9:G32" si="0">SUM(C9:F9)</f>
        <v>10849.33</v>
      </c>
      <c r="H9">
        <f t="shared" ref="H9:H32" si="1">ROUND(G9/541,2)</f>
        <v>20.05</v>
      </c>
      <c r="I9" s="18">
        <f t="shared" ref="I9:I32" si="2">ROUND(G9/$G$33,3)</f>
        <v>0.11600000000000001</v>
      </c>
    </row>
    <row r="10" spans="1:9" x14ac:dyDescent="0.25">
      <c r="A10" t="s">
        <v>19</v>
      </c>
      <c r="B10" t="s">
        <v>21</v>
      </c>
      <c r="C10" s="10">
        <v>10570</v>
      </c>
      <c r="D10" s="10"/>
      <c r="E10" s="10"/>
      <c r="F10" s="10"/>
      <c r="G10" s="10">
        <f t="shared" si="0"/>
        <v>10570</v>
      </c>
      <c r="H10">
        <f t="shared" si="1"/>
        <v>19.54</v>
      </c>
      <c r="I10" s="18">
        <f t="shared" si="2"/>
        <v>0.113</v>
      </c>
    </row>
    <row r="11" spans="1:9" x14ac:dyDescent="0.25">
      <c r="A11" t="s">
        <v>19</v>
      </c>
      <c r="B11" t="s">
        <v>41</v>
      </c>
      <c r="C11" s="10"/>
      <c r="D11" s="10"/>
      <c r="E11" s="10">
        <v>18.34</v>
      </c>
      <c r="F11" s="10"/>
      <c r="G11" s="10">
        <f t="shared" si="0"/>
        <v>18.34</v>
      </c>
      <c r="H11">
        <f t="shared" si="1"/>
        <v>0.03</v>
      </c>
      <c r="I11" s="18">
        <f t="shared" si="2"/>
        <v>0</v>
      </c>
    </row>
    <row r="12" spans="1:9" x14ac:dyDescent="0.25">
      <c r="A12" t="s">
        <v>19</v>
      </c>
      <c r="B12" t="s">
        <v>22</v>
      </c>
      <c r="C12" s="10"/>
      <c r="D12" s="10"/>
      <c r="E12" s="10">
        <v>62.5</v>
      </c>
      <c r="F12" s="10"/>
      <c r="G12" s="10">
        <f t="shared" si="0"/>
        <v>62.5</v>
      </c>
      <c r="H12">
        <f t="shared" si="1"/>
        <v>0.12</v>
      </c>
      <c r="I12" s="18">
        <f t="shared" si="2"/>
        <v>1E-3</v>
      </c>
    </row>
    <row r="13" spans="1:9" x14ac:dyDescent="0.25">
      <c r="A13" t="s">
        <v>19</v>
      </c>
      <c r="B13" t="s">
        <v>23</v>
      </c>
      <c r="C13" s="10"/>
      <c r="D13" s="10"/>
      <c r="E13" s="10">
        <v>9355.52</v>
      </c>
      <c r="F13" s="10"/>
      <c r="G13" s="10">
        <f t="shared" si="0"/>
        <v>9355.52</v>
      </c>
      <c r="H13">
        <f t="shared" si="1"/>
        <v>17.29</v>
      </c>
      <c r="I13" s="18">
        <f t="shared" si="2"/>
        <v>0.1</v>
      </c>
    </row>
    <row r="14" spans="1:9" x14ac:dyDescent="0.25">
      <c r="A14" t="s">
        <v>19</v>
      </c>
      <c r="B14" t="s">
        <v>24</v>
      </c>
      <c r="C14" s="10">
        <v>9340</v>
      </c>
      <c r="D14" s="10"/>
      <c r="E14" s="10">
        <v>1197.98</v>
      </c>
      <c r="F14" s="10"/>
      <c r="G14" s="10">
        <f t="shared" si="0"/>
        <v>10537.98</v>
      </c>
      <c r="H14">
        <f t="shared" si="1"/>
        <v>19.48</v>
      </c>
      <c r="I14" s="18">
        <f t="shared" si="2"/>
        <v>0.113</v>
      </c>
    </row>
    <row r="15" spans="1:9" x14ac:dyDescent="0.25">
      <c r="A15" t="s">
        <v>19</v>
      </c>
      <c r="B15" t="s">
        <v>25</v>
      </c>
      <c r="C15" s="10">
        <v>11450</v>
      </c>
      <c r="D15" s="10"/>
      <c r="E15" s="10"/>
      <c r="F15" s="10"/>
      <c r="G15" s="10">
        <f t="shared" si="0"/>
        <v>11450</v>
      </c>
      <c r="H15">
        <f t="shared" si="1"/>
        <v>21.16</v>
      </c>
      <c r="I15" s="18">
        <f t="shared" si="2"/>
        <v>0.123</v>
      </c>
    </row>
    <row r="16" spans="1:9" x14ac:dyDescent="0.25">
      <c r="A16" t="s">
        <v>19</v>
      </c>
      <c r="B16" t="s">
        <v>28</v>
      </c>
      <c r="C16" s="10"/>
      <c r="D16" s="10"/>
      <c r="E16" s="10">
        <v>22.77</v>
      </c>
      <c r="F16" s="10"/>
      <c r="G16" s="10">
        <f t="shared" si="0"/>
        <v>22.77</v>
      </c>
      <c r="H16">
        <f t="shared" si="1"/>
        <v>0.04</v>
      </c>
      <c r="I16" s="18">
        <f t="shared" si="2"/>
        <v>0</v>
      </c>
    </row>
    <row r="17" spans="1:9" x14ac:dyDescent="0.25">
      <c r="A17" t="s">
        <v>19</v>
      </c>
      <c r="B17" t="s">
        <v>29</v>
      </c>
      <c r="C17" s="10"/>
      <c r="D17" s="10"/>
      <c r="E17" s="10">
        <v>95.45</v>
      </c>
      <c r="F17" s="10"/>
      <c r="G17" s="10">
        <f t="shared" si="0"/>
        <v>95.45</v>
      </c>
      <c r="H17">
        <f t="shared" si="1"/>
        <v>0.18</v>
      </c>
      <c r="I17" s="18">
        <f t="shared" si="2"/>
        <v>1E-3</v>
      </c>
    </row>
    <row r="18" spans="1:9" x14ac:dyDescent="0.25">
      <c r="A18" t="s">
        <v>19</v>
      </c>
      <c r="B18" t="s">
        <v>30</v>
      </c>
      <c r="C18" s="10"/>
      <c r="D18" s="10"/>
      <c r="E18" s="10">
        <v>89.36</v>
      </c>
      <c r="F18" s="10"/>
      <c r="G18" s="10">
        <f t="shared" si="0"/>
        <v>89.36</v>
      </c>
      <c r="H18">
        <f t="shared" si="1"/>
        <v>0.17</v>
      </c>
      <c r="I18" s="18">
        <f t="shared" si="2"/>
        <v>1E-3</v>
      </c>
    </row>
    <row r="19" spans="1:9" x14ac:dyDescent="0.25">
      <c r="A19" t="s">
        <v>19</v>
      </c>
      <c r="B19" t="s">
        <v>32</v>
      </c>
      <c r="C19" s="10"/>
      <c r="D19" s="10"/>
      <c r="E19" s="10">
        <v>42.03</v>
      </c>
      <c r="F19" s="10"/>
      <c r="G19" s="10">
        <f t="shared" si="0"/>
        <v>42.03</v>
      </c>
      <c r="H19">
        <f t="shared" si="1"/>
        <v>0.08</v>
      </c>
      <c r="I19" s="18">
        <f t="shared" si="2"/>
        <v>0</v>
      </c>
    </row>
    <row r="20" spans="1:9" x14ac:dyDescent="0.25">
      <c r="A20" t="s">
        <v>19</v>
      </c>
      <c r="B20" t="s">
        <v>33</v>
      </c>
      <c r="C20" s="10"/>
      <c r="D20" s="10"/>
      <c r="E20" s="10">
        <v>73.75</v>
      </c>
      <c r="F20" s="10"/>
      <c r="G20" s="10">
        <f t="shared" si="0"/>
        <v>73.75</v>
      </c>
      <c r="H20">
        <f t="shared" si="1"/>
        <v>0.14000000000000001</v>
      </c>
      <c r="I20" s="18">
        <f t="shared" si="2"/>
        <v>1E-3</v>
      </c>
    </row>
    <row r="21" spans="1:9" x14ac:dyDescent="0.25">
      <c r="A21" t="s">
        <v>19</v>
      </c>
      <c r="B21" t="s">
        <v>34</v>
      </c>
      <c r="C21" s="10"/>
      <c r="D21" s="10"/>
      <c r="E21" s="10">
        <v>316.8</v>
      </c>
      <c r="F21" s="10"/>
      <c r="G21" s="10">
        <f t="shared" si="0"/>
        <v>316.8</v>
      </c>
      <c r="H21">
        <f t="shared" si="1"/>
        <v>0.59</v>
      </c>
      <c r="I21" s="18">
        <f t="shared" si="2"/>
        <v>3.0000000000000001E-3</v>
      </c>
    </row>
    <row r="22" spans="1:9" x14ac:dyDescent="0.25">
      <c r="A22" t="s">
        <v>19</v>
      </c>
      <c r="B22" t="s">
        <v>35</v>
      </c>
      <c r="C22" s="10"/>
      <c r="D22" s="10"/>
      <c r="E22" s="10">
        <v>50.31</v>
      </c>
      <c r="F22" s="10"/>
      <c r="G22" s="10">
        <f t="shared" si="0"/>
        <v>50.31</v>
      </c>
      <c r="H22">
        <f t="shared" si="1"/>
        <v>0.09</v>
      </c>
      <c r="I22" s="18">
        <f t="shared" si="2"/>
        <v>1E-3</v>
      </c>
    </row>
    <row r="23" spans="1:9" x14ac:dyDescent="0.25">
      <c r="A23" t="s">
        <v>19</v>
      </c>
      <c r="B23" t="s">
        <v>36</v>
      </c>
      <c r="C23" s="10"/>
      <c r="D23" s="10"/>
      <c r="E23" s="10">
        <v>6093.66</v>
      </c>
      <c r="F23" s="10"/>
      <c r="G23" s="10">
        <f t="shared" si="0"/>
        <v>6093.66</v>
      </c>
      <c r="H23">
        <f t="shared" si="1"/>
        <v>11.26</v>
      </c>
      <c r="I23" s="18">
        <f t="shared" si="2"/>
        <v>6.5000000000000002E-2</v>
      </c>
    </row>
    <row r="24" spans="1:9" x14ac:dyDescent="0.25">
      <c r="A24" t="s">
        <v>19</v>
      </c>
      <c r="B24" t="s">
        <v>38</v>
      </c>
      <c r="C24" s="10"/>
      <c r="D24" s="10"/>
      <c r="E24" s="10">
        <v>2099.21</v>
      </c>
      <c r="F24" s="10"/>
      <c r="G24" s="10">
        <f t="shared" si="0"/>
        <v>2099.21</v>
      </c>
      <c r="H24">
        <f t="shared" si="1"/>
        <v>3.88</v>
      </c>
      <c r="I24" s="18">
        <f t="shared" si="2"/>
        <v>2.3E-2</v>
      </c>
    </row>
    <row r="25" spans="1:9" x14ac:dyDescent="0.25">
      <c r="A25" t="s">
        <v>19</v>
      </c>
      <c r="B25" t="s">
        <v>39</v>
      </c>
      <c r="C25" s="10"/>
      <c r="D25" s="10"/>
      <c r="E25" s="10">
        <v>2502.0500000000002</v>
      </c>
      <c r="F25" s="10"/>
      <c r="G25" s="10">
        <f t="shared" si="0"/>
        <v>2502.0500000000002</v>
      </c>
      <c r="H25">
        <f t="shared" si="1"/>
        <v>4.62</v>
      </c>
      <c r="I25" s="18">
        <f t="shared" si="2"/>
        <v>2.7E-2</v>
      </c>
    </row>
    <row r="26" spans="1:9" x14ac:dyDescent="0.25">
      <c r="A26" t="s">
        <v>19</v>
      </c>
      <c r="B26" t="s">
        <v>42</v>
      </c>
      <c r="C26" s="10"/>
      <c r="D26" s="10"/>
      <c r="E26" s="10"/>
      <c r="F26" s="10"/>
      <c r="G26" s="10">
        <f t="shared" si="0"/>
        <v>0</v>
      </c>
      <c r="H26">
        <f t="shared" si="1"/>
        <v>0</v>
      </c>
      <c r="I26" s="18">
        <f t="shared" si="2"/>
        <v>0</v>
      </c>
    </row>
    <row r="27" spans="1:9" x14ac:dyDescent="0.25">
      <c r="A27" t="s">
        <v>19</v>
      </c>
      <c r="B27" t="s">
        <v>31</v>
      </c>
      <c r="C27" s="10"/>
      <c r="D27" s="10"/>
      <c r="E27" s="10"/>
      <c r="F27" s="10"/>
      <c r="G27" s="10">
        <f t="shared" si="0"/>
        <v>0</v>
      </c>
      <c r="H27">
        <f t="shared" si="1"/>
        <v>0</v>
      </c>
      <c r="I27" s="18">
        <f t="shared" si="2"/>
        <v>0</v>
      </c>
    </row>
    <row r="28" spans="1:9" x14ac:dyDescent="0.25">
      <c r="A28" t="s">
        <v>19</v>
      </c>
      <c r="B28" t="s">
        <v>37</v>
      </c>
      <c r="C28" s="10"/>
      <c r="D28" s="10"/>
      <c r="E28" s="10"/>
      <c r="F28" s="10"/>
      <c r="G28" s="10">
        <f t="shared" si="0"/>
        <v>0</v>
      </c>
      <c r="H28">
        <f t="shared" si="1"/>
        <v>0</v>
      </c>
      <c r="I28" s="18">
        <f t="shared" si="2"/>
        <v>0</v>
      </c>
    </row>
    <row r="29" spans="1:9" x14ac:dyDescent="0.25">
      <c r="A29" t="s">
        <v>43</v>
      </c>
      <c r="B29" t="s">
        <v>44</v>
      </c>
      <c r="C29" s="10">
        <v>25670</v>
      </c>
      <c r="D29" s="10"/>
      <c r="E29" s="10"/>
      <c r="F29" s="10"/>
      <c r="G29" s="10">
        <f t="shared" si="0"/>
        <v>25670</v>
      </c>
      <c r="H29">
        <f t="shared" si="1"/>
        <v>47.45</v>
      </c>
      <c r="I29" s="18">
        <f t="shared" si="2"/>
        <v>0.27500000000000002</v>
      </c>
    </row>
    <row r="30" spans="1:9" x14ac:dyDescent="0.25">
      <c r="A30" t="s">
        <v>43</v>
      </c>
      <c r="B30" t="s">
        <v>45</v>
      </c>
      <c r="C30" s="10"/>
      <c r="D30" s="10"/>
      <c r="E30" s="10">
        <v>3386.31</v>
      </c>
      <c r="F30" s="10"/>
      <c r="G30" s="10">
        <f t="shared" si="0"/>
        <v>3386.31</v>
      </c>
      <c r="H30">
        <f t="shared" si="1"/>
        <v>6.26</v>
      </c>
      <c r="I30" s="18">
        <f t="shared" si="2"/>
        <v>3.5999999999999997E-2</v>
      </c>
    </row>
    <row r="31" spans="1:9" x14ac:dyDescent="0.25">
      <c r="A31" t="s">
        <v>43</v>
      </c>
      <c r="B31" t="s">
        <v>46</v>
      </c>
      <c r="C31" s="10"/>
      <c r="D31" s="10"/>
      <c r="E31" s="10"/>
      <c r="F31" s="10"/>
      <c r="G31" s="10">
        <f t="shared" si="0"/>
        <v>0</v>
      </c>
      <c r="H31">
        <f t="shared" si="1"/>
        <v>0</v>
      </c>
      <c r="I31" s="18">
        <f t="shared" si="2"/>
        <v>0</v>
      </c>
    </row>
    <row r="32" spans="1:9" x14ac:dyDescent="0.25">
      <c r="A32" t="s">
        <v>15</v>
      </c>
      <c r="B32" t="s">
        <v>18</v>
      </c>
      <c r="C32" s="10"/>
      <c r="D32" s="10"/>
      <c r="E32" s="10"/>
      <c r="F32" s="10"/>
      <c r="G32" s="10">
        <f t="shared" si="0"/>
        <v>0</v>
      </c>
      <c r="H32">
        <f t="shared" si="1"/>
        <v>0</v>
      </c>
      <c r="I32" s="18">
        <f t="shared" si="2"/>
        <v>0</v>
      </c>
    </row>
    <row r="33" spans="1:9" x14ac:dyDescent="0.25">
      <c r="A33" s="3" t="s">
        <v>253</v>
      </c>
      <c r="B33" s="3"/>
      <c r="C33" s="8">
        <f t="shared" ref="C33:H33" si="3">SUM(C8:C32)</f>
        <v>67160</v>
      </c>
      <c r="D33" s="8">
        <f t="shared" si="3"/>
        <v>0</v>
      </c>
      <c r="E33" s="8">
        <f t="shared" si="3"/>
        <v>26125.370000000003</v>
      </c>
      <c r="F33" s="8">
        <f t="shared" si="3"/>
        <v>0</v>
      </c>
      <c r="G33" s="8">
        <f t="shared" si="3"/>
        <v>93285.37</v>
      </c>
      <c r="H33" s="3">
        <f t="shared" si="3"/>
        <v>172.43</v>
      </c>
      <c r="I33" s="3"/>
    </row>
    <row r="34" spans="1:9" x14ac:dyDescent="0.25">
      <c r="A34" s="3" t="s">
        <v>14</v>
      </c>
      <c r="B34" s="3"/>
      <c r="C34" s="12">
        <f>ROUND(C33/G33,2)</f>
        <v>0.72</v>
      </c>
      <c r="D34" s="12">
        <f>ROUND(D33/G33,2)</f>
        <v>0</v>
      </c>
      <c r="E34" s="12">
        <f>ROUND(E33/G33,2)</f>
        <v>0.28000000000000003</v>
      </c>
      <c r="F34" s="12">
        <f>ROUND(F33/G33,2)</f>
        <v>0</v>
      </c>
      <c r="G34" s="7"/>
      <c r="H34" s="7"/>
      <c r="I34" s="3"/>
    </row>
    <row r="35" spans="1:9" x14ac:dyDescent="0.25">
      <c r="A35" s="3" t="s">
        <v>47</v>
      </c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 t="s">
        <v>48</v>
      </c>
      <c r="B36" s="3"/>
      <c r="C36" s="8">
        <v>41490</v>
      </c>
      <c r="D36" s="8">
        <v>0</v>
      </c>
      <c r="E36" s="8">
        <v>22739.06</v>
      </c>
      <c r="F36" s="8">
        <v>0</v>
      </c>
      <c r="G36" s="8">
        <f>SUM(C36:F36)</f>
        <v>64229.06</v>
      </c>
      <c r="H36" s="20">
        <f>ROUND(G36/541,2)</f>
        <v>118.72</v>
      </c>
      <c r="I36" s="3"/>
    </row>
    <row r="37" spans="1:9" x14ac:dyDescent="0.25">
      <c r="A37" s="3" t="s">
        <v>49</v>
      </c>
      <c r="B37" s="3"/>
      <c r="C37" s="8">
        <v>25670</v>
      </c>
      <c r="D37" s="8">
        <v>0</v>
      </c>
      <c r="E37" s="8">
        <v>3386.31</v>
      </c>
      <c r="F37" s="8">
        <v>0</v>
      </c>
      <c r="G37" s="8">
        <f>SUM(C37:F37)</f>
        <v>29056.31</v>
      </c>
      <c r="H37" s="20">
        <f>ROUND(G37/541,2)</f>
        <v>53.71</v>
      </c>
      <c r="I37" s="3"/>
    </row>
    <row r="38" spans="1:9" x14ac:dyDescent="0.25">
      <c r="A38" s="3" t="s">
        <v>50</v>
      </c>
      <c r="B38" s="3"/>
      <c r="C38" s="8">
        <v>0</v>
      </c>
      <c r="D38" s="8">
        <v>0</v>
      </c>
      <c r="E38" s="8">
        <v>0</v>
      </c>
      <c r="F38" s="8">
        <v>0</v>
      </c>
      <c r="G38" s="8">
        <f>SUM(C38:F38)</f>
        <v>0</v>
      </c>
      <c r="H38" s="20">
        <f>ROUND(G38/541,2)</f>
        <v>0</v>
      </c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 t="s">
        <v>2</v>
      </c>
      <c r="D40" s="3">
        <v>2022</v>
      </c>
      <c r="E40" s="3" t="s">
        <v>51</v>
      </c>
      <c r="F40" s="3"/>
      <c r="G40" s="3"/>
      <c r="H40" s="3"/>
      <c r="I40" s="3"/>
    </row>
    <row r="41" spans="1:9" x14ac:dyDescent="0.25">
      <c r="A41" s="3" t="s">
        <v>52</v>
      </c>
      <c r="B41" s="3"/>
      <c r="C41" s="12">
        <v>0.69399999999999995</v>
      </c>
      <c r="D41" s="12">
        <v>0.74050000000000005</v>
      </c>
      <c r="E41" s="12">
        <v>0.77659999999999996</v>
      </c>
      <c r="F41" s="3"/>
      <c r="G41" s="3"/>
      <c r="H41" s="3"/>
      <c r="I41" s="3"/>
    </row>
    <row r="42" spans="1:9" x14ac:dyDescent="0.25">
      <c r="A42" s="3" t="s">
        <v>53</v>
      </c>
      <c r="B42" s="3"/>
      <c r="C42" s="12">
        <v>0.69399999999999995</v>
      </c>
      <c r="D42" s="12">
        <v>0.70269999999999999</v>
      </c>
      <c r="E42" s="12">
        <v>0.75900000000000001</v>
      </c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 t="s">
        <v>256</v>
      </c>
      <c r="B44" s="3"/>
      <c r="C44" s="3" t="s">
        <v>2</v>
      </c>
      <c r="D44" s="3" t="s">
        <v>252</v>
      </c>
      <c r="E44" s="3" t="s">
        <v>55</v>
      </c>
      <c r="F44" s="3" t="s">
        <v>254</v>
      </c>
      <c r="G44" s="3"/>
      <c r="H44" s="3"/>
      <c r="I44" s="3"/>
    </row>
    <row r="45" spans="1:9" x14ac:dyDescent="0.25">
      <c r="A45" s="3" t="s">
        <v>56</v>
      </c>
      <c r="B45" s="3"/>
      <c r="C45" s="3"/>
      <c r="D45" s="3">
        <v>74.02</v>
      </c>
      <c r="E45" s="3">
        <v>81.5</v>
      </c>
      <c r="F45" s="3">
        <v>50.61</v>
      </c>
      <c r="G45" s="3"/>
      <c r="H45" s="3"/>
      <c r="I45" s="3"/>
    </row>
    <row r="46" spans="1:9" x14ac:dyDescent="0.25">
      <c r="A46" s="3" t="s">
        <v>57</v>
      </c>
      <c r="B46" s="3"/>
      <c r="C46" s="3"/>
      <c r="D46" s="3">
        <v>46.24</v>
      </c>
      <c r="E46" s="3">
        <v>58.24</v>
      </c>
      <c r="F46" s="3">
        <v>57.37</v>
      </c>
      <c r="G46" s="3"/>
      <c r="H46" s="3"/>
      <c r="I46" s="3"/>
    </row>
    <row r="47" spans="1:9" x14ac:dyDescent="0.25">
      <c r="A47" s="3" t="s">
        <v>58</v>
      </c>
      <c r="B47" s="3"/>
      <c r="C47" s="3"/>
      <c r="D47" s="3">
        <v>239.69</v>
      </c>
      <c r="E47" s="3">
        <v>261.52999999999997</v>
      </c>
      <c r="F47" s="3">
        <v>249.57</v>
      </c>
      <c r="G47" s="3"/>
      <c r="H47" s="3"/>
      <c r="I47" s="3"/>
    </row>
    <row r="48" spans="1:9" x14ac:dyDescent="0.25">
      <c r="A48" s="3" t="s">
        <v>59</v>
      </c>
      <c r="B48" s="3"/>
      <c r="C48" s="3"/>
      <c r="D48" s="3">
        <v>94.4</v>
      </c>
      <c r="E48" s="3">
        <v>103.11</v>
      </c>
      <c r="F48" s="3">
        <v>71.400000000000006</v>
      </c>
      <c r="G48" s="3"/>
      <c r="H48" s="3"/>
      <c r="I4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6"/>
  <sheetViews>
    <sheetView topLeftCell="A33" workbookViewId="0">
      <selection activeCell="G53" sqref="G53:G56"/>
    </sheetView>
  </sheetViews>
  <sheetFormatPr defaultRowHeight="15" x14ac:dyDescent="0.25"/>
  <cols>
    <col min="1" max="1" width="48.28515625" bestFit="1" customWidth="1"/>
    <col min="2" max="2" width="39.42578125" bestFit="1" customWidth="1"/>
    <col min="3" max="3" width="12.5703125" bestFit="1" customWidth="1"/>
    <col min="4" max="4" width="21.7109375" bestFit="1" customWidth="1"/>
    <col min="5" max="5" width="13.7109375" bestFit="1" customWidth="1"/>
    <col min="6" max="6" width="7.42578125" bestFit="1" customWidth="1"/>
    <col min="7" max="7" width="15.28515625" bestFit="1" customWidth="1"/>
    <col min="8" max="8" width="15.7109375" bestFit="1" customWidth="1"/>
    <col min="9" max="9" width="9.5703125" bestFit="1" customWidth="1"/>
  </cols>
  <sheetData>
    <row r="2" spans="1:9" ht="18.75" x14ac:dyDescent="0.3">
      <c r="A2" s="1" t="s">
        <v>0</v>
      </c>
      <c r="B2" s="2" t="s">
        <v>85</v>
      </c>
    </row>
    <row r="3" spans="1:9" x14ac:dyDescent="0.25">
      <c r="A3" s="1" t="s">
        <v>2</v>
      </c>
      <c r="B3" t="s">
        <v>3</v>
      </c>
    </row>
    <row r="4" spans="1:9" x14ac:dyDescent="0.25">
      <c r="A4" s="1" t="s">
        <v>4</v>
      </c>
      <c r="B4">
        <v>3899</v>
      </c>
    </row>
    <row r="7" spans="1:9" x14ac:dyDescent="0.25">
      <c r="C7" s="1" t="s">
        <v>5</v>
      </c>
    </row>
    <row r="8" spans="1:9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</row>
    <row r="9" spans="1:9" x14ac:dyDescent="0.25">
      <c r="A9" t="s">
        <v>19</v>
      </c>
      <c r="B9" t="s">
        <v>64</v>
      </c>
      <c r="C9" s="10"/>
      <c r="D9" s="10"/>
      <c r="E9" s="10">
        <v>29</v>
      </c>
      <c r="F9" s="10"/>
      <c r="G9" s="10">
        <f t="shared" ref="G9:G40" si="0">SUM(C9:F9)</f>
        <v>29</v>
      </c>
      <c r="H9">
        <f t="shared" ref="H9:H40" si="1">ROUND(G9/3899,2)</f>
        <v>0.01</v>
      </c>
      <c r="I9" s="14">
        <f t="shared" ref="I9:I40" si="2">ROUND(G9/$G$41,3)</f>
        <v>0</v>
      </c>
    </row>
    <row r="10" spans="1:9" x14ac:dyDescent="0.25">
      <c r="A10" t="s">
        <v>19</v>
      </c>
      <c r="B10" t="s">
        <v>20</v>
      </c>
      <c r="C10" s="10">
        <v>73600</v>
      </c>
      <c r="D10" s="10"/>
      <c r="E10" s="10">
        <v>8755</v>
      </c>
      <c r="F10" s="10"/>
      <c r="G10" s="10">
        <f t="shared" si="0"/>
        <v>82355</v>
      </c>
      <c r="H10">
        <f t="shared" si="1"/>
        <v>21.12</v>
      </c>
      <c r="I10" s="14">
        <f t="shared" si="2"/>
        <v>9.6000000000000002E-2</v>
      </c>
    </row>
    <row r="11" spans="1:9" x14ac:dyDescent="0.25">
      <c r="A11" t="s">
        <v>19</v>
      </c>
      <c r="B11" t="s">
        <v>21</v>
      </c>
      <c r="C11" s="10">
        <v>101470</v>
      </c>
      <c r="D11" s="10"/>
      <c r="E11" s="10"/>
      <c r="F11" s="10"/>
      <c r="G11" s="10">
        <f t="shared" si="0"/>
        <v>101470</v>
      </c>
      <c r="H11">
        <f t="shared" si="1"/>
        <v>26.02</v>
      </c>
      <c r="I11" s="14">
        <f t="shared" si="2"/>
        <v>0.11899999999999999</v>
      </c>
    </row>
    <row r="12" spans="1:9" x14ac:dyDescent="0.25">
      <c r="A12" t="s">
        <v>19</v>
      </c>
      <c r="B12" t="s">
        <v>76</v>
      </c>
      <c r="C12" s="10"/>
      <c r="D12" s="10"/>
      <c r="E12" s="10">
        <v>168</v>
      </c>
      <c r="F12" s="10"/>
      <c r="G12" s="10">
        <f t="shared" si="0"/>
        <v>168</v>
      </c>
      <c r="H12">
        <f t="shared" si="1"/>
        <v>0.04</v>
      </c>
      <c r="I12" s="14">
        <f t="shared" si="2"/>
        <v>0</v>
      </c>
    </row>
    <row r="13" spans="1:9" x14ac:dyDescent="0.25">
      <c r="A13" t="s">
        <v>19</v>
      </c>
      <c r="B13" t="s">
        <v>41</v>
      </c>
      <c r="C13" s="10"/>
      <c r="D13" s="10"/>
      <c r="E13" s="10">
        <v>147</v>
      </c>
      <c r="F13" s="10"/>
      <c r="G13" s="10">
        <f t="shared" si="0"/>
        <v>147</v>
      </c>
      <c r="H13">
        <f t="shared" si="1"/>
        <v>0.04</v>
      </c>
      <c r="I13" s="14">
        <f t="shared" si="2"/>
        <v>0</v>
      </c>
    </row>
    <row r="14" spans="1:9" x14ac:dyDescent="0.25">
      <c r="A14" t="s">
        <v>19</v>
      </c>
      <c r="B14" t="s">
        <v>22</v>
      </c>
      <c r="C14" s="10"/>
      <c r="D14" s="10"/>
      <c r="E14" s="10">
        <v>3200</v>
      </c>
      <c r="F14" s="10"/>
      <c r="G14" s="10">
        <f t="shared" si="0"/>
        <v>3200</v>
      </c>
      <c r="H14">
        <f t="shared" si="1"/>
        <v>0.82</v>
      </c>
      <c r="I14" s="14">
        <f t="shared" si="2"/>
        <v>4.0000000000000001E-3</v>
      </c>
    </row>
    <row r="15" spans="1:9" x14ac:dyDescent="0.25">
      <c r="A15" t="s">
        <v>19</v>
      </c>
      <c r="B15" t="s">
        <v>23</v>
      </c>
      <c r="C15" s="10"/>
      <c r="D15" s="10"/>
      <c r="E15" s="10">
        <v>47880</v>
      </c>
      <c r="F15" s="10"/>
      <c r="G15" s="10">
        <f t="shared" si="0"/>
        <v>47880</v>
      </c>
      <c r="H15">
        <f t="shared" si="1"/>
        <v>12.28</v>
      </c>
      <c r="I15" s="14">
        <f t="shared" si="2"/>
        <v>5.6000000000000001E-2</v>
      </c>
    </row>
    <row r="16" spans="1:9" x14ac:dyDescent="0.25">
      <c r="A16" t="s">
        <v>19</v>
      </c>
      <c r="B16" t="s">
        <v>24</v>
      </c>
      <c r="C16" s="10">
        <v>128960</v>
      </c>
      <c r="D16" s="10"/>
      <c r="E16" s="10">
        <v>5290</v>
      </c>
      <c r="F16" s="10"/>
      <c r="G16" s="10">
        <f t="shared" si="0"/>
        <v>134250</v>
      </c>
      <c r="H16">
        <f t="shared" si="1"/>
        <v>34.43</v>
      </c>
      <c r="I16" s="14">
        <f t="shared" si="2"/>
        <v>0.157</v>
      </c>
    </row>
    <row r="17" spans="1:9" x14ac:dyDescent="0.25">
      <c r="A17" t="s">
        <v>19</v>
      </c>
      <c r="B17" t="s">
        <v>66</v>
      </c>
      <c r="C17" s="10"/>
      <c r="D17" s="10"/>
      <c r="E17" s="10">
        <v>2640</v>
      </c>
      <c r="F17" s="10"/>
      <c r="G17" s="10">
        <f t="shared" si="0"/>
        <v>2640</v>
      </c>
      <c r="H17">
        <f t="shared" si="1"/>
        <v>0.68</v>
      </c>
      <c r="I17" s="14">
        <f t="shared" si="2"/>
        <v>3.0000000000000001E-3</v>
      </c>
    </row>
    <row r="18" spans="1:9" x14ac:dyDescent="0.25">
      <c r="A18" t="s">
        <v>19</v>
      </c>
      <c r="B18" t="s">
        <v>25</v>
      </c>
      <c r="C18" s="10">
        <v>182140</v>
      </c>
      <c r="D18" s="10"/>
      <c r="E18" s="10"/>
      <c r="F18" s="10">
        <v>820</v>
      </c>
      <c r="G18" s="10">
        <f t="shared" si="0"/>
        <v>182960</v>
      </c>
      <c r="H18">
        <f t="shared" si="1"/>
        <v>46.92</v>
      </c>
      <c r="I18" s="14">
        <f t="shared" si="2"/>
        <v>0.214</v>
      </c>
    </row>
    <row r="19" spans="1:9" x14ac:dyDescent="0.25">
      <c r="A19" t="s">
        <v>19</v>
      </c>
      <c r="B19" t="s">
        <v>26</v>
      </c>
      <c r="C19" s="10"/>
      <c r="D19" s="10"/>
      <c r="E19" s="10">
        <v>444</v>
      </c>
      <c r="F19" s="10"/>
      <c r="G19" s="10">
        <f t="shared" si="0"/>
        <v>444</v>
      </c>
      <c r="H19">
        <f t="shared" si="1"/>
        <v>0.11</v>
      </c>
      <c r="I19" s="14">
        <f t="shared" si="2"/>
        <v>1E-3</v>
      </c>
    </row>
    <row r="20" spans="1:9" x14ac:dyDescent="0.25">
      <c r="A20" t="s">
        <v>19</v>
      </c>
      <c r="B20" t="s">
        <v>27</v>
      </c>
      <c r="C20" s="10"/>
      <c r="D20" s="10"/>
      <c r="E20" s="10">
        <v>260</v>
      </c>
      <c r="F20" s="10"/>
      <c r="G20" s="10">
        <f t="shared" si="0"/>
        <v>260</v>
      </c>
      <c r="H20">
        <f t="shared" si="1"/>
        <v>7.0000000000000007E-2</v>
      </c>
      <c r="I20" s="14">
        <f t="shared" si="2"/>
        <v>0</v>
      </c>
    </row>
    <row r="21" spans="1:9" x14ac:dyDescent="0.25">
      <c r="A21" t="s">
        <v>19</v>
      </c>
      <c r="B21" t="s">
        <v>28</v>
      </c>
      <c r="C21" s="10"/>
      <c r="D21" s="10"/>
      <c r="E21" s="10">
        <v>142</v>
      </c>
      <c r="F21" s="10"/>
      <c r="G21" s="10">
        <f t="shared" si="0"/>
        <v>142</v>
      </c>
      <c r="H21">
        <f t="shared" si="1"/>
        <v>0.04</v>
      </c>
      <c r="I21" s="14">
        <f t="shared" si="2"/>
        <v>0</v>
      </c>
    </row>
    <row r="22" spans="1:9" x14ac:dyDescent="0.25">
      <c r="A22" t="s">
        <v>19</v>
      </c>
      <c r="B22" t="s">
        <v>29</v>
      </c>
      <c r="C22" s="10"/>
      <c r="D22" s="10"/>
      <c r="E22" s="10">
        <v>1212</v>
      </c>
      <c r="F22" s="10"/>
      <c r="G22" s="10">
        <f t="shared" si="0"/>
        <v>1212</v>
      </c>
      <c r="H22">
        <f t="shared" si="1"/>
        <v>0.31</v>
      </c>
      <c r="I22" s="14">
        <f t="shared" si="2"/>
        <v>1E-3</v>
      </c>
    </row>
    <row r="23" spans="1:9" x14ac:dyDescent="0.25">
      <c r="A23" t="s">
        <v>19</v>
      </c>
      <c r="B23" t="s">
        <v>30</v>
      </c>
      <c r="C23" s="10"/>
      <c r="D23" s="10"/>
      <c r="E23" s="10">
        <v>500</v>
      </c>
      <c r="F23" s="10"/>
      <c r="G23" s="10">
        <f t="shared" si="0"/>
        <v>500</v>
      </c>
      <c r="H23">
        <f t="shared" si="1"/>
        <v>0.13</v>
      </c>
      <c r="I23" s="14">
        <f t="shared" si="2"/>
        <v>1E-3</v>
      </c>
    </row>
    <row r="24" spans="1:9" x14ac:dyDescent="0.25">
      <c r="A24" t="s">
        <v>19</v>
      </c>
      <c r="B24" t="s">
        <v>31</v>
      </c>
      <c r="C24" s="10"/>
      <c r="D24" s="10"/>
      <c r="E24" s="10">
        <v>650</v>
      </c>
      <c r="F24" s="10"/>
      <c r="G24" s="10">
        <f t="shared" si="0"/>
        <v>650</v>
      </c>
      <c r="H24">
        <f t="shared" si="1"/>
        <v>0.17</v>
      </c>
      <c r="I24" s="14">
        <f t="shared" si="2"/>
        <v>1E-3</v>
      </c>
    </row>
    <row r="25" spans="1:9" x14ac:dyDescent="0.25">
      <c r="A25" t="s">
        <v>19</v>
      </c>
      <c r="B25" t="s">
        <v>32</v>
      </c>
      <c r="C25" s="10"/>
      <c r="D25" s="10"/>
      <c r="E25" s="10">
        <v>1355</v>
      </c>
      <c r="F25" s="10"/>
      <c r="G25" s="10">
        <f t="shared" si="0"/>
        <v>1355</v>
      </c>
      <c r="H25">
        <f t="shared" si="1"/>
        <v>0.35</v>
      </c>
      <c r="I25" s="14">
        <f t="shared" si="2"/>
        <v>2E-3</v>
      </c>
    </row>
    <row r="26" spans="1:9" x14ac:dyDescent="0.25">
      <c r="A26" t="s">
        <v>19</v>
      </c>
      <c r="B26" t="s">
        <v>42</v>
      </c>
      <c r="C26" s="10"/>
      <c r="D26" s="10">
        <v>154</v>
      </c>
      <c r="E26" s="10"/>
      <c r="F26" s="10"/>
      <c r="G26" s="10">
        <f t="shared" si="0"/>
        <v>154</v>
      </c>
      <c r="H26">
        <f t="shared" si="1"/>
        <v>0.04</v>
      </c>
      <c r="I26" s="14">
        <f t="shared" si="2"/>
        <v>0</v>
      </c>
    </row>
    <row r="27" spans="1:9" x14ac:dyDescent="0.25">
      <c r="A27" t="s">
        <v>19</v>
      </c>
      <c r="B27" t="s">
        <v>33</v>
      </c>
      <c r="C27" s="10"/>
      <c r="D27" s="10"/>
      <c r="E27" s="10">
        <v>220</v>
      </c>
      <c r="F27" s="10"/>
      <c r="G27" s="10">
        <f t="shared" si="0"/>
        <v>220</v>
      </c>
      <c r="H27">
        <f t="shared" si="1"/>
        <v>0.06</v>
      </c>
      <c r="I27" s="14">
        <f t="shared" si="2"/>
        <v>0</v>
      </c>
    </row>
    <row r="28" spans="1:9" x14ac:dyDescent="0.25">
      <c r="A28" t="s">
        <v>19</v>
      </c>
      <c r="B28" t="s">
        <v>67</v>
      </c>
      <c r="C28" s="10"/>
      <c r="D28" s="10"/>
      <c r="E28" s="10">
        <v>100</v>
      </c>
      <c r="F28" s="10"/>
      <c r="G28" s="10">
        <f t="shared" si="0"/>
        <v>100</v>
      </c>
      <c r="H28">
        <f t="shared" si="1"/>
        <v>0.03</v>
      </c>
      <c r="I28" s="14">
        <f t="shared" si="2"/>
        <v>0</v>
      </c>
    </row>
    <row r="29" spans="1:9" x14ac:dyDescent="0.25">
      <c r="A29" t="s">
        <v>19</v>
      </c>
      <c r="B29" t="s">
        <v>34</v>
      </c>
      <c r="C29" s="10"/>
      <c r="D29" s="10"/>
      <c r="E29" s="10">
        <v>1399</v>
      </c>
      <c r="F29" s="10"/>
      <c r="G29" s="10">
        <f t="shared" si="0"/>
        <v>1399</v>
      </c>
      <c r="H29">
        <f t="shared" si="1"/>
        <v>0.36</v>
      </c>
      <c r="I29" s="14">
        <f t="shared" si="2"/>
        <v>2E-3</v>
      </c>
    </row>
    <row r="30" spans="1:9" x14ac:dyDescent="0.25">
      <c r="A30" t="s">
        <v>19</v>
      </c>
      <c r="B30" t="s">
        <v>35</v>
      </c>
      <c r="C30" s="10"/>
      <c r="D30" s="10"/>
      <c r="E30" s="10">
        <v>6894</v>
      </c>
      <c r="F30" s="10"/>
      <c r="G30" s="10">
        <f t="shared" si="0"/>
        <v>6894</v>
      </c>
      <c r="H30">
        <f t="shared" si="1"/>
        <v>1.77</v>
      </c>
      <c r="I30" s="14">
        <f t="shared" si="2"/>
        <v>8.0000000000000002E-3</v>
      </c>
    </row>
    <row r="31" spans="1:9" x14ac:dyDescent="0.25">
      <c r="A31" t="s">
        <v>19</v>
      </c>
      <c r="B31" t="s">
        <v>40</v>
      </c>
      <c r="C31" s="10"/>
      <c r="D31" s="10"/>
      <c r="E31" s="10">
        <v>2470</v>
      </c>
      <c r="F31" s="10"/>
      <c r="G31" s="10">
        <f t="shared" si="0"/>
        <v>2470</v>
      </c>
      <c r="H31">
        <f t="shared" si="1"/>
        <v>0.63</v>
      </c>
      <c r="I31" s="14">
        <f t="shared" si="2"/>
        <v>3.0000000000000001E-3</v>
      </c>
    </row>
    <row r="32" spans="1:9" x14ac:dyDescent="0.25">
      <c r="A32" t="s">
        <v>19</v>
      </c>
      <c r="B32" t="s">
        <v>36</v>
      </c>
      <c r="C32" s="10"/>
      <c r="D32" s="10"/>
      <c r="E32" s="10">
        <v>38990</v>
      </c>
      <c r="F32" s="10"/>
      <c r="G32" s="10">
        <f t="shared" si="0"/>
        <v>38990</v>
      </c>
      <c r="H32">
        <f t="shared" si="1"/>
        <v>10</v>
      </c>
      <c r="I32" s="14">
        <f t="shared" si="2"/>
        <v>4.5999999999999999E-2</v>
      </c>
    </row>
    <row r="33" spans="1:9" x14ac:dyDescent="0.25">
      <c r="A33" t="s">
        <v>19</v>
      </c>
      <c r="B33" t="s">
        <v>37</v>
      </c>
      <c r="C33" s="10"/>
      <c r="D33" s="10"/>
      <c r="E33" s="10">
        <v>3300</v>
      </c>
      <c r="F33" s="10"/>
      <c r="G33" s="10">
        <f t="shared" si="0"/>
        <v>3300</v>
      </c>
      <c r="H33">
        <f t="shared" si="1"/>
        <v>0.85</v>
      </c>
      <c r="I33" s="14">
        <f t="shared" si="2"/>
        <v>4.0000000000000001E-3</v>
      </c>
    </row>
    <row r="34" spans="1:9" x14ac:dyDescent="0.25">
      <c r="A34" t="s">
        <v>19</v>
      </c>
      <c r="B34" t="s">
        <v>38</v>
      </c>
      <c r="C34" s="10"/>
      <c r="D34" s="10"/>
      <c r="E34" s="10">
        <v>11490</v>
      </c>
      <c r="F34" s="10"/>
      <c r="G34" s="10">
        <f t="shared" si="0"/>
        <v>11490</v>
      </c>
      <c r="H34">
        <f t="shared" si="1"/>
        <v>2.95</v>
      </c>
      <c r="I34" s="14">
        <f t="shared" si="2"/>
        <v>1.2999999999999999E-2</v>
      </c>
    </row>
    <row r="35" spans="1:9" x14ac:dyDescent="0.25">
      <c r="A35" t="s">
        <v>19</v>
      </c>
      <c r="B35" t="s">
        <v>39</v>
      </c>
      <c r="C35" s="10"/>
      <c r="D35" s="10"/>
      <c r="E35" s="10">
        <v>74320</v>
      </c>
      <c r="F35" s="10">
        <v>2440</v>
      </c>
      <c r="G35" s="10">
        <f t="shared" si="0"/>
        <v>76760</v>
      </c>
      <c r="H35">
        <f t="shared" si="1"/>
        <v>19.690000000000001</v>
      </c>
      <c r="I35" s="14">
        <f t="shared" si="2"/>
        <v>0.09</v>
      </c>
    </row>
    <row r="36" spans="1:9" x14ac:dyDescent="0.25">
      <c r="A36" t="s">
        <v>43</v>
      </c>
      <c r="B36" t="s">
        <v>44</v>
      </c>
      <c r="C36" s="10">
        <v>112510</v>
      </c>
      <c r="D36" s="10"/>
      <c r="E36" s="10"/>
      <c r="F36" s="10">
        <v>1200</v>
      </c>
      <c r="G36" s="10">
        <f t="shared" si="0"/>
        <v>113710</v>
      </c>
      <c r="H36">
        <f t="shared" si="1"/>
        <v>29.16</v>
      </c>
      <c r="I36" s="14">
        <f t="shared" si="2"/>
        <v>0.13300000000000001</v>
      </c>
    </row>
    <row r="37" spans="1:9" x14ac:dyDescent="0.25">
      <c r="A37" t="s">
        <v>43</v>
      </c>
      <c r="B37" t="s">
        <v>46</v>
      </c>
      <c r="C37" s="10"/>
      <c r="D37" s="10"/>
      <c r="E37" s="10"/>
      <c r="F37" s="10">
        <v>20500</v>
      </c>
      <c r="G37" s="10">
        <f t="shared" si="0"/>
        <v>20500</v>
      </c>
      <c r="H37">
        <f t="shared" si="1"/>
        <v>5.26</v>
      </c>
      <c r="I37" s="14">
        <f t="shared" si="2"/>
        <v>2.4E-2</v>
      </c>
    </row>
    <row r="38" spans="1:9" x14ac:dyDescent="0.25">
      <c r="A38" t="s">
        <v>43</v>
      </c>
      <c r="B38" t="s">
        <v>45</v>
      </c>
      <c r="C38" s="10"/>
      <c r="D38" s="10"/>
      <c r="E38" s="10">
        <v>18310</v>
      </c>
      <c r="F38" s="10"/>
      <c r="G38" s="10">
        <f t="shared" si="0"/>
        <v>18310</v>
      </c>
      <c r="H38">
        <f t="shared" si="1"/>
        <v>4.7</v>
      </c>
      <c r="I38" s="14">
        <f t="shared" si="2"/>
        <v>2.1000000000000001E-2</v>
      </c>
    </row>
    <row r="39" spans="1:9" x14ac:dyDescent="0.25">
      <c r="A39" t="s">
        <v>15</v>
      </c>
      <c r="B39" t="s">
        <v>18</v>
      </c>
      <c r="C39" s="10"/>
      <c r="D39" s="10"/>
      <c r="E39" s="10"/>
      <c r="F39" s="10"/>
      <c r="G39" s="10">
        <f t="shared" si="0"/>
        <v>0</v>
      </c>
      <c r="H39">
        <f t="shared" si="1"/>
        <v>0</v>
      </c>
      <c r="I39" s="14">
        <f t="shared" si="2"/>
        <v>0</v>
      </c>
    </row>
    <row r="40" spans="1:9" x14ac:dyDescent="0.25">
      <c r="A40" t="s">
        <v>15</v>
      </c>
      <c r="B40" t="s">
        <v>63</v>
      </c>
      <c r="C40" s="10"/>
      <c r="D40" s="10"/>
      <c r="E40" s="10"/>
      <c r="F40" s="10"/>
      <c r="G40" s="10">
        <f t="shared" si="0"/>
        <v>0</v>
      </c>
      <c r="H40">
        <f t="shared" si="1"/>
        <v>0</v>
      </c>
      <c r="I40" s="14">
        <f t="shared" si="2"/>
        <v>0</v>
      </c>
    </row>
    <row r="41" spans="1:9" x14ac:dyDescent="0.25">
      <c r="A41" s="3" t="s">
        <v>253</v>
      </c>
      <c r="B41" s="3"/>
      <c r="C41" s="8">
        <f t="shared" ref="C41:H41" si="3">SUM(C8:C40)</f>
        <v>598680</v>
      </c>
      <c r="D41" s="8">
        <f t="shared" si="3"/>
        <v>154</v>
      </c>
      <c r="E41" s="8">
        <f t="shared" si="3"/>
        <v>230165</v>
      </c>
      <c r="F41" s="8">
        <f t="shared" si="3"/>
        <v>24960</v>
      </c>
      <c r="G41" s="8">
        <f t="shared" si="3"/>
        <v>853959</v>
      </c>
      <c r="H41" s="3">
        <f t="shared" si="3"/>
        <v>219.03999999999996</v>
      </c>
    </row>
    <row r="42" spans="1:9" x14ac:dyDescent="0.25">
      <c r="A42" s="3" t="s">
        <v>14</v>
      </c>
      <c r="B42" s="3"/>
      <c r="C42" s="13">
        <f>ROUND(C41/G41,2)</f>
        <v>0.7</v>
      </c>
      <c r="D42" s="13">
        <f>ROUND(D41/G41,2)</f>
        <v>0</v>
      </c>
      <c r="E42" s="13">
        <f>ROUND(E41/G41,2)</f>
        <v>0.27</v>
      </c>
      <c r="F42" s="13">
        <f>ROUND(F41/G41,2)</f>
        <v>0.03</v>
      </c>
      <c r="G42" s="3"/>
      <c r="H42" s="3"/>
    </row>
    <row r="43" spans="1:9" x14ac:dyDescent="0.25">
      <c r="A43" s="3" t="s">
        <v>47</v>
      </c>
      <c r="B43" s="3"/>
      <c r="C43" s="3"/>
      <c r="D43" s="3"/>
      <c r="E43" s="3"/>
      <c r="F43" s="3"/>
      <c r="G43" s="3"/>
      <c r="H43" s="3"/>
    </row>
    <row r="44" spans="1:9" x14ac:dyDescent="0.25">
      <c r="A44" s="3" t="s">
        <v>48</v>
      </c>
      <c r="B44" s="3"/>
      <c r="C44" s="8">
        <v>486170</v>
      </c>
      <c r="D44" s="8">
        <v>154</v>
      </c>
      <c r="E44" s="8">
        <v>211855</v>
      </c>
      <c r="F44" s="8">
        <v>3260</v>
      </c>
      <c r="G44" s="8">
        <f>SUM(C44:F44)</f>
        <v>701439</v>
      </c>
      <c r="H44" s="3">
        <f>ROUND(G44/3899,2)</f>
        <v>179.9</v>
      </c>
    </row>
    <row r="45" spans="1:9" x14ac:dyDescent="0.25">
      <c r="A45" s="3" t="s">
        <v>49</v>
      </c>
      <c r="B45" s="3"/>
      <c r="C45" s="8">
        <v>112510</v>
      </c>
      <c r="D45" s="8">
        <v>0</v>
      </c>
      <c r="E45" s="8">
        <v>18310</v>
      </c>
      <c r="F45" s="8">
        <v>21700</v>
      </c>
      <c r="G45" s="8">
        <f>SUM(C45:F45)</f>
        <v>152520</v>
      </c>
      <c r="H45" s="3">
        <f>ROUND(G45/3899,2)</f>
        <v>39.119999999999997</v>
      </c>
    </row>
    <row r="46" spans="1:9" x14ac:dyDescent="0.25">
      <c r="A46" s="3" t="s">
        <v>50</v>
      </c>
      <c r="B46" s="3"/>
      <c r="C46" s="8">
        <v>0</v>
      </c>
      <c r="D46" s="8">
        <v>0</v>
      </c>
      <c r="E46" s="8">
        <v>0</v>
      </c>
      <c r="F46" s="8">
        <v>0</v>
      </c>
      <c r="G46" s="8">
        <f>SUM(C46:F46)</f>
        <v>0</v>
      </c>
      <c r="H46" s="3">
        <f>ROUND(G46/3899,2)</f>
        <v>0</v>
      </c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A48" s="3"/>
      <c r="B48" s="3"/>
      <c r="C48" s="3" t="s">
        <v>2</v>
      </c>
      <c r="D48" s="3">
        <v>2022</v>
      </c>
      <c r="E48" s="3" t="s">
        <v>51</v>
      </c>
      <c r="F48" s="3"/>
      <c r="G48" s="3"/>
      <c r="H48" s="3"/>
    </row>
    <row r="49" spans="1:8" x14ac:dyDescent="0.25">
      <c r="A49" s="3" t="s">
        <v>52</v>
      </c>
      <c r="B49" s="3"/>
      <c r="C49" s="13">
        <v>0.85840000000000005</v>
      </c>
      <c r="D49" s="13">
        <v>0.8538</v>
      </c>
      <c r="E49" s="13">
        <v>0.77659999999999996</v>
      </c>
      <c r="F49" s="3"/>
      <c r="G49" s="3"/>
      <c r="H49" s="3"/>
    </row>
    <row r="50" spans="1:8" x14ac:dyDescent="0.25">
      <c r="A50" s="3" t="s">
        <v>53</v>
      </c>
      <c r="B50" s="3"/>
      <c r="C50" s="13">
        <v>0.84830000000000005</v>
      </c>
      <c r="D50" s="13">
        <v>0.84040000000000004</v>
      </c>
      <c r="E50" s="13">
        <v>0.75900000000000001</v>
      </c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 t="s">
        <v>256</v>
      </c>
      <c r="B52" s="3"/>
      <c r="C52" s="3" t="s">
        <v>2</v>
      </c>
      <c r="D52" s="3" t="s">
        <v>86</v>
      </c>
      <c r="E52" s="3" t="s">
        <v>55</v>
      </c>
      <c r="F52" s="3" t="s">
        <v>254</v>
      </c>
      <c r="G52" s="3"/>
      <c r="H52" s="3"/>
    </row>
    <row r="53" spans="1:8" x14ac:dyDescent="0.25">
      <c r="A53" s="3" t="s">
        <v>56</v>
      </c>
      <c r="B53" s="3"/>
      <c r="C53" s="3"/>
      <c r="D53" s="3">
        <v>59.43</v>
      </c>
      <c r="E53" s="3">
        <v>81.5</v>
      </c>
      <c r="F53" s="3">
        <v>50.61</v>
      </c>
      <c r="G53" s="3"/>
      <c r="H53" s="3"/>
    </row>
    <row r="54" spans="1:8" x14ac:dyDescent="0.25">
      <c r="A54" s="3" t="s">
        <v>57</v>
      </c>
      <c r="B54" s="3"/>
      <c r="C54" s="3"/>
      <c r="D54" s="3">
        <v>73.260000000000005</v>
      </c>
      <c r="E54" s="3">
        <v>58.24</v>
      </c>
      <c r="F54" s="3">
        <v>57.37</v>
      </c>
      <c r="G54" s="3"/>
      <c r="H54" s="3"/>
    </row>
    <row r="55" spans="1:8" x14ac:dyDescent="0.25">
      <c r="A55" s="3" t="s">
        <v>58</v>
      </c>
      <c r="B55" s="3"/>
      <c r="C55" s="3"/>
      <c r="D55" s="3">
        <v>319.89</v>
      </c>
      <c r="E55" s="3">
        <v>261.52999999999997</v>
      </c>
      <c r="F55" s="3">
        <v>249.57</v>
      </c>
      <c r="G55" s="3"/>
      <c r="H55" s="3"/>
    </row>
    <row r="56" spans="1:8" x14ac:dyDescent="0.25">
      <c r="A56" s="3" t="s">
        <v>59</v>
      </c>
      <c r="B56" s="3"/>
      <c r="C56" s="3"/>
      <c r="D56" s="3">
        <v>82.35</v>
      </c>
      <c r="E56" s="3">
        <v>103.11</v>
      </c>
      <c r="F56" s="3">
        <v>71.400000000000006</v>
      </c>
      <c r="G56" s="3"/>
      <c r="H56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81</vt:i4>
      </vt:variant>
    </vt:vector>
  </HeadingPairs>
  <TitlesOfParts>
    <vt:vector size="81" baseType="lpstr">
      <vt:lpstr>Legenda</vt:lpstr>
      <vt:lpstr>AMARO</vt:lpstr>
      <vt:lpstr>AMPEZZO</vt:lpstr>
      <vt:lpstr>ARTA TERME</vt:lpstr>
      <vt:lpstr>ARTEGNA</vt:lpstr>
      <vt:lpstr>BASILIANO</vt:lpstr>
      <vt:lpstr>BERTIOLO</vt:lpstr>
      <vt:lpstr>BORDANO</vt:lpstr>
      <vt:lpstr>BUTTRIO</vt:lpstr>
      <vt:lpstr>CAMINO AL </vt:lpstr>
      <vt:lpstr>CAMPOFORMI</vt:lpstr>
      <vt:lpstr>CAVAZZO CA</vt:lpstr>
      <vt:lpstr>CERCIVENTO</vt:lpstr>
      <vt:lpstr>CODROIPO</vt:lpstr>
      <vt:lpstr>COLLOREDO </vt:lpstr>
      <vt:lpstr>COMEGLIANS</vt:lpstr>
      <vt:lpstr>CORNO DI R</vt:lpstr>
      <vt:lpstr>COSEANO</vt:lpstr>
      <vt:lpstr>DIGNANO</vt:lpstr>
      <vt:lpstr>DOGNA</vt:lpstr>
      <vt:lpstr>ENEMONZO</vt:lpstr>
      <vt:lpstr>FAGAGNA</vt:lpstr>
      <vt:lpstr>FLAIBANO</vt:lpstr>
      <vt:lpstr>FORGARIA N</vt:lpstr>
      <vt:lpstr>FORNI AVOL</vt:lpstr>
      <vt:lpstr>FORNI DI S</vt:lpstr>
      <vt:lpstr>FORNI DI S 1</vt:lpstr>
      <vt:lpstr>GEMONA DEL</vt:lpstr>
      <vt:lpstr>LAUCO</vt:lpstr>
      <vt:lpstr>LESTIZZA</vt:lpstr>
      <vt:lpstr>LUSEVERA</vt:lpstr>
      <vt:lpstr>MAGNANO IN</vt:lpstr>
      <vt:lpstr>MAJANO</vt:lpstr>
      <vt:lpstr>MARTIGNACC</vt:lpstr>
      <vt:lpstr>MOGGIO UDI</vt:lpstr>
      <vt:lpstr>MOIMACCO</vt:lpstr>
      <vt:lpstr>MONTENARS</vt:lpstr>
      <vt:lpstr>MORTEGLIAN</vt:lpstr>
      <vt:lpstr>MORUZZO</vt:lpstr>
      <vt:lpstr>NIMIS</vt:lpstr>
      <vt:lpstr>OSOPPO</vt:lpstr>
      <vt:lpstr>OVARO</vt:lpstr>
      <vt:lpstr>PAGNACCO</vt:lpstr>
      <vt:lpstr>PALUZZA</vt:lpstr>
      <vt:lpstr>PASIAN DI </vt:lpstr>
      <vt:lpstr>PAULARO</vt:lpstr>
      <vt:lpstr>PAVIA DI U</vt:lpstr>
      <vt:lpstr>POZZUOLO D</vt:lpstr>
      <vt:lpstr>PRADAMANO</vt:lpstr>
      <vt:lpstr>PRATO CARN</vt:lpstr>
      <vt:lpstr>PREMARIACC</vt:lpstr>
      <vt:lpstr>PREONE</vt:lpstr>
      <vt:lpstr>RAGOGNA</vt:lpstr>
      <vt:lpstr>RAVASCLETT</vt:lpstr>
      <vt:lpstr>RAVEO</vt:lpstr>
      <vt:lpstr>REANA DEL </vt:lpstr>
      <vt:lpstr>REMANZACCO</vt:lpstr>
      <vt:lpstr>RESIUTTA</vt:lpstr>
      <vt:lpstr>RIGOLATO</vt:lpstr>
      <vt:lpstr>RIVE D'ARC</vt:lpstr>
      <vt:lpstr>RIVIGNANO </vt:lpstr>
      <vt:lpstr>SAN DANIEL</vt:lpstr>
      <vt:lpstr>SAN DORLIG</vt:lpstr>
      <vt:lpstr>SAN GIOVAN</vt:lpstr>
      <vt:lpstr>SAN VITO D</vt:lpstr>
      <vt:lpstr>SAPPADA</vt:lpstr>
      <vt:lpstr>SAURIS</vt:lpstr>
      <vt:lpstr>SEDEGLIANO</vt:lpstr>
      <vt:lpstr>SOCCHIEVE</vt:lpstr>
      <vt:lpstr>SUTRIO</vt:lpstr>
      <vt:lpstr>TAIPANA</vt:lpstr>
      <vt:lpstr>TARCENTO</vt:lpstr>
      <vt:lpstr>TOLMEZZO</vt:lpstr>
      <vt:lpstr>TRASAGHIS</vt:lpstr>
      <vt:lpstr>TREPPO GRA</vt:lpstr>
      <vt:lpstr>TREPPO LIG</vt:lpstr>
      <vt:lpstr>VARMO</vt:lpstr>
      <vt:lpstr>VENZONE</vt:lpstr>
      <vt:lpstr>VERZEGNIS</vt:lpstr>
      <vt:lpstr>VILLA SANT</vt:lpstr>
      <vt:lpstr>ZUGLIO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Michela Dosualdo</cp:lastModifiedBy>
  <cp:lastPrinted>2023-10-09T09:17:33Z</cp:lastPrinted>
  <dcterms:created xsi:type="dcterms:W3CDTF">2023-09-22T09:26:11Z</dcterms:created>
  <dcterms:modified xsi:type="dcterms:W3CDTF">2023-10-19T08:26:42Z</dcterms:modified>
  <cp:category/>
</cp:coreProperties>
</file>