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O:\AREA COMUNICAZIONE\SITO INTERNET A&amp;T2000\RISULTATI RACCOLTA\2023\ANNO 2023\"/>
    </mc:Choice>
  </mc:AlternateContent>
  <xr:revisionPtr revIDLastSave="0" documentId="13_ncr:1_{BAD682CD-B9CE-4EE4-9BB0-9D2626035944}" xr6:coauthVersionLast="47" xr6:coauthVersionMax="47" xr10:uidLastSave="{00000000-0000-0000-0000-000000000000}"/>
  <bookViews>
    <workbookView xWindow="-120" yWindow="-120" windowWidth="29040" windowHeight="15720" tabRatio="875" xr2:uid="{00000000-000D-0000-FFFF-FFFF00000000}"/>
  </bookViews>
  <sheets>
    <sheet name="Legenda" sheetId="81" r:id="rId1"/>
    <sheet name="AMARO" sheetId="1" r:id="rId2"/>
    <sheet name="AMPEZZO" sheetId="82" r:id="rId3"/>
    <sheet name="ARTA TERME" sheetId="3" r:id="rId4"/>
    <sheet name="ARTEGNA" sheetId="4" r:id="rId5"/>
    <sheet name="BASILIANO" sheetId="5" r:id="rId6"/>
    <sheet name="BERTIOLO" sheetId="6" r:id="rId7"/>
    <sheet name="BORDANO" sheetId="7" r:id="rId8"/>
    <sheet name="BUTTRIO" sheetId="8" r:id="rId9"/>
    <sheet name="CAMINO AL TAGLIAMENTO" sheetId="9" r:id="rId10"/>
    <sheet name="CAMPOFORMIDO" sheetId="10" r:id="rId11"/>
    <sheet name="CAVAZZO CARNICO" sheetId="11" r:id="rId12"/>
    <sheet name="CERCIVENTO" sheetId="12" r:id="rId13"/>
    <sheet name="CODROIPO" sheetId="13" r:id="rId14"/>
    <sheet name="COLLOREDO DI MONTE ALBANO" sheetId="14" r:id="rId15"/>
    <sheet name="COMEGLIANS" sheetId="15" r:id="rId16"/>
    <sheet name="CORNO DI ROSAZZO" sheetId="16" r:id="rId17"/>
    <sheet name="COSEANO" sheetId="17" r:id="rId18"/>
    <sheet name="DIGNANO" sheetId="18" r:id="rId19"/>
    <sheet name="DOGNA" sheetId="19" r:id="rId20"/>
    <sheet name="ENEMONZO" sheetId="20" r:id="rId21"/>
    <sheet name="FAGAGNA" sheetId="21" r:id="rId22"/>
    <sheet name="FLAIBANO" sheetId="22" r:id="rId23"/>
    <sheet name="FORGARIA NEL FRIULI" sheetId="23" r:id="rId24"/>
    <sheet name="FORNI AVOLTRI" sheetId="24" r:id="rId25"/>
    <sheet name="FORNI DI SOPRA" sheetId="25" r:id="rId26"/>
    <sheet name="FORNI DI SOTTO" sheetId="26" r:id="rId27"/>
    <sheet name="GEMONA DEL FRIULI" sheetId="27" r:id="rId28"/>
    <sheet name="LAUCO" sheetId="28" r:id="rId29"/>
    <sheet name="LESTIZZA" sheetId="29" r:id="rId30"/>
    <sheet name="LUSEVERA" sheetId="30" r:id="rId31"/>
    <sheet name="MAGNANO IN RIVIERA" sheetId="31" r:id="rId32"/>
    <sheet name="MAJANO" sheetId="32" r:id="rId33"/>
    <sheet name="MARTIGNACCO" sheetId="33" r:id="rId34"/>
    <sheet name="MOGGIO UDINESE" sheetId="34" r:id="rId35"/>
    <sheet name="MOIMACCO" sheetId="35" r:id="rId36"/>
    <sheet name="MONTENARS" sheetId="36" r:id="rId37"/>
    <sheet name="MORTEGLIANO" sheetId="37" r:id="rId38"/>
    <sheet name="MORUZZO" sheetId="38" r:id="rId39"/>
    <sheet name="NIMIS" sheetId="39" r:id="rId40"/>
    <sheet name="OSOPPO" sheetId="40" r:id="rId41"/>
    <sheet name="OVARO" sheetId="41" r:id="rId42"/>
    <sheet name="PAGNACCO" sheetId="42" r:id="rId43"/>
    <sheet name="PALUZZA" sheetId="43" r:id="rId44"/>
    <sheet name="PASIAN DI PRATO" sheetId="44" r:id="rId45"/>
    <sheet name="PAULARO" sheetId="45" r:id="rId46"/>
    <sheet name="PAVIA DI UDINE" sheetId="46" r:id="rId47"/>
    <sheet name="POZZUOLO DEL FRIULI" sheetId="47" r:id="rId48"/>
    <sheet name="PRADAMANO" sheetId="48" r:id="rId49"/>
    <sheet name="PRATO CARNICO" sheetId="49" r:id="rId50"/>
    <sheet name="PREMARIACCO" sheetId="50" r:id="rId51"/>
    <sheet name="PREONE" sheetId="51" r:id="rId52"/>
    <sheet name="RAGOGNA" sheetId="52" r:id="rId53"/>
    <sheet name="RAVASCLETTO" sheetId="53" r:id="rId54"/>
    <sheet name="RAVEO" sheetId="54" r:id="rId55"/>
    <sheet name="REANA DEL ROJALE" sheetId="55" r:id="rId56"/>
    <sheet name="REMANZACCO" sheetId="56" r:id="rId57"/>
    <sheet name="RESIUTTA" sheetId="57" r:id="rId58"/>
    <sheet name="RIGOLATO" sheetId="58" r:id="rId59"/>
    <sheet name="RIVE D'ARCANO" sheetId="59" r:id="rId60"/>
    <sheet name="RIVIGNANO TEOR" sheetId="60" r:id="rId61"/>
    <sheet name="SAN DANIELE DEL FRIULI" sheetId="61" r:id="rId62"/>
    <sheet name="SAN DORLIGO DELLA VALLE" sheetId="62" r:id="rId63"/>
    <sheet name="SAN GIOVANNI AL NATISONE" sheetId="63" r:id="rId64"/>
    <sheet name="SAN VITO DI FAGAGNA" sheetId="64" r:id="rId65"/>
    <sheet name="SAPPADA" sheetId="65" r:id="rId66"/>
    <sheet name="SAURIS" sheetId="66" r:id="rId67"/>
    <sheet name="SEDEGLIANO" sheetId="67" r:id="rId68"/>
    <sheet name="SOCCHIEVE" sheetId="68" r:id="rId69"/>
    <sheet name="SUTRIO" sheetId="69" r:id="rId70"/>
    <sheet name="TAIPANA" sheetId="70" r:id="rId71"/>
    <sheet name="TARCENTO" sheetId="71" r:id="rId72"/>
    <sheet name="TOLMEZZO" sheetId="72" r:id="rId73"/>
    <sheet name="TRASAGHIS" sheetId="73" r:id="rId74"/>
    <sheet name="TREPPO GRANDE" sheetId="74" r:id="rId75"/>
    <sheet name="TREPPO LIGOSULLO" sheetId="75" r:id="rId76"/>
    <sheet name="VARMO" sheetId="76" r:id="rId77"/>
    <sheet name="VENZONE" sheetId="77" r:id="rId78"/>
    <sheet name="VERZEGNIS" sheetId="78" r:id="rId79"/>
    <sheet name="VILLA SANTINA" sheetId="79" r:id="rId80"/>
    <sheet name="ZUGLIO" sheetId="80" r:id="rId8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82" l="1"/>
  <c r="D61" i="82"/>
  <c r="C61" i="82"/>
  <c r="E60" i="82"/>
  <c r="D60" i="82"/>
  <c r="C60" i="82"/>
  <c r="G56" i="82"/>
  <c r="H56" i="82" s="1"/>
  <c r="G55" i="82"/>
  <c r="H55" i="82" s="1"/>
  <c r="G54" i="82"/>
  <c r="H54" i="82" s="1"/>
  <c r="F49" i="82"/>
  <c r="E49" i="82"/>
  <c r="D49" i="82"/>
  <c r="C49" i="82"/>
  <c r="G32" i="82"/>
  <c r="G31" i="82"/>
  <c r="G30" i="82"/>
  <c r="J30" i="82" s="1"/>
  <c r="G29" i="82"/>
  <c r="G28" i="82"/>
  <c r="G27" i="82"/>
  <c r="G26" i="82"/>
  <c r="H26" i="82" s="1"/>
  <c r="G25" i="82"/>
  <c r="J25" i="82" s="1"/>
  <c r="G24" i="82"/>
  <c r="J24" i="82" s="1"/>
  <c r="G23" i="82"/>
  <c r="J23" i="82" s="1"/>
  <c r="G22" i="82"/>
  <c r="J22" i="82" s="1"/>
  <c r="G21" i="82"/>
  <c r="J21" i="82" s="1"/>
  <c r="G20" i="82"/>
  <c r="H20" i="82" s="1"/>
  <c r="G19" i="82"/>
  <c r="J19" i="82" s="1"/>
  <c r="G18" i="82"/>
  <c r="J18" i="82" s="1"/>
  <c r="G17" i="82"/>
  <c r="J17" i="82" s="1"/>
  <c r="G16" i="82"/>
  <c r="J16" i="82" s="1"/>
  <c r="G15" i="82"/>
  <c r="G14" i="82"/>
  <c r="G13" i="82"/>
  <c r="J13" i="82" s="1"/>
  <c r="G12" i="82"/>
  <c r="J12" i="82" s="1"/>
  <c r="G11" i="82"/>
  <c r="J11" i="82" s="1"/>
  <c r="G10" i="82"/>
  <c r="G9" i="82"/>
  <c r="J9" i="82" s="1"/>
  <c r="E61" i="80"/>
  <c r="D61" i="80"/>
  <c r="C61" i="80"/>
  <c r="E60" i="80"/>
  <c r="D60" i="80"/>
  <c r="C60" i="80"/>
  <c r="G56" i="80"/>
  <c r="H56" i="80" s="1"/>
  <c r="G55" i="80"/>
  <c r="H55" i="80" s="1"/>
  <c r="G54" i="80"/>
  <c r="H54" i="80" s="1"/>
  <c r="F49" i="80"/>
  <c r="E49" i="80"/>
  <c r="D49" i="80"/>
  <c r="C49" i="80"/>
  <c r="G32" i="80"/>
  <c r="G31" i="80"/>
  <c r="H31" i="80" s="1"/>
  <c r="G30" i="80"/>
  <c r="H30" i="80" s="1"/>
  <c r="G29" i="80"/>
  <c r="J29" i="80" s="1"/>
  <c r="G28" i="80"/>
  <c r="H28" i="80" s="1"/>
  <c r="G27" i="80"/>
  <c r="H27" i="80" s="1"/>
  <c r="G26" i="80"/>
  <c r="H26" i="80" s="1"/>
  <c r="G25" i="80"/>
  <c r="J25" i="80" s="1"/>
  <c r="G24" i="80"/>
  <c r="H24" i="80" s="1"/>
  <c r="G23" i="80"/>
  <c r="J23" i="80" s="1"/>
  <c r="G22" i="80"/>
  <c r="J22" i="80" s="1"/>
  <c r="G21" i="80"/>
  <c r="J21" i="80" s="1"/>
  <c r="G20" i="80"/>
  <c r="J20" i="80" s="1"/>
  <c r="G19" i="80"/>
  <c r="J19" i="80" s="1"/>
  <c r="G18" i="80"/>
  <c r="J18" i="80" s="1"/>
  <c r="G17" i="80"/>
  <c r="J17" i="80" s="1"/>
  <c r="G16" i="80"/>
  <c r="J16" i="80" s="1"/>
  <c r="G15" i="80"/>
  <c r="J15" i="80" s="1"/>
  <c r="G14" i="80"/>
  <c r="J14" i="80" s="1"/>
  <c r="G13" i="80"/>
  <c r="J13" i="80" s="1"/>
  <c r="G12" i="80"/>
  <c r="H12" i="80" s="1"/>
  <c r="G11" i="80"/>
  <c r="J11" i="80" s="1"/>
  <c r="G10" i="80"/>
  <c r="J10" i="80" s="1"/>
  <c r="G9" i="80"/>
  <c r="J9" i="80" s="1"/>
  <c r="E61" i="79"/>
  <c r="D61" i="79"/>
  <c r="C61" i="79"/>
  <c r="E60" i="79"/>
  <c r="D60" i="79"/>
  <c r="C60" i="79"/>
  <c r="G56" i="79"/>
  <c r="H56" i="79" s="1"/>
  <c r="H55" i="79"/>
  <c r="G55" i="79"/>
  <c r="G54" i="79"/>
  <c r="H54" i="79" s="1"/>
  <c r="F49" i="79"/>
  <c r="E49" i="79"/>
  <c r="D49" i="79"/>
  <c r="C49" i="79"/>
  <c r="G41" i="79"/>
  <c r="H41" i="79" s="1"/>
  <c r="G40" i="79"/>
  <c r="J40" i="79" s="1"/>
  <c r="G39" i="79"/>
  <c r="J39" i="79" s="1"/>
  <c r="G38" i="79"/>
  <c r="H38" i="79" s="1"/>
  <c r="G37" i="79"/>
  <c r="H37" i="79" s="1"/>
  <c r="G36" i="79"/>
  <c r="G35" i="79"/>
  <c r="J35" i="79" s="1"/>
  <c r="G34" i="79"/>
  <c r="G33" i="79"/>
  <c r="H33" i="79" s="1"/>
  <c r="G32" i="79"/>
  <c r="G31" i="79"/>
  <c r="J31" i="79" s="1"/>
  <c r="G30" i="79"/>
  <c r="G29" i="79"/>
  <c r="H29" i="79" s="1"/>
  <c r="G28" i="79"/>
  <c r="G27" i="79"/>
  <c r="J27" i="79" s="1"/>
  <c r="G26" i="79"/>
  <c r="G25" i="79"/>
  <c r="H25" i="79" s="1"/>
  <c r="G24" i="79"/>
  <c r="G23" i="79"/>
  <c r="J23" i="79" s="1"/>
  <c r="G22" i="79"/>
  <c r="G21" i="79"/>
  <c r="H21" i="79" s="1"/>
  <c r="G20" i="79"/>
  <c r="G19" i="79"/>
  <c r="J19" i="79" s="1"/>
  <c r="G18" i="79"/>
  <c r="G17" i="79"/>
  <c r="H17" i="79" s="1"/>
  <c r="G16" i="79"/>
  <c r="J16" i="79" s="1"/>
  <c r="G15" i="79"/>
  <c r="H15" i="79" s="1"/>
  <c r="G14" i="79"/>
  <c r="J14" i="79" s="1"/>
  <c r="G13" i="79"/>
  <c r="H13" i="79" s="1"/>
  <c r="G12" i="79"/>
  <c r="H12" i="79" s="1"/>
  <c r="G11" i="79"/>
  <c r="H11" i="79" s="1"/>
  <c r="G10" i="79"/>
  <c r="H10" i="79" s="1"/>
  <c r="G9" i="79"/>
  <c r="H9" i="79" s="1"/>
  <c r="E61" i="78"/>
  <c r="D61" i="78"/>
  <c r="C61" i="78"/>
  <c r="E60" i="78"/>
  <c r="D60" i="78"/>
  <c r="C60" i="78"/>
  <c r="G56" i="78"/>
  <c r="H56" i="78" s="1"/>
  <c r="G55" i="78"/>
  <c r="H55" i="78" s="1"/>
  <c r="G54" i="78"/>
  <c r="H54" i="78" s="1"/>
  <c r="F49" i="78"/>
  <c r="E49" i="78"/>
  <c r="D49" i="78"/>
  <c r="C49" i="78"/>
  <c r="G33" i="78"/>
  <c r="H33" i="78" s="1"/>
  <c r="G32" i="78"/>
  <c r="G31" i="78"/>
  <c r="H31" i="78" s="1"/>
  <c r="G30" i="78"/>
  <c r="H30" i="78" s="1"/>
  <c r="G29" i="78"/>
  <c r="H29" i="78" s="1"/>
  <c r="G28" i="78"/>
  <c r="J28" i="78" s="1"/>
  <c r="G27" i="78"/>
  <c r="H27" i="78" s="1"/>
  <c r="G26" i="78"/>
  <c r="J26" i="78" s="1"/>
  <c r="G25" i="78"/>
  <c r="H25" i="78" s="1"/>
  <c r="G24" i="78"/>
  <c r="J24" i="78" s="1"/>
  <c r="G23" i="78"/>
  <c r="H23" i="78" s="1"/>
  <c r="G22" i="78"/>
  <c r="H22" i="78" s="1"/>
  <c r="G21" i="78"/>
  <c r="J21" i="78" s="1"/>
  <c r="G20" i="78"/>
  <c r="H20" i="78" s="1"/>
  <c r="G19" i="78"/>
  <c r="J19" i="78" s="1"/>
  <c r="G18" i="78"/>
  <c r="H18" i="78" s="1"/>
  <c r="G17" i="78"/>
  <c r="J17" i="78" s="1"/>
  <c r="G16" i="78"/>
  <c r="H16" i="78" s="1"/>
  <c r="G15" i="78"/>
  <c r="J15" i="78" s="1"/>
  <c r="G14" i="78"/>
  <c r="H14" i="78" s="1"/>
  <c r="G13" i="78"/>
  <c r="J13" i="78" s="1"/>
  <c r="G12" i="78"/>
  <c r="J12" i="78" s="1"/>
  <c r="G11" i="78"/>
  <c r="J11" i="78" s="1"/>
  <c r="G10" i="78"/>
  <c r="H10" i="78" s="1"/>
  <c r="G9" i="78"/>
  <c r="H9" i="78" s="1"/>
  <c r="E61" i="77"/>
  <c r="D61" i="77"/>
  <c r="C61" i="77"/>
  <c r="E60" i="77"/>
  <c r="D60" i="77"/>
  <c r="C60" i="77"/>
  <c r="G56" i="77"/>
  <c r="H56" i="77" s="1"/>
  <c r="G55" i="77"/>
  <c r="H55" i="77" s="1"/>
  <c r="G54" i="77"/>
  <c r="H54" i="77" s="1"/>
  <c r="F49" i="77"/>
  <c r="E49" i="77"/>
  <c r="D49" i="77"/>
  <c r="C49" i="77"/>
  <c r="G37" i="77"/>
  <c r="H37" i="77" s="1"/>
  <c r="G36" i="77"/>
  <c r="G35" i="77"/>
  <c r="J35" i="77" s="1"/>
  <c r="G34" i="77"/>
  <c r="H34" i="77" s="1"/>
  <c r="G33" i="77"/>
  <c r="H33" i="77" s="1"/>
  <c r="G32" i="77"/>
  <c r="J32" i="77" s="1"/>
  <c r="G31" i="77"/>
  <c r="H31" i="77" s="1"/>
  <c r="G30" i="77"/>
  <c r="J30" i="77" s="1"/>
  <c r="G29" i="77"/>
  <c r="H29" i="77" s="1"/>
  <c r="G28" i="77"/>
  <c r="J28" i="77" s="1"/>
  <c r="G27" i="77"/>
  <c r="H27" i="77" s="1"/>
  <c r="G26" i="77"/>
  <c r="J26" i="77" s="1"/>
  <c r="G25" i="77"/>
  <c r="H25" i="77" s="1"/>
  <c r="G24" i="77"/>
  <c r="J24" i="77" s="1"/>
  <c r="G23" i="77"/>
  <c r="H23" i="77" s="1"/>
  <c r="G22" i="77"/>
  <c r="J22" i="77" s="1"/>
  <c r="G21" i="77"/>
  <c r="H21" i="77" s="1"/>
  <c r="G20" i="77"/>
  <c r="J20" i="77" s="1"/>
  <c r="G19" i="77"/>
  <c r="H19" i="77" s="1"/>
  <c r="G18" i="77"/>
  <c r="H18" i="77" s="1"/>
  <c r="G17" i="77"/>
  <c r="H17" i="77" s="1"/>
  <c r="G16" i="77"/>
  <c r="J16" i="77" s="1"/>
  <c r="G15" i="77"/>
  <c r="H15" i="77" s="1"/>
  <c r="G14" i="77"/>
  <c r="J14" i="77" s="1"/>
  <c r="G13" i="77"/>
  <c r="H13" i="77" s="1"/>
  <c r="G12" i="77"/>
  <c r="J12" i="77" s="1"/>
  <c r="G11" i="77"/>
  <c r="H11" i="77" s="1"/>
  <c r="G10" i="77"/>
  <c r="J10" i="77" s="1"/>
  <c r="G9" i="77"/>
  <c r="E61" i="76"/>
  <c r="D61" i="76"/>
  <c r="C61" i="76"/>
  <c r="E60" i="76"/>
  <c r="D60" i="76"/>
  <c r="C60" i="76"/>
  <c r="G56" i="76"/>
  <c r="H56" i="76" s="1"/>
  <c r="G55" i="76"/>
  <c r="H55" i="76" s="1"/>
  <c r="G54" i="76"/>
  <c r="H54" i="76" s="1"/>
  <c r="F49" i="76"/>
  <c r="E49" i="76"/>
  <c r="D49" i="76"/>
  <c r="C49" i="76"/>
  <c r="G43" i="76"/>
  <c r="J43" i="76" s="1"/>
  <c r="G42" i="76"/>
  <c r="J42" i="76" s="1"/>
  <c r="G41" i="76"/>
  <c r="J41" i="76" s="1"/>
  <c r="G40" i="76"/>
  <c r="J40" i="76" s="1"/>
  <c r="G39" i="76"/>
  <c r="J39" i="76" s="1"/>
  <c r="G38" i="76"/>
  <c r="J38" i="76" s="1"/>
  <c r="G37" i="76"/>
  <c r="J37" i="76" s="1"/>
  <c r="G36" i="76"/>
  <c r="J36" i="76" s="1"/>
  <c r="G35" i="76"/>
  <c r="H35" i="76" s="1"/>
  <c r="G34" i="76"/>
  <c r="J34" i="76" s="1"/>
  <c r="G33" i="76"/>
  <c r="G32" i="76"/>
  <c r="J32" i="76" s="1"/>
  <c r="G31" i="76"/>
  <c r="H31" i="76" s="1"/>
  <c r="G30" i="76"/>
  <c r="J30" i="76" s="1"/>
  <c r="G29" i="76"/>
  <c r="H29" i="76" s="1"/>
  <c r="G28" i="76"/>
  <c r="J28" i="76" s="1"/>
  <c r="G27" i="76"/>
  <c r="H27" i="76" s="1"/>
  <c r="G26" i="76"/>
  <c r="J26" i="76" s="1"/>
  <c r="G25" i="76"/>
  <c r="H25" i="76" s="1"/>
  <c r="G24" i="76"/>
  <c r="J24" i="76" s="1"/>
  <c r="G23" i="76"/>
  <c r="H23" i="76" s="1"/>
  <c r="G22" i="76"/>
  <c r="J22" i="76" s="1"/>
  <c r="G21" i="76"/>
  <c r="G20" i="76"/>
  <c r="J20" i="76" s="1"/>
  <c r="G19" i="76"/>
  <c r="G18" i="76"/>
  <c r="H18" i="76" s="1"/>
  <c r="G17" i="76"/>
  <c r="G16" i="76"/>
  <c r="H16" i="76" s="1"/>
  <c r="G15" i="76"/>
  <c r="G14" i="76"/>
  <c r="H14" i="76" s="1"/>
  <c r="G13" i="76"/>
  <c r="H13" i="76" s="1"/>
  <c r="G12" i="76"/>
  <c r="H12" i="76" s="1"/>
  <c r="G11" i="76"/>
  <c r="H11" i="76" s="1"/>
  <c r="G10" i="76"/>
  <c r="H10" i="76" s="1"/>
  <c r="G9" i="76"/>
  <c r="H9" i="76" s="1"/>
  <c r="E61" i="75"/>
  <c r="D61" i="75"/>
  <c r="C61" i="75"/>
  <c r="E60" i="75"/>
  <c r="D60" i="75"/>
  <c r="C60" i="75"/>
  <c r="G56" i="75"/>
  <c r="H56" i="75" s="1"/>
  <c r="G55" i="75"/>
  <c r="H55" i="75" s="1"/>
  <c r="G54" i="75"/>
  <c r="H54" i="75" s="1"/>
  <c r="F49" i="75"/>
  <c r="E49" i="75"/>
  <c r="D49" i="75"/>
  <c r="C49" i="75"/>
  <c r="G36" i="75"/>
  <c r="G35" i="75"/>
  <c r="H35" i="75" s="1"/>
  <c r="G34" i="75"/>
  <c r="G33" i="75"/>
  <c r="J33" i="75" s="1"/>
  <c r="G32" i="75"/>
  <c r="H32" i="75" s="1"/>
  <c r="G31" i="75"/>
  <c r="H31" i="75" s="1"/>
  <c r="G30" i="75"/>
  <c r="H30" i="75" s="1"/>
  <c r="G29" i="75"/>
  <c r="G28" i="75"/>
  <c r="H28" i="75" s="1"/>
  <c r="G27" i="75"/>
  <c r="J27" i="75" s="1"/>
  <c r="G26" i="75"/>
  <c r="H26" i="75" s="1"/>
  <c r="G25" i="75"/>
  <c r="H25" i="75" s="1"/>
  <c r="G24" i="75"/>
  <c r="H24" i="75" s="1"/>
  <c r="G23" i="75"/>
  <c r="J23" i="75" s="1"/>
  <c r="G22" i="75"/>
  <c r="H22" i="75" s="1"/>
  <c r="G21" i="75"/>
  <c r="J21" i="75" s="1"/>
  <c r="G20" i="75"/>
  <c r="H20" i="75" s="1"/>
  <c r="G19" i="75"/>
  <c r="J19" i="75" s="1"/>
  <c r="G18" i="75"/>
  <c r="H18" i="75" s="1"/>
  <c r="G17" i="75"/>
  <c r="J17" i="75" s="1"/>
  <c r="G16" i="75"/>
  <c r="H16" i="75" s="1"/>
  <c r="G15" i="75"/>
  <c r="J15" i="75" s="1"/>
  <c r="G14" i="75"/>
  <c r="H14" i="75" s="1"/>
  <c r="G13" i="75"/>
  <c r="J13" i="75" s="1"/>
  <c r="G12" i="75"/>
  <c r="H12" i="75" s="1"/>
  <c r="G11" i="75"/>
  <c r="H11" i="75" s="1"/>
  <c r="G10" i="75"/>
  <c r="H10" i="75" s="1"/>
  <c r="G9" i="75"/>
  <c r="J9" i="75" s="1"/>
  <c r="E61" i="74"/>
  <c r="D61" i="74"/>
  <c r="C61" i="74"/>
  <c r="E60" i="74"/>
  <c r="D60" i="74"/>
  <c r="C60" i="74"/>
  <c r="G56" i="74"/>
  <c r="H56" i="74" s="1"/>
  <c r="G55" i="74"/>
  <c r="H55" i="74" s="1"/>
  <c r="G54" i="74"/>
  <c r="H54" i="74" s="1"/>
  <c r="F49" i="74"/>
  <c r="E49" i="74"/>
  <c r="D49" i="74"/>
  <c r="C49" i="74"/>
  <c r="G20" i="74"/>
  <c r="H20" i="74" s="1"/>
  <c r="G19" i="74"/>
  <c r="G18" i="74"/>
  <c r="J18" i="74" s="1"/>
  <c r="G17" i="74"/>
  <c r="H17" i="74" s="1"/>
  <c r="G16" i="74"/>
  <c r="H16" i="74" s="1"/>
  <c r="G15" i="74"/>
  <c r="H15" i="74" s="1"/>
  <c r="G14" i="74"/>
  <c r="H14" i="74" s="1"/>
  <c r="G13" i="74"/>
  <c r="J13" i="74" s="1"/>
  <c r="G12" i="74"/>
  <c r="H12" i="74" s="1"/>
  <c r="G11" i="74"/>
  <c r="J11" i="74" s="1"/>
  <c r="G10" i="74"/>
  <c r="H10" i="74" s="1"/>
  <c r="G9" i="74"/>
  <c r="E61" i="73"/>
  <c r="D61" i="73"/>
  <c r="C61" i="73"/>
  <c r="E60" i="73"/>
  <c r="D60" i="73"/>
  <c r="C60" i="73"/>
  <c r="G56" i="73"/>
  <c r="H56" i="73" s="1"/>
  <c r="G55" i="73"/>
  <c r="H55" i="73" s="1"/>
  <c r="G54" i="73"/>
  <c r="H54" i="73" s="1"/>
  <c r="F49" i="73"/>
  <c r="E49" i="73"/>
  <c r="D49" i="73"/>
  <c r="C49" i="73"/>
  <c r="G44" i="73"/>
  <c r="J44" i="73" s="1"/>
  <c r="G43" i="73"/>
  <c r="H43" i="73" s="1"/>
  <c r="G42" i="73"/>
  <c r="H42" i="73" s="1"/>
  <c r="G41" i="73"/>
  <c r="G40" i="73"/>
  <c r="J40" i="73" s="1"/>
  <c r="G39" i="73"/>
  <c r="G38" i="73"/>
  <c r="J38" i="73" s="1"/>
  <c r="G37" i="73"/>
  <c r="G36" i="73"/>
  <c r="J36" i="73" s="1"/>
  <c r="G35" i="73"/>
  <c r="G34" i="73"/>
  <c r="J34" i="73" s="1"/>
  <c r="G33" i="73"/>
  <c r="G32" i="73"/>
  <c r="J32" i="73" s="1"/>
  <c r="G31" i="73"/>
  <c r="G30" i="73"/>
  <c r="J30" i="73" s="1"/>
  <c r="G29" i="73"/>
  <c r="G28" i="73"/>
  <c r="J28" i="73" s="1"/>
  <c r="G27" i="73"/>
  <c r="G26" i="73"/>
  <c r="J26" i="73" s="1"/>
  <c r="G25" i="73"/>
  <c r="H25" i="73" s="1"/>
  <c r="G24" i="73"/>
  <c r="H24" i="73" s="1"/>
  <c r="G23" i="73"/>
  <c r="J23" i="73" s="1"/>
  <c r="G22" i="73"/>
  <c r="J22" i="73" s="1"/>
  <c r="G21" i="73"/>
  <c r="J21" i="73" s="1"/>
  <c r="G20" i="73"/>
  <c r="J20" i="73" s="1"/>
  <c r="G19" i="73"/>
  <c r="H19" i="73" s="1"/>
  <c r="G18" i="73"/>
  <c r="J18" i="73" s="1"/>
  <c r="G17" i="73"/>
  <c r="H17" i="73" s="1"/>
  <c r="G16" i="73"/>
  <c r="J16" i="73" s="1"/>
  <c r="G15" i="73"/>
  <c r="H15" i="73" s="1"/>
  <c r="G14" i="73"/>
  <c r="J14" i="73" s="1"/>
  <c r="G13" i="73"/>
  <c r="H13" i="73" s="1"/>
  <c r="G12" i="73"/>
  <c r="H12" i="73" s="1"/>
  <c r="G11" i="73"/>
  <c r="H11" i="73" s="1"/>
  <c r="G10" i="73"/>
  <c r="H10" i="73" s="1"/>
  <c r="G9" i="73"/>
  <c r="E61" i="72"/>
  <c r="D61" i="72"/>
  <c r="C61" i="72"/>
  <c r="E60" i="72"/>
  <c r="D60" i="72"/>
  <c r="C60" i="72"/>
  <c r="G56" i="72"/>
  <c r="H56" i="72" s="1"/>
  <c r="G55" i="72"/>
  <c r="H55" i="72" s="1"/>
  <c r="G54" i="72"/>
  <c r="H54" i="72" s="1"/>
  <c r="F49" i="72"/>
  <c r="E49" i="72"/>
  <c r="D49" i="72"/>
  <c r="C49" i="72"/>
  <c r="G46" i="72"/>
  <c r="J46" i="72" s="1"/>
  <c r="G45" i="72"/>
  <c r="J45" i="72" s="1"/>
  <c r="G44" i="72"/>
  <c r="J44" i="72" s="1"/>
  <c r="G43" i="72"/>
  <c r="H43" i="72" s="1"/>
  <c r="G42" i="72"/>
  <c r="H42" i="72" s="1"/>
  <c r="G41" i="72"/>
  <c r="G40" i="72"/>
  <c r="J40" i="72" s="1"/>
  <c r="G39" i="72"/>
  <c r="G38" i="72"/>
  <c r="H38" i="72" s="1"/>
  <c r="G37" i="72"/>
  <c r="G36" i="72"/>
  <c r="J36" i="72" s="1"/>
  <c r="G35" i="72"/>
  <c r="G34" i="72"/>
  <c r="H34" i="72" s="1"/>
  <c r="G33" i="72"/>
  <c r="G32" i="72"/>
  <c r="J32" i="72" s="1"/>
  <c r="G31" i="72"/>
  <c r="G30" i="72"/>
  <c r="H30" i="72" s="1"/>
  <c r="G29" i="72"/>
  <c r="G28" i="72"/>
  <c r="J28" i="72" s="1"/>
  <c r="G27" i="72"/>
  <c r="G26" i="72"/>
  <c r="H26" i="72" s="1"/>
  <c r="G25" i="72"/>
  <c r="G24" i="72"/>
  <c r="J24" i="72" s="1"/>
  <c r="G23" i="72"/>
  <c r="G22" i="72"/>
  <c r="H22" i="72" s="1"/>
  <c r="G21" i="72"/>
  <c r="G20" i="72"/>
  <c r="J20" i="72" s="1"/>
  <c r="G19" i="72"/>
  <c r="H19" i="72" s="1"/>
  <c r="G18" i="72"/>
  <c r="J18" i="72" s="1"/>
  <c r="G17" i="72"/>
  <c r="J17" i="72" s="1"/>
  <c r="G16" i="72"/>
  <c r="J16" i="72" s="1"/>
  <c r="G15" i="72"/>
  <c r="J15" i="72" s="1"/>
  <c r="G14" i="72"/>
  <c r="J14" i="72" s="1"/>
  <c r="G13" i="72"/>
  <c r="H13" i="72" s="1"/>
  <c r="G12" i="72"/>
  <c r="H12" i="72" s="1"/>
  <c r="G11" i="72"/>
  <c r="H11" i="72" s="1"/>
  <c r="G10" i="72"/>
  <c r="G9" i="72"/>
  <c r="H9" i="72" s="1"/>
  <c r="E61" i="71"/>
  <c r="D61" i="71"/>
  <c r="C61" i="71"/>
  <c r="E60" i="71"/>
  <c r="D60" i="71"/>
  <c r="C60" i="71"/>
  <c r="G56" i="71"/>
  <c r="H56" i="71" s="1"/>
  <c r="G55" i="71"/>
  <c r="H55" i="71" s="1"/>
  <c r="G54" i="71"/>
  <c r="H54" i="71" s="1"/>
  <c r="F49" i="71"/>
  <c r="E49" i="71"/>
  <c r="D49" i="71"/>
  <c r="C49" i="71"/>
  <c r="G34" i="71"/>
  <c r="G33" i="71"/>
  <c r="H33" i="71" s="1"/>
  <c r="G32" i="71"/>
  <c r="H32" i="71" s="1"/>
  <c r="G31" i="71"/>
  <c r="J31" i="71" s="1"/>
  <c r="G30" i="71"/>
  <c r="J30" i="71" s="1"/>
  <c r="G29" i="71"/>
  <c r="J29" i="71" s="1"/>
  <c r="G28" i="71"/>
  <c r="H28" i="71" s="1"/>
  <c r="G27" i="71"/>
  <c r="J27" i="71" s="1"/>
  <c r="G26" i="71"/>
  <c r="J26" i="71" s="1"/>
  <c r="G25" i="71"/>
  <c r="J25" i="71" s="1"/>
  <c r="G24" i="71"/>
  <c r="H24" i="71" s="1"/>
  <c r="G23" i="71"/>
  <c r="J23" i="71" s="1"/>
  <c r="G22" i="71"/>
  <c r="J22" i="71" s="1"/>
  <c r="G21" i="71"/>
  <c r="J21" i="71" s="1"/>
  <c r="G20" i="71"/>
  <c r="H20" i="71" s="1"/>
  <c r="G19" i="71"/>
  <c r="J19" i="71" s="1"/>
  <c r="G18" i="71"/>
  <c r="J18" i="71" s="1"/>
  <c r="G17" i="71"/>
  <c r="J17" i="71" s="1"/>
  <c r="G16" i="71"/>
  <c r="H16" i="71" s="1"/>
  <c r="G15" i="71"/>
  <c r="J15" i="71" s="1"/>
  <c r="G14" i="71"/>
  <c r="J14" i="71" s="1"/>
  <c r="G13" i="71"/>
  <c r="J13" i="71" s="1"/>
  <c r="G12" i="71"/>
  <c r="H12" i="71" s="1"/>
  <c r="G11" i="71"/>
  <c r="J11" i="71" s="1"/>
  <c r="G10" i="71"/>
  <c r="J10" i="71" s="1"/>
  <c r="G9" i="71"/>
  <c r="E61" i="70"/>
  <c r="D61" i="70"/>
  <c r="C61" i="70"/>
  <c r="E60" i="70"/>
  <c r="D60" i="70"/>
  <c r="C60" i="70"/>
  <c r="G56" i="70"/>
  <c r="H56" i="70" s="1"/>
  <c r="G55" i="70"/>
  <c r="H55" i="70" s="1"/>
  <c r="G54" i="70"/>
  <c r="H54" i="70" s="1"/>
  <c r="F49" i="70"/>
  <c r="E49" i="70"/>
  <c r="D49" i="70"/>
  <c r="C49" i="70"/>
  <c r="G36" i="70"/>
  <c r="G35" i="70"/>
  <c r="H35" i="70" s="1"/>
  <c r="G34" i="70"/>
  <c r="H34" i="70" s="1"/>
  <c r="G33" i="70"/>
  <c r="G32" i="70"/>
  <c r="H32" i="70" s="1"/>
  <c r="G31" i="70"/>
  <c r="G30" i="70"/>
  <c r="H30" i="70" s="1"/>
  <c r="G29" i="70"/>
  <c r="G28" i="70"/>
  <c r="J28" i="70" s="1"/>
  <c r="G27" i="70"/>
  <c r="H27" i="70" s="1"/>
  <c r="G26" i="70"/>
  <c r="J26" i="70" s="1"/>
  <c r="G25" i="70"/>
  <c r="J25" i="70" s="1"/>
  <c r="G24" i="70"/>
  <c r="J24" i="70" s="1"/>
  <c r="G23" i="70"/>
  <c r="J23" i="70" s="1"/>
  <c r="G22" i="70"/>
  <c r="H22" i="70" s="1"/>
  <c r="G21" i="70"/>
  <c r="J21" i="70" s="1"/>
  <c r="G20" i="70"/>
  <c r="J20" i="70" s="1"/>
  <c r="G19" i="70"/>
  <c r="J19" i="70" s="1"/>
  <c r="G18" i="70"/>
  <c r="J18" i="70" s="1"/>
  <c r="G17" i="70"/>
  <c r="J17" i="70" s="1"/>
  <c r="G16" i="70"/>
  <c r="J16" i="70" s="1"/>
  <c r="G15" i="70"/>
  <c r="H15" i="70" s="1"/>
  <c r="G14" i="70"/>
  <c r="H14" i="70" s="1"/>
  <c r="G13" i="70"/>
  <c r="J13" i="70" s="1"/>
  <c r="G12" i="70"/>
  <c r="J12" i="70" s="1"/>
  <c r="G11" i="70"/>
  <c r="J11" i="70" s="1"/>
  <c r="G10" i="70"/>
  <c r="J10" i="70" s="1"/>
  <c r="G9" i="70"/>
  <c r="J9" i="70" s="1"/>
  <c r="E61" i="69"/>
  <c r="D61" i="69"/>
  <c r="C61" i="69"/>
  <c r="E60" i="69"/>
  <c r="D60" i="69"/>
  <c r="C60" i="69"/>
  <c r="G56" i="69"/>
  <c r="H56" i="69" s="1"/>
  <c r="G55" i="69"/>
  <c r="H55" i="69" s="1"/>
  <c r="G54" i="69"/>
  <c r="H54" i="69" s="1"/>
  <c r="F49" i="69"/>
  <c r="E49" i="69"/>
  <c r="D49" i="69"/>
  <c r="C49" i="69"/>
  <c r="G44" i="69"/>
  <c r="H44" i="69" s="1"/>
  <c r="G43" i="69"/>
  <c r="G42" i="69"/>
  <c r="J42" i="69" s="1"/>
  <c r="G41" i="69"/>
  <c r="G40" i="69"/>
  <c r="J40" i="69" s="1"/>
  <c r="G39" i="69"/>
  <c r="J39" i="69" s="1"/>
  <c r="G38" i="69"/>
  <c r="J38" i="69" s="1"/>
  <c r="G37" i="69"/>
  <c r="J37" i="69" s="1"/>
  <c r="G36" i="69"/>
  <c r="J36" i="69" s="1"/>
  <c r="G35" i="69"/>
  <c r="J35" i="69" s="1"/>
  <c r="G34" i="69"/>
  <c r="J34" i="69" s="1"/>
  <c r="G33" i="69"/>
  <c r="J33" i="69" s="1"/>
  <c r="G32" i="69"/>
  <c r="J32" i="69" s="1"/>
  <c r="G31" i="69"/>
  <c r="H31" i="69" s="1"/>
  <c r="G30" i="69"/>
  <c r="G29" i="69"/>
  <c r="H29" i="69" s="1"/>
  <c r="G28" i="69"/>
  <c r="G27" i="69"/>
  <c r="H27" i="69" s="1"/>
  <c r="G26" i="69"/>
  <c r="G25" i="69"/>
  <c r="J25" i="69" s="1"/>
  <c r="G24" i="69"/>
  <c r="G23" i="69"/>
  <c r="J23" i="69" s="1"/>
  <c r="G22" i="69"/>
  <c r="G21" i="69"/>
  <c r="J21" i="69" s="1"/>
  <c r="G20" i="69"/>
  <c r="H20" i="69" s="1"/>
  <c r="G19" i="69"/>
  <c r="H19" i="69" s="1"/>
  <c r="G18" i="69"/>
  <c r="G17" i="69"/>
  <c r="J17" i="69" s="1"/>
  <c r="G16" i="69"/>
  <c r="H16" i="69" s="1"/>
  <c r="G15" i="69"/>
  <c r="H15" i="69" s="1"/>
  <c r="G14" i="69"/>
  <c r="J14" i="69" s="1"/>
  <c r="G13" i="69"/>
  <c r="H13" i="69" s="1"/>
  <c r="G12" i="69"/>
  <c r="J12" i="69" s="1"/>
  <c r="G11" i="69"/>
  <c r="H11" i="69" s="1"/>
  <c r="G10" i="69"/>
  <c r="H10" i="69" s="1"/>
  <c r="G9" i="69"/>
  <c r="E61" i="68"/>
  <c r="D61" i="68"/>
  <c r="C61" i="68"/>
  <c r="E60" i="68"/>
  <c r="D60" i="68"/>
  <c r="C60" i="68"/>
  <c r="G56" i="68"/>
  <c r="H56" i="68" s="1"/>
  <c r="G55" i="68"/>
  <c r="H55" i="68" s="1"/>
  <c r="G54" i="68"/>
  <c r="H54" i="68" s="1"/>
  <c r="F49" i="68"/>
  <c r="E49" i="68"/>
  <c r="D49" i="68"/>
  <c r="C49" i="68"/>
  <c r="G32" i="68"/>
  <c r="H32" i="68" s="1"/>
  <c r="G31" i="68"/>
  <c r="G30" i="68"/>
  <c r="H30" i="68" s="1"/>
  <c r="G29" i="68"/>
  <c r="G28" i="68"/>
  <c r="H28" i="68" s="1"/>
  <c r="G27" i="68"/>
  <c r="G26" i="68"/>
  <c r="H26" i="68" s="1"/>
  <c r="G25" i="68"/>
  <c r="J25" i="68" s="1"/>
  <c r="G24" i="68"/>
  <c r="J24" i="68" s="1"/>
  <c r="G23" i="68"/>
  <c r="J23" i="68" s="1"/>
  <c r="G22" i="68"/>
  <c r="J22" i="68" s="1"/>
  <c r="G21" i="68"/>
  <c r="J21" i="68" s="1"/>
  <c r="G20" i="68"/>
  <c r="J20" i="68" s="1"/>
  <c r="G19" i="68"/>
  <c r="J19" i="68" s="1"/>
  <c r="G18" i="68"/>
  <c r="J18" i="68" s="1"/>
  <c r="G17" i="68"/>
  <c r="J17" i="68" s="1"/>
  <c r="G16" i="68"/>
  <c r="J16" i="68" s="1"/>
  <c r="G15" i="68"/>
  <c r="J15" i="68" s="1"/>
  <c r="G14" i="68"/>
  <c r="J14" i="68" s="1"/>
  <c r="G13" i="68"/>
  <c r="J13" i="68" s="1"/>
  <c r="G12" i="68"/>
  <c r="J12" i="68" s="1"/>
  <c r="G11" i="68"/>
  <c r="J11" i="68" s="1"/>
  <c r="G10" i="68"/>
  <c r="J10" i="68" s="1"/>
  <c r="G9" i="68"/>
  <c r="J9" i="68" s="1"/>
  <c r="E61" i="67"/>
  <c r="D61" i="67"/>
  <c r="C61" i="67"/>
  <c r="E60" i="67"/>
  <c r="D60" i="67"/>
  <c r="C60" i="67"/>
  <c r="G56" i="67"/>
  <c r="H56" i="67" s="1"/>
  <c r="G55" i="67"/>
  <c r="H55" i="67" s="1"/>
  <c r="G54" i="67"/>
  <c r="H54" i="67" s="1"/>
  <c r="F49" i="67"/>
  <c r="E49" i="67"/>
  <c r="D49" i="67"/>
  <c r="C49" i="67"/>
  <c r="G44" i="67"/>
  <c r="J44" i="67" s="1"/>
  <c r="G43" i="67"/>
  <c r="J43" i="67" s="1"/>
  <c r="G42" i="67"/>
  <c r="J42" i="67" s="1"/>
  <c r="G41" i="67"/>
  <c r="G40" i="67"/>
  <c r="H40" i="67" s="1"/>
  <c r="G39" i="67"/>
  <c r="H39" i="67" s="1"/>
  <c r="G38" i="67"/>
  <c r="G37" i="67"/>
  <c r="J37" i="67" s="1"/>
  <c r="G36" i="67"/>
  <c r="G35" i="67"/>
  <c r="J35" i="67" s="1"/>
  <c r="G34" i="67"/>
  <c r="G33" i="67"/>
  <c r="J33" i="67" s="1"/>
  <c r="G32" i="67"/>
  <c r="G31" i="67"/>
  <c r="J31" i="67" s="1"/>
  <c r="G30" i="67"/>
  <c r="H29" i="67"/>
  <c r="G29" i="67"/>
  <c r="J29" i="67" s="1"/>
  <c r="G28" i="67"/>
  <c r="G27" i="67"/>
  <c r="J27" i="67" s="1"/>
  <c r="G26" i="67"/>
  <c r="G25" i="67"/>
  <c r="H25" i="67" s="1"/>
  <c r="G24" i="67"/>
  <c r="G23" i="67"/>
  <c r="H23" i="67" s="1"/>
  <c r="G22" i="67"/>
  <c r="J22" i="67" s="1"/>
  <c r="G21" i="67"/>
  <c r="H21" i="67" s="1"/>
  <c r="G20" i="67"/>
  <c r="J20" i="67" s="1"/>
  <c r="G19" i="67"/>
  <c r="J19" i="67" s="1"/>
  <c r="G18" i="67"/>
  <c r="J18" i="67" s="1"/>
  <c r="G17" i="67"/>
  <c r="J17" i="67" s="1"/>
  <c r="G16" i="67"/>
  <c r="G15" i="67"/>
  <c r="G14" i="67"/>
  <c r="J14" i="67" s="1"/>
  <c r="G13" i="67"/>
  <c r="G12" i="67"/>
  <c r="J12" i="67" s="1"/>
  <c r="G11" i="67"/>
  <c r="G10" i="67"/>
  <c r="H10" i="67" s="1"/>
  <c r="G9" i="67"/>
  <c r="E61" i="66"/>
  <c r="D61" i="66"/>
  <c r="C61" i="66"/>
  <c r="E60" i="66"/>
  <c r="D60" i="66"/>
  <c r="C60" i="66"/>
  <c r="G56" i="66"/>
  <c r="H56" i="66" s="1"/>
  <c r="G55" i="66"/>
  <c r="H55" i="66" s="1"/>
  <c r="G54" i="66"/>
  <c r="H54" i="66" s="1"/>
  <c r="F49" i="66"/>
  <c r="E49" i="66"/>
  <c r="D49" i="66"/>
  <c r="C49" i="66"/>
  <c r="G36" i="66"/>
  <c r="J36" i="66" s="1"/>
  <c r="G35" i="66"/>
  <c r="G34" i="66"/>
  <c r="J34" i="66" s="1"/>
  <c r="G33" i="66"/>
  <c r="H33" i="66" s="1"/>
  <c r="G32" i="66"/>
  <c r="H32" i="66" s="1"/>
  <c r="G31" i="66"/>
  <c r="H31" i="66" s="1"/>
  <c r="G30" i="66"/>
  <c r="G29" i="66"/>
  <c r="H29" i="66" s="1"/>
  <c r="G28" i="66"/>
  <c r="G27" i="66"/>
  <c r="H27" i="66" s="1"/>
  <c r="G26" i="66"/>
  <c r="G25" i="66"/>
  <c r="G24" i="66"/>
  <c r="J24" i="66" s="1"/>
  <c r="G23" i="66"/>
  <c r="G22" i="66"/>
  <c r="J22" i="66" s="1"/>
  <c r="G21" i="66"/>
  <c r="G20" i="66"/>
  <c r="J20" i="66" s="1"/>
  <c r="G19" i="66"/>
  <c r="G18" i="66"/>
  <c r="H18" i="66" s="1"/>
  <c r="G17" i="66"/>
  <c r="J17" i="66" s="1"/>
  <c r="G16" i="66"/>
  <c r="H16" i="66" s="1"/>
  <c r="G15" i="66"/>
  <c r="G14" i="66"/>
  <c r="J14" i="66" s="1"/>
  <c r="G13" i="66"/>
  <c r="H13" i="66" s="1"/>
  <c r="G12" i="66"/>
  <c r="J12" i="66" s="1"/>
  <c r="G11" i="66"/>
  <c r="J11" i="66" s="1"/>
  <c r="G10" i="66"/>
  <c r="J10" i="66" s="1"/>
  <c r="G9" i="66"/>
  <c r="E61" i="65"/>
  <c r="D61" i="65"/>
  <c r="C61" i="65"/>
  <c r="E60" i="65"/>
  <c r="D60" i="65"/>
  <c r="C60" i="65"/>
  <c r="G56" i="65"/>
  <c r="H56" i="65" s="1"/>
  <c r="G55" i="65"/>
  <c r="H55" i="65" s="1"/>
  <c r="G54" i="65"/>
  <c r="H54" i="65" s="1"/>
  <c r="F49" i="65"/>
  <c r="E49" i="65"/>
  <c r="D49" i="65"/>
  <c r="C49" i="65"/>
  <c r="G41" i="65"/>
  <c r="H41" i="65" s="1"/>
  <c r="G40" i="65"/>
  <c r="J40" i="65" s="1"/>
  <c r="G39" i="65"/>
  <c r="J39" i="65" s="1"/>
  <c r="G38" i="65"/>
  <c r="G37" i="65"/>
  <c r="H37" i="65" s="1"/>
  <c r="G36" i="65"/>
  <c r="H36" i="65" s="1"/>
  <c r="G35" i="65"/>
  <c r="J35" i="65" s="1"/>
  <c r="G34" i="65"/>
  <c r="H34" i="65" s="1"/>
  <c r="G33" i="65"/>
  <c r="J33" i="65" s="1"/>
  <c r="G32" i="65"/>
  <c r="H32" i="65" s="1"/>
  <c r="G31" i="65"/>
  <c r="J31" i="65" s="1"/>
  <c r="G30" i="65"/>
  <c r="H30" i="65" s="1"/>
  <c r="G29" i="65"/>
  <c r="J29" i="65" s="1"/>
  <c r="G28" i="65"/>
  <c r="H28" i="65" s="1"/>
  <c r="G27" i="65"/>
  <c r="H27" i="65" s="1"/>
  <c r="G26" i="65"/>
  <c r="H26" i="65" s="1"/>
  <c r="G25" i="65"/>
  <c r="H25" i="65" s="1"/>
  <c r="G24" i="65"/>
  <c r="G23" i="65"/>
  <c r="J23" i="65" s="1"/>
  <c r="G22" i="65"/>
  <c r="G21" i="65"/>
  <c r="J21" i="65" s="1"/>
  <c r="G20" i="65"/>
  <c r="G19" i="65"/>
  <c r="H19" i="65" s="1"/>
  <c r="G18" i="65"/>
  <c r="G17" i="65"/>
  <c r="H17" i="65" s="1"/>
  <c r="G16" i="65"/>
  <c r="J16" i="65" s="1"/>
  <c r="G15" i="65"/>
  <c r="G14" i="65"/>
  <c r="J14" i="65" s="1"/>
  <c r="G13" i="65"/>
  <c r="G12" i="65"/>
  <c r="H12" i="65" s="1"/>
  <c r="G11" i="65"/>
  <c r="G10" i="65"/>
  <c r="H10" i="65" s="1"/>
  <c r="G9" i="65"/>
  <c r="H9" i="65" s="1"/>
  <c r="E61" i="64"/>
  <c r="D61" i="64"/>
  <c r="C61" i="64"/>
  <c r="E60" i="64"/>
  <c r="D60" i="64"/>
  <c r="C60" i="64"/>
  <c r="G56" i="64"/>
  <c r="H56" i="64" s="1"/>
  <c r="G55" i="64"/>
  <c r="H55" i="64" s="1"/>
  <c r="G54" i="64"/>
  <c r="H54" i="64" s="1"/>
  <c r="F49" i="64"/>
  <c r="E49" i="64"/>
  <c r="D49" i="64"/>
  <c r="C49" i="64"/>
  <c r="G38" i="64"/>
  <c r="H38" i="64" s="1"/>
  <c r="G37" i="64"/>
  <c r="H37" i="64" s="1"/>
  <c r="G36" i="64"/>
  <c r="G35" i="64"/>
  <c r="J35" i="64" s="1"/>
  <c r="G34" i="64"/>
  <c r="G33" i="64"/>
  <c r="J33" i="64" s="1"/>
  <c r="G32" i="64"/>
  <c r="G31" i="64"/>
  <c r="H31" i="64" s="1"/>
  <c r="G30" i="64"/>
  <c r="G29" i="64"/>
  <c r="H29" i="64" s="1"/>
  <c r="G28" i="64"/>
  <c r="G27" i="64"/>
  <c r="H27" i="64" s="1"/>
  <c r="G26" i="64"/>
  <c r="J26" i="64" s="1"/>
  <c r="G25" i="64"/>
  <c r="H25" i="64" s="1"/>
  <c r="G24" i="64"/>
  <c r="J24" i="64" s="1"/>
  <c r="G23" i="64"/>
  <c r="H23" i="64" s="1"/>
  <c r="G22" i="64"/>
  <c r="J22" i="64" s="1"/>
  <c r="G21" i="64"/>
  <c r="H21" i="64" s="1"/>
  <c r="G20" i="64"/>
  <c r="G19" i="64"/>
  <c r="J19" i="64" s="1"/>
  <c r="G18" i="64"/>
  <c r="G17" i="64"/>
  <c r="G16" i="64"/>
  <c r="J16" i="64" s="1"/>
  <c r="G15" i="64"/>
  <c r="J15" i="64" s="1"/>
  <c r="G14" i="64"/>
  <c r="J14" i="64" s="1"/>
  <c r="G13" i="64"/>
  <c r="G12" i="64"/>
  <c r="J12" i="64" s="1"/>
  <c r="G11" i="64"/>
  <c r="H11" i="64" s="1"/>
  <c r="G10" i="64"/>
  <c r="J10" i="64" s="1"/>
  <c r="G9" i="64"/>
  <c r="J9" i="64" s="1"/>
  <c r="E61" i="63"/>
  <c r="D61" i="63"/>
  <c r="C61" i="63"/>
  <c r="E60" i="63"/>
  <c r="D60" i="63"/>
  <c r="C60" i="63"/>
  <c r="G56" i="63"/>
  <c r="H56" i="63" s="1"/>
  <c r="G55" i="63"/>
  <c r="H55" i="63" s="1"/>
  <c r="G54" i="63"/>
  <c r="H54" i="63" s="1"/>
  <c r="F49" i="63"/>
  <c r="E49" i="63"/>
  <c r="D49" i="63"/>
  <c r="C49" i="63"/>
  <c r="G45" i="63"/>
  <c r="J45" i="63" s="1"/>
  <c r="G44" i="63"/>
  <c r="H44" i="63" s="1"/>
  <c r="G43" i="63"/>
  <c r="J43" i="63" s="1"/>
  <c r="G42" i="63"/>
  <c r="H42" i="63" s="1"/>
  <c r="G41" i="63"/>
  <c r="G40" i="63"/>
  <c r="H40" i="63" s="1"/>
  <c r="G39" i="63"/>
  <c r="G38" i="63"/>
  <c r="J38" i="63" s="1"/>
  <c r="G37" i="63"/>
  <c r="G36" i="63"/>
  <c r="H36" i="63" s="1"/>
  <c r="G35" i="63"/>
  <c r="G34" i="63"/>
  <c r="H34" i="63" s="1"/>
  <c r="G33" i="63"/>
  <c r="J33" i="63" s="1"/>
  <c r="G32" i="63"/>
  <c r="J32" i="63" s="1"/>
  <c r="G31" i="63"/>
  <c r="G30" i="63"/>
  <c r="H30" i="63" s="1"/>
  <c r="G29" i="63"/>
  <c r="G28" i="63"/>
  <c r="J28" i="63" s="1"/>
  <c r="G27" i="63"/>
  <c r="J27" i="63" s="1"/>
  <c r="G26" i="63"/>
  <c r="G25" i="63"/>
  <c r="G24" i="63"/>
  <c r="J24" i="63" s="1"/>
  <c r="G23" i="63"/>
  <c r="H23" i="63" s="1"/>
  <c r="G22" i="63"/>
  <c r="G21" i="63"/>
  <c r="H21" i="63" s="1"/>
  <c r="G20" i="63"/>
  <c r="G19" i="63"/>
  <c r="H19" i="63" s="1"/>
  <c r="G18" i="63"/>
  <c r="J18" i="63" s="1"/>
  <c r="G17" i="63"/>
  <c r="G16" i="63"/>
  <c r="J16" i="63" s="1"/>
  <c r="G15" i="63"/>
  <c r="G14" i="63"/>
  <c r="J14" i="63" s="1"/>
  <c r="G13" i="63"/>
  <c r="G12" i="63"/>
  <c r="G11" i="63"/>
  <c r="G10" i="63"/>
  <c r="H10" i="63" s="1"/>
  <c r="G9" i="63"/>
  <c r="H9" i="63" s="1"/>
  <c r="E61" i="62"/>
  <c r="D61" i="62"/>
  <c r="C61" i="62"/>
  <c r="E60" i="62"/>
  <c r="D60" i="62"/>
  <c r="C60" i="62"/>
  <c r="G56" i="62"/>
  <c r="H56" i="62" s="1"/>
  <c r="G55" i="62"/>
  <c r="H55" i="62" s="1"/>
  <c r="G54" i="62"/>
  <c r="H54" i="62" s="1"/>
  <c r="F49" i="62"/>
  <c r="E49" i="62"/>
  <c r="D49" i="62"/>
  <c r="C49" i="62"/>
  <c r="G45" i="62"/>
  <c r="H45" i="62" s="1"/>
  <c r="G44" i="62"/>
  <c r="H44" i="62" s="1"/>
  <c r="G43" i="62"/>
  <c r="H43" i="62" s="1"/>
  <c r="G42" i="62"/>
  <c r="H42" i="62" s="1"/>
  <c r="G41" i="62"/>
  <c r="G40" i="62"/>
  <c r="J40" i="62" s="1"/>
  <c r="G39" i="62"/>
  <c r="G38" i="62"/>
  <c r="H38" i="62" s="1"/>
  <c r="G37" i="62"/>
  <c r="J37" i="62" s="1"/>
  <c r="G36" i="62"/>
  <c r="J36" i="62" s="1"/>
  <c r="G35" i="62"/>
  <c r="J35" i="62" s="1"/>
  <c r="G34" i="62"/>
  <c r="H34" i="62" s="1"/>
  <c r="G33" i="62"/>
  <c r="J33" i="62" s="1"/>
  <c r="G32" i="62"/>
  <c r="J32" i="62" s="1"/>
  <c r="G31" i="62"/>
  <c r="J31" i="62" s="1"/>
  <c r="G30" i="62"/>
  <c r="H30" i="62" s="1"/>
  <c r="G29" i="62"/>
  <c r="H29" i="62" s="1"/>
  <c r="G28" i="62"/>
  <c r="G27" i="62"/>
  <c r="H27" i="62" s="1"/>
  <c r="G26" i="62"/>
  <c r="G25" i="62"/>
  <c r="J25" i="62" s="1"/>
  <c r="G24" i="62"/>
  <c r="G23" i="62"/>
  <c r="H23" i="62" s="1"/>
  <c r="G22" i="62"/>
  <c r="G21" i="62"/>
  <c r="J21" i="62" s="1"/>
  <c r="G20" i="62"/>
  <c r="G19" i="62"/>
  <c r="H19" i="62" s="1"/>
  <c r="G18" i="62"/>
  <c r="G17" i="62"/>
  <c r="J17" i="62" s="1"/>
  <c r="G16" i="62"/>
  <c r="H16" i="62" s="1"/>
  <c r="G15" i="62"/>
  <c r="J15" i="62" s="1"/>
  <c r="G14" i="62"/>
  <c r="J14" i="62" s="1"/>
  <c r="G13" i="62"/>
  <c r="J13" i="62" s="1"/>
  <c r="G12" i="62"/>
  <c r="J12" i="62" s="1"/>
  <c r="G11" i="62"/>
  <c r="J11" i="62" s="1"/>
  <c r="G10" i="62"/>
  <c r="J10" i="62" s="1"/>
  <c r="G9" i="62"/>
  <c r="J9" i="62" s="1"/>
  <c r="E61" i="61"/>
  <c r="D61" i="61"/>
  <c r="C61" i="61"/>
  <c r="E60" i="61"/>
  <c r="D60" i="61"/>
  <c r="C60" i="61"/>
  <c r="G56" i="61"/>
  <c r="H56" i="61" s="1"/>
  <c r="G55" i="61"/>
  <c r="H55" i="61" s="1"/>
  <c r="G54" i="61"/>
  <c r="H54" i="61" s="1"/>
  <c r="F49" i="61"/>
  <c r="E49" i="61"/>
  <c r="D49" i="61"/>
  <c r="C49" i="61"/>
  <c r="G41" i="61"/>
  <c r="J41" i="61" s="1"/>
  <c r="G40" i="61"/>
  <c r="J40" i="61" s="1"/>
  <c r="G39" i="61"/>
  <c r="H39" i="61" s="1"/>
  <c r="G38" i="61"/>
  <c r="J38" i="61" s="1"/>
  <c r="G37" i="61"/>
  <c r="J37" i="61" s="1"/>
  <c r="G36" i="61"/>
  <c r="J36" i="61" s="1"/>
  <c r="G35" i="61"/>
  <c r="J35" i="61" s="1"/>
  <c r="G34" i="61"/>
  <c r="J34" i="61" s="1"/>
  <c r="G33" i="61"/>
  <c r="J33" i="61" s="1"/>
  <c r="G32" i="61"/>
  <c r="J32" i="61" s="1"/>
  <c r="G31" i="61"/>
  <c r="H31" i="61" s="1"/>
  <c r="G30" i="61"/>
  <c r="J30" i="61" s="1"/>
  <c r="G29" i="61"/>
  <c r="J29" i="61" s="1"/>
  <c r="G28" i="61"/>
  <c r="J28" i="61" s="1"/>
  <c r="G27" i="61"/>
  <c r="H27" i="61" s="1"/>
  <c r="G26" i="61"/>
  <c r="J26" i="61" s="1"/>
  <c r="G25" i="61"/>
  <c r="J25" i="61" s="1"/>
  <c r="G24" i="61"/>
  <c r="G23" i="61"/>
  <c r="H23" i="61" s="1"/>
  <c r="G22" i="61"/>
  <c r="J22" i="61" s="1"/>
  <c r="G21" i="61"/>
  <c r="J21" i="61" s="1"/>
  <c r="G20" i="61"/>
  <c r="G19" i="61"/>
  <c r="J19" i="61" s="1"/>
  <c r="G18" i="61"/>
  <c r="J18" i="61" s="1"/>
  <c r="G17" i="61"/>
  <c r="J17" i="61" s="1"/>
  <c r="G16" i="61"/>
  <c r="G15" i="61"/>
  <c r="J15" i="61" s="1"/>
  <c r="G14" i="61"/>
  <c r="J14" i="61" s="1"/>
  <c r="G13" i="61"/>
  <c r="J13" i="61" s="1"/>
  <c r="G12" i="61"/>
  <c r="G11" i="61"/>
  <c r="G10" i="61"/>
  <c r="H10" i="61" s="1"/>
  <c r="G9" i="61"/>
  <c r="E61" i="60"/>
  <c r="D61" i="60"/>
  <c r="C61" i="60"/>
  <c r="E60" i="60"/>
  <c r="D60" i="60"/>
  <c r="C60" i="60"/>
  <c r="G56" i="60"/>
  <c r="H56" i="60" s="1"/>
  <c r="G55" i="60"/>
  <c r="H55" i="60" s="1"/>
  <c r="G54" i="60"/>
  <c r="H54" i="60" s="1"/>
  <c r="F49" i="60"/>
  <c r="E49" i="60"/>
  <c r="D49" i="60"/>
  <c r="C49" i="60"/>
  <c r="G44" i="60"/>
  <c r="H44" i="60" s="1"/>
  <c r="G43" i="60"/>
  <c r="G42" i="60"/>
  <c r="G41" i="60"/>
  <c r="J41" i="60" s="1"/>
  <c r="G40" i="60"/>
  <c r="G39" i="60"/>
  <c r="H39" i="60" s="1"/>
  <c r="G38" i="60"/>
  <c r="G37" i="60"/>
  <c r="H37" i="60" s="1"/>
  <c r="G36" i="60"/>
  <c r="G35" i="60"/>
  <c r="J35" i="60" s="1"/>
  <c r="G34" i="60"/>
  <c r="J34" i="60" s="1"/>
  <c r="G33" i="60"/>
  <c r="J33" i="60" s="1"/>
  <c r="G32" i="60"/>
  <c r="J32" i="60" s="1"/>
  <c r="G31" i="60"/>
  <c r="J31" i="60" s="1"/>
  <c r="G30" i="60"/>
  <c r="J30" i="60" s="1"/>
  <c r="G29" i="60"/>
  <c r="J29" i="60" s="1"/>
  <c r="G28" i="60"/>
  <c r="J28" i="60" s="1"/>
  <c r="G27" i="60"/>
  <c r="G26" i="60"/>
  <c r="J26" i="60" s="1"/>
  <c r="G25" i="60"/>
  <c r="G24" i="60"/>
  <c r="J24" i="60" s="1"/>
  <c r="G23" i="60"/>
  <c r="G22" i="60"/>
  <c r="J22" i="60" s="1"/>
  <c r="G21" i="60"/>
  <c r="G20" i="60"/>
  <c r="H20" i="60" s="1"/>
  <c r="G19" i="60"/>
  <c r="G18" i="60"/>
  <c r="J18" i="60" s="1"/>
  <c r="G17" i="60"/>
  <c r="G16" i="60"/>
  <c r="J16" i="60" s="1"/>
  <c r="G15" i="60"/>
  <c r="G14" i="60"/>
  <c r="J14" i="60" s="1"/>
  <c r="G13" i="60"/>
  <c r="G12" i="60"/>
  <c r="J12" i="60" s="1"/>
  <c r="G11" i="60"/>
  <c r="G10" i="60"/>
  <c r="J10" i="60" s="1"/>
  <c r="G9" i="60"/>
  <c r="E61" i="59"/>
  <c r="D61" i="59"/>
  <c r="C61" i="59"/>
  <c r="E60" i="59"/>
  <c r="D60" i="59"/>
  <c r="C60" i="59"/>
  <c r="G56" i="59"/>
  <c r="H56" i="59" s="1"/>
  <c r="G55" i="59"/>
  <c r="H55" i="59" s="1"/>
  <c r="G54" i="59"/>
  <c r="H54" i="59" s="1"/>
  <c r="F49" i="59"/>
  <c r="E49" i="59"/>
  <c r="D49" i="59"/>
  <c r="C49" i="59"/>
  <c r="G36" i="59"/>
  <c r="H36" i="59" s="1"/>
  <c r="G35" i="59"/>
  <c r="G34" i="59"/>
  <c r="J34" i="59" s="1"/>
  <c r="G33" i="59"/>
  <c r="G32" i="59"/>
  <c r="J32" i="59" s="1"/>
  <c r="G31" i="59"/>
  <c r="G30" i="59"/>
  <c r="J30" i="59" s="1"/>
  <c r="G29" i="59"/>
  <c r="G28" i="59"/>
  <c r="J28" i="59" s="1"/>
  <c r="G27" i="59"/>
  <c r="G26" i="59"/>
  <c r="J26" i="59" s="1"/>
  <c r="G25" i="59"/>
  <c r="G24" i="59"/>
  <c r="J24" i="59" s="1"/>
  <c r="G23" i="59"/>
  <c r="J23" i="59" s="1"/>
  <c r="G22" i="59"/>
  <c r="J22" i="59" s="1"/>
  <c r="G21" i="59"/>
  <c r="J21" i="59" s="1"/>
  <c r="G20" i="59"/>
  <c r="J20" i="59" s="1"/>
  <c r="G19" i="59"/>
  <c r="H19" i="59" s="1"/>
  <c r="G18" i="59"/>
  <c r="J18" i="59" s="1"/>
  <c r="G17" i="59"/>
  <c r="H17" i="59" s="1"/>
  <c r="G16" i="59"/>
  <c r="H16" i="59" s="1"/>
  <c r="G15" i="59"/>
  <c r="J15" i="59" s="1"/>
  <c r="G14" i="59"/>
  <c r="H14" i="59" s="1"/>
  <c r="G13" i="59"/>
  <c r="H13" i="59" s="1"/>
  <c r="G12" i="59"/>
  <c r="H12" i="59" s="1"/>
  <c r="G11" i="59"/>
  <c r="H11" i="59" s="1"/>
  <c r="G10" i="59"/>
  <c r="G9" i="59"/>
  <c r="H9" i="59" s="1"/>
  <c r="E61" i="58"/>
  <c r="D61" i="58"/>
  <c r="C61" i="58"/>
  <c r="E60" i="58"/>
  <c r="D60" i="58"/>
  <c r="C60" i="58"/>
  <c r="G56" i="58"/>
  <c r="H56" i="58" s="1"/>
  <c r="G55" i="58"/>
  <c r="H55" i="58" s="1"/>
  <c r="G54" i="58"/>
  <c r="H54" i="58" s="1"/>
  <c r="F49" i="58"/>
  <c r="E49" i="58"/>
  <c r="D49" i="58"/>
  <c r="C49" i="58"/>
  <c r="G32" i="58"/>
  <c r="H32" i="58" s="1"/>
  <c r="G31" i="58"/>
  <c r="H31" i="58" s="1"/>
  <c r="G30" i="58"/>
  <c r="H30" i="58" s="1"/>
  <c r="G29" i="58"/>
  <c r="H29" i="58" s="1"/>
  <c r="G28" i="58"/>
  <c r="G27" i="58"/>
  <c r="H27" i="58" s="1"/>
  <c r="G26" i="58"/>
  <c r="H26" i="58" s="1"/>
  <c r="G25" i="58"/>
  <c r="G24" i="58"/>
  <c r="H24" i="58" s="1"/>
  <c r="G23" i="58"/>
  <c r="H23" i="58" s="1"/>
  <c r="G22" i="58"/>
  <c r="H22" i="58" s="1"/>
  <c r="G21" i="58"/>
  <c r="H21" i="58" s="1"/>
  <c r="G20" i="58"/>
  <c r="J20" i="58" s="1"/>
  <c r="G19" i="58"/>
  <c r="H19" i="58" s="1"/>
  <c r="G18" i="58"/>
  <c r="J18" i="58" s="1"/>
  <c r="G17" i="58"/>
  <c r="G16" i="58"/>
  <c r="H16" i="58" s="1"/>
  <c r="G15" i="58"/>
  <c r="J15" i="58" s="1"/>
  <c r="G14" i="58"/>
  <c r="J14" i="58" s="1"/>
  <c r="G13" i="58"/>
  <c r="J13" i="58" s="1"/>
  <c r="G12" i="58"/>
  <c r="H12" i="58" s="1"/>
  <c r="G11" i="58"/>
  <c r="J11" i="58" s="1"/>
  <c r="G10" i="58"/>
  <c r="J10" i="58" s="1"/>
  <c r="G9" i="58"/>
  <c r="J9" i="58" s="1"/>
  <c r="E61" i="57"/>
  <c r="D61" i="57"/>
  <c r="C61" i="57"/>
  <c r="E60" i="57"/>
  <c r="D60" i="57"/>
  <c r="C60" i="57"/>
  <c r="G56" i="57"/>
  <c r="H56" i="57" s="1"/>
  <c r="G55" i="57"/>
  <c r="H55" i="57" s="1"/>
  <c r="G54" i="57"/>
  <c r="H54" i="57" s="1"/>
  <c r="F49" i="57"/>
  <c r="E49" i="57"/>
  <c r="D49" i="57"/>
  <c r="C49" i="57"/>
  <c r="G26" i="57"/>
  <c r="H26" i="57" s="1"/>
  <c r="G25" i="57"/>
  <c r="H25" i="57" s="1"/>
  <c r="G24" i="57"/>
  <c r="H24" i="57" s="1"/>
  <c r="G23" i="57"/>
  <c r="G22" i="57"/>
  <c r="J22" i="57" s="1"/>
  <c r="G21" i="57"/>
  <c r="H21" i="57" s="1"/>
  <c r="G20" i="57"/>
  <c r="G19" i="57"/>
  <c r="J19" i="57" s="1"/>
  <c r="G18" i="57"/>
  <c r="J18" i="57" s="1"/>
  <c r="G17" i="57"/>
  <c r="J17" i="57" s="1"/>
  <c r="G16" i="57"/>
  <c r="J16" i="57" s="1"/>
  <c r="G15" i="57"/>
  <c r="J15" i="57" s="1"/>
  <c r="G14" i="57"/>
  <c r="J14" i="57" s="1"/>
  <c r="G13" i="57"/>
  <c r="H13" i="57" s="1"/>
  <c r="G12" i="57"/>
  <c r="H12" i="57" s="1"/>
  <c r="G11" i="57"/>
  <c r="H11" i="57" s="1"/>
  <c r="G10" i="57"/>
  <c r="G9" i="57"/>
  <c r="H9" i="57" s="1"/>
  <c r="E61" i="56"/>
  <c r="D61" i="56"/>
  <c r="C61" i="56"/>
  <c r="E60" i="56"/>
  <c r="D60" i="56"/>
  <c r="C60" i="56"/>
  <c r="G56" i="56"/>
  <c r="H56" i="56" s="1"/>
  <c r="G55" i="56"/>
  <c r="H55" i="56" s="1"/>
  <c r="G54" i="56"/>
  <c r="H54" i="56" s="1"/>
  <c r="F49" i="56"/>
  <c r="E49" i="56"/>
  <c r="D49" i="56"/>
  <c r="C49" i="56"/>
  <c r="G44" i="56"/>
  <c r="H44" i="56" s="1"/>
  <c r="G43" i="56"/>
  <c r="J43" i="56" s="1"/>
  <c r="G42" i="56"/>
  <c r="J42" i="56" s="1"/>
  <c r="G41" i="56"/>
  <c r="H41" i="56" s="1"/>
  <c r="G40" i="56"/>
  <c r="J40" i="56" s="1"/>
  <c r="G39" i="56"/>
  <c r="J39" i="56" s="1"/>
  <c r="G38" i="56"/>
  <c r="J38" i="56" s="1"/>
  <c r="G37" i="56"/>
  <c r="J37" i="56" s="1"/>
  <c r="G36" i="56"/>
  <c r="G35" i="56"/>
  <c r="H35" i="56" s="1"/>
  <c r="G34" i="56"/>
  <c r="H34" i="56" s="1"/>
  <c r="G33" i="56"/>
  <c r="J33" i="56" s="1"/>
  <c r="G32" i="56"/>
  <c r="J32" i="56" s="1"/>
  <c r="G31" i="56"/>
  <c r="J31" i="56" s="1"/>
  <c r="G30" i="56"/>
  <c r="J30" i="56" s="1"/>
  <c r="G29" i="56"/>
  <c r="J29" i="56" s="1"/>
  <c r="G28" i="56"/>
  <c r="G27" i="56"/>
  <c r="J27" i="56" s="1"/>
  <c r="G26" i="56"/>
  <c r="G25" i="56"/>
  <c r="H25" i="56" s="1"/>
  <c r="G24" i="56"/>
  <c r="H24" i="56" s="1"/>
  <c r="G23" i="56"/>
  <c r="H23" i="56" s="1"/>
  <c r="G22" i="56"/>
  <c r="G21" i="56"/>
  <c r="H21" i="56" s="1"/>
  <c r="G20" i="56"/>
  <c r="H20" i="56" s="1"/>
  <c r="G19" i="56"/>
  <c r="H19" i="56" s="1"/>
  <c r="G18" i="56"/>
  <c r="G17" i="56"/>
  <c r="J17" i="56" s="1"/>
  <c r="G16" i="56"/>
  <c r="G15" i="56"/>
  <c r="H15" i="56" s="1"/>
  <c r="G14" i="56"/>
  <c r="G13" i="56"/>
  <c r="J13" i="56" s="1"/>
  <c r="G12" i="56"/>
  <c r="H12" i="56" s="1"/>
  <c r="G11" i="56"/>
  <c r="H11" i="56" s="1"/>
  <c r="G10" i="56"/>
  <c r="H10" i="56" s="1"/>
  <c r="G9" i="56"/>
  <c r="E61" i="55"/>
  <c r="D61" i="55"/>
  <c r="C61" i="55"/>
  <c r="E60" i="55"/>
  <c r="D60" i="55"/>
  <c r="C60" i="55"/>
  <c r="G56" i="55"/>
  <c r="H56" i="55" s="1"/>
  <c r="G55" i="55"/>
  <c r="H55" i="55" s="1"/>
  <c r="G54" i="55"/>
  <c r="H54" i="55" s="1"/>
  <c r="F49" i="55"/>
  <c r="E49" i="55"/>
  <c r="D49" i="55"/>
  <c r="C49" i="55"/>
  <c r="G43" i="55"/>
  <c r="J43" i="55" s="1"/>
  <c r="G42" i="55"/>
  <c r="G41" i="55"/>
  <c r="J41" i="55" s="1"/>
  <c r="G40" i="55"/>
  <c r="J40" i="55" s="1"/>
  <c r="G39" i="55"/>
  <c r="J39" i="55" s="1"/>
  <c r="G38" i="55"/>
  <c r="J38" i="55" s="1"/>
  <c r="G37" i="55"/>
  <c r="J37" i="55" s="1"/>
  <c r="G36" i="55"/>
  <c r="G35" i="55"/>
  <c r="H35" i="55" s="1"/>
  <c r="G34" i="55"/>
  <c r="G33" i="55"/>
  <c r="J33" i="55" s="1"/>
  <c r="G32" i="55"/>
  <c r="J32" i="55" s="1"/>
  <c r="G31" i="55"/>
  <c r="H31" i="55" s="1"/>
  <c r="G30" i="55"/>
  <c r="J30" i="55" s="1"/>
  <c r="G29" i="55"/>
  <c r="J29" i="55" s="1"/>
  <c r="G28" i="55"/>
  <c r="G27" i="55"/>
  <c r="J27" i="55" s="1"/>
  <c r="G26" i="55"/>
  <c r="G25" i="55"/>
  <c r="J25" i="55" s="1"/>
  <c r="G24" i="55"/>
  <c r="J24" i="55" s="1"/>
  <c r="G23" i="55"/>
  <c r="J23" i="55" s="1"/>
  <c r="G22" i="55"/>
  <c r="J22" i="55" s="1"/>
  <c r="G21" i="55"/>
  <c r="H21" i="55" s="1"/>
  <c r="G20" i="55"/>
  <c r="G19" i="55"/>
  <c r="H19" i="55" s="1"/>
  <c r="G18" i="55"/>
  <c r="G17" i="55"/>
  <c r="H17" i="55" s="1"/>
  <c r="G16" i="55"/>
  <c r="H16" i="55" s="1"/>
  <c r="G15" i="55"/>
  <c r="H15" i="55" s="1"/>
  <c r="G14" i="55"/>
  <c r="G13" i="55"/>
  <c r="H13" i="55" s="1"/>
  <c r="G12" i="55"/>
  <c r="H12" i="55" s="1"/>
  <c r="G11" i="55"/>
  <c r="H11" i="55" s="1"/>
  <c r="G10" i="55"/>
  <c r="G9" i="55"/>
  <c r="E61" i="54"/>
  <c r="D61" i="54"/>
  <c r="C61" i="54"/>
  <c r="E60" i="54"/>
  <c r="D60" i="54"/>
  <c r="C60" i="54"/>
  <c r="G56" i="54"/>
  <c r="H56" i="54" s="1"/>
  <c r="G55" i="54"/>
  <c r="H55" i="54" s="1"/>
  <c r="G54" i="54"/>
  <c r="H54" i="54" s="1"/>
  <c r="F49" i="54"/>
  <c r="E49" i="54"/>
  <c r="D49" i="54"/>
  <c r="C49" i="54"/>
  <c r="G38" i="54"/>
  <c r="H38" i="54" s="1"/>
  <c r="G37" i="54"/>
  <c r="G36" i="54"/>
  <c r="H36" i="54" s="1"/>
  <c r="G35" i="54"/>
  <c r="G34" i="54"/>
  <c r="H34" i="54" s="1"/>
  <c r="G33" i="54"/>
  <c r="H33" i="54" s="1"/>
  <c r="G32" i="54"/>
  <c r="H32" i="54" s="1"/>
  <c r="G31" i="54"/>
  <c r="G30" i="54"/>
  <c r="G29" i="54"/>
  <c r="H29" i="54" s="1"/>
  <c r="G28" i="54"/>
  <c r="J28" i="54" s="1"/>
  <c r="G27" i="54"/>
  <c r="J27" i="54" s="1"/>
  <c r="G26" i="54"/>
  <c r="J26" i="54" s="1"/>
  <c r="G25" i="54"/>
  <c r="G24" i="54"/>
  <c r="J24" i="54" s="1"/>
  <c r="G23" i="54"/>
  <c r="H23" i="54" s="1"/>
  <c r="G22" i="54"/>
  <c r="J22" i="54" s="1"/>
  <c r="G21" i="54"/>
  <c r="J21" i="54" s="1"/>
  <c r="G20" i="54"/>
  <c r="J20" i="54" s="1"/>
  <c r="G19" i="54"/>
  <c r="H19" i="54" s="1"/>
  <c r="G18" i="54"/>
  <c r="J18" i="54" s="1"/>
  <c r="G17" i="54"/>
  <c r="G16" i="54"/>
  <c r="G15" i="54"/>
  <c r="H15" i="54" s="1"/>
  <c r="G14" i="54"/>
  <c r="G13" i="54"/>
  <c r="H13" i="54" s="1"/>
  <c r="G12" i="54"/>
  <c r="G11" i="54"/>
  <c r="H11" i="54" s="1"/>
  <c r="G10" i="54"/>
  <c r="G9" i="54"/>
  <c r="H9" i="54" s="1"/>
  <c r="E61" i="53"/>
  <c r="D61" i="53"/>
  <c r="C61" i="53"/>
  <c r="E60" i="53"/>
  <c r="D60" i="53"/>
  <c r="C60" i="53"/>
  <c r="G56" i="53"/>
  <c r="H56" i="53" s="1"/>
  <c r="G55" i="53"/>
  <c r="H55" i="53" s="1"/>
  <c r="G54" i="53"/>
  <c r="H54" i="53" s="1"/>
  <c r="F49" i="53"/>
  <c r="E49" i="53"/>
  <c r="D49" i="53"/>
  <c r="C49" i="53"/>
  <c r="G33" i="53"/>
  <c r="G32" i="53"/>
  <c r="H32" i="53" s="1"/>
  <c r="G31" i="53"/>
  <c r="H31" i="53" s="1"/>
  <c r="G30" i="53"/>
  <c r="J30" i="53" s="1"/>
  <c r="G29" i="53"/>
  <c r="H29" i="53" s="1"/>
  <c r="G28" i="53"/>
  <c r="G27" i="53"/>
  <c r="H27" i="53" s="1"/>
  <c r="G26" i="53"/>
  <c r="H26" i="53" s="1"/>
  <c r="G25" i="53"/>
  <c r="J25" i="53" s="1"/>
  <c r="G24" i="53"/>
  <c r="H24" i="53" s="1"/>
  <c r="G23" i="53"/>
  <c r="J23" i="53" s="1"/>
  <c r="G22" i="53"/>
  <c r="H22" i="53" s="1"/>
  <c r="G21" i="53"/>
  <c r="H21" i="53" s="1"/>
  <c r="G20" i="53"/>
  <c r="H20" i="53" s="1"/>
  <c r="G19" i="53"/>
  <c r="H19" i="53" s="1"/>
  <c r="G18" i="53"/>
  <c r="H18" i="53" s="1"/>
  <c r="G17" i="53"/>
  <c r="H17" i="53" s="1"/>
  <c r="G16" i="53"/>
  <c r="H16" i="53" s="1"/>
  <c r="G15" i="53"/>
  <c r="J15" i="53" s="1"/>
  <c r="G14" i="53"/>
  <c r="H14" i="53" s="1"/>
  <c r="G13" i="53"/>
  <c r="J13" i="53" s="1"/>
  <c r="G12" i="53"/>
  <c r="H12" i="53" s="1"/>
  <c r="G11" i="53"/>
  <c r="H11" i="53" s="1"/>
  <c r="G10" i="53"/>
  <c r="H10" i="53" s="1"/>
  <c r="G9" i="53"/>
  <c r="E61" i="52"/>
  <c r="D61" i="52"/>
  <c r="C61" i="52"/>
  <c r="E60" i="52"/>
  <c r="D60" i="52"/>
  <c r="C60" i="52"/>
  <c r="G56" i="52"/>
  <c r="H56" i="52" s="1"/>
  <c r="G55" i="52"/>
  <c r="H55" i="52" s="1"/>
  <c r="G54" i="52"/>
  <c r="H54" i="52" s="1"/>
  <c r="F49" i="52"/>
  <c r="E49" i="52"/>
  <c r="D49" i="52"/>
  <c r="C49" i="52"/>
  <c r="G39" i="52"/>
  <c r="G38" i="52"/>
  <c r="H38" i="52" s="1"/>
  <c r="G37" i="52"/>
  <c r="H37" i="52" s="1"/>
  <c r="G36" i="52"/>
  <c r="G35" i="52"/>
  <c r="J35" i="52" s="1"/>
  <c r="G34" i="52"/>
  <c r="G33" i="52"/>
  <c r="H33" i="52" s="1"/>
  <c r="G32" i="52"/>
  <c r="G31" i="52"/>
  <c r="J31" i="52" s="1"/>
  <c r="G30" i="52"/>
  <c r="G29" i="52"/>
  <c r="H29" i="52" s="1"/>
  <c r="G28" i="52"/>
  <c r="G27" i="52"/>
  <c r="H27" i="52" s="1"/>
  <c r="G26" i="52"/>
  <c r="J25" i="52"/>
  <c r="G25" i="52"/>
  <c r="H25" i="52" s="1"/>
  <c r="G24" i="52"/>
  <c r="G23" i="52"/>
  <c r="J23" i="52" s="1"/>
  <c r="G22" i="52"/>
  <c r="G21" i="52"/>
  <c r="H21" i="52" s="1"/>
  <c r="G20" i="52"/>
  <c r="G19" i="52"/>
  <c r="H19" i="52" s="1"/>
  <c r="G18" i="52"/>
  <c r="H18" i="52" s="1"/>
  <c r="G17" i="52"/>
  <c r="H17" i="52" s="1"/>
  <c r="G16" i="52"/>
  <c r="H16" i="52" s="1"/>
  <c r="G15" i="52"/>
  <c r="H15" i="52" s="1"/>
  <c r="G14" i="52"/>
  <c r="H14" i="52" s="1"/>
  <c r="G13" i="52"/>
  <c r="J13" i="52" s="1"/>
  <c r="G12" i="52"/>
  <c r="H12" i="52" s="1"/>
  <c r="G11" i="52"/>
  <c r="J11" i="52" s="1"/>
  <c r="G10" i="52"/>
  <c r="H10" i="52" s="1"/>
  <c r="G9" i="52"/>
  <c r="J9" i="52" s="1"/>
  <c r="E61" i="51"/>
  <c r="D61" i="51"/>
  <c r="C61" i="51"/>
  <c r="E60" i="51"/>
  <c r="D60" i="51"/>
  <c r="C60" i="51"/>
  <c r="G56" i="51"/>
  <c r="H56" i="51" s="1"/>
  <c r="G55" i="51"/>
  <c r="H55" i="51" s="1"/>
  <c r="G54" i="51"/>
  <c r="H54" i="51" s="1"/>
  <c r="F49" i="51"/>
  <c r="E49" i="51"/>
  <c r="D49" i="51"/>
  <c r="C49" i="51"/>
  <c r="G32" i="51"/>
  <c r="G31" i="51"/>
  <c r="H31" i="51" s="1"/>
  <c r="G30" i="51"/>
  <c r="H30" i="51" s="1"/>
  <c r="G29" i="51"/>
  <c r="J29" i="51" s="1"/>
  <c r="G28" i="51"/>
  <c r="H28" i="51" s="1"/>
  <c r="G27" i="51"/>
  <c r="G26" i="51"/>
  <c r="H26" i="51" s="1"/>
  <c r="G25" i="51"/>
  <c r="H25" i="51" s="1"/>
  <c r="G24" i="51"/>
  <c r="G23" i="51"/>
  <c r="H23" i="51" s="1"/>
  <c r="G22" i="51"/>
  <c r="G21" i="51"/>
  <c r="J21" i="51" s="1"/>
  <c r="G20" i="51"/>
  <c r="G19" i="51"/>
  <c r="H19" i="51" s="1"/>
  <c r="G18" i="51"/>
  <c r="G17" i="51"/>
  <c r="J17" i="51" s="1"/>
  <c r="G16" i="51"/>
  <c r="G15" i="51"/>
  <c r="H15" i="51" s="1"/>
  <c r="G14" i="51"/>
  <c r="G13" i="51"/>
  <c r="J13" i="51" s="1"/>
  <c r="G12" i="51"/>
  <c r="G11" i="51"/>
  <c r="H11" i="51" s="1"/>
  <c r="G10" i="51"/>
  <c r="G9" i="51"/>
  <c r="J9" i="51" s="1"/>
  <c r="E61" i="50"/>
  <c r="D61" i="50"/>
  <c r="C61" i="50"/>
  <c r="E60" i="50"/>
  <c r="D60" i="50"/>
  <c r="C60" i="50"/>
  <c r="G56" i="50"/>
  <c r="H56" i="50" s="1"/>
  <c r="G55" i="50"/>
  <c r="H55" i="50" s="1"/>
  <c r="G54" i="50"/>
  <c r="H54" i="50" s="1"/>
  <c r="F49" i="50"/>
  <c r="E49" i="50"/>
  <c r="D49" i="50"/>
  <c r="C49" i="50"/>
  <c r="G41" i="50"/>
  <c r="H41" i="50" s="1"/>
  <c r="G40" i="50"/>
  <c r="H40" i="50" s="1"/>
  <c r="G39" i="50"/>
  <c r="G38" i="50"/>
  <c r="H38" i="50" s="1"/>
  <c r="G37" i="50"/>
  <c r="G36" i="50"/>
  <c r="H36" i="50" s="1"/>
  <c r="G35" i="50"/>
  <c r="J35" i="50" s="1"/>
  <c r="G34" i="50"/>
  <c r="G33" i="50"/>
  <c r="J33" i="50" s="1"/>
  <c r="G32" i="50"/>
  <c r="G31" i="50"/>
  <c r="J31" i="50" s="1"/>
  <c r="G30" i="50"/>
  <c r="H30" i="50" s="1"/>
  <c r="G29" i="50"/>
  <c r="J29" i="50" s="1"/>
  <c r="G28" i="50"/>
  <c r="H28" i="50" s="1"/>
  <c r="G27" i="50"/>
  <c r="J27" i="50" s="1"/>
  <c r="G26" i="50"/>
  <c r="H26" i="50" s="1"/>
  <c r="G25" i="50"/>
  <c r="J25" i="50" s="1"/>
  <c r="G24" i="50"/>
  <c r="H24" i="50" s="1"/>
  <c r="G23" i="50"/>
  <c r="J23" i="50" s="1"/>
  <c r="G22" i="50"/>
  <c r="G21" i="50"/>
  <c r="G20" i="50"/>
  <c r="H20" i="50" s="1"/>
  <c r="G19" i="50"/>
  <c r="G18" i="50"/>
  <c r="G17" i="50"/>
  <c r="J17" i="50" s="1"/>
  <c r="G16" i="50"/>
  <c r="G15" i="50"/>
  <c r="J15" i="50" s="1"/>
  <c r="G14" i="50"/>
  <c r="H14" i="50" s="1"/>
  <c r="G13" i="50"/>
  <c r="G12" i="50"/>
  <c r="H12" i="50" s="1"/>
  <c r="G11" i="50"/>
  <c r="J11" i="50" s="1"/>
  <c r="G10" i="50"/>
  <c r="H10" i="50" s="1"/>
  <c r="G9" i="50"/>
  <c r="E61" i="49"/>
  <c r="D61" i="49"/>
  <c r="C61" i="49"/>
  <c r="E60" i="49"/>
  <c r="D60" i="49"/>
  <c r="C60" i="49"/>
  <c r="G56" i="49"/>
  <c r="H56" i="49" s="1"/>
  <c r="G55" i="49"/>
  <c r="H55" i="49" s="1"/>
  <c r="G54" i="49"/>
  <c r="H54" i="49" s="1"/>
  <c r="F49" i="49"/>
  <c r="E49" i="49"/>
  <c r="D49" i="49"/>
  <c r="C49" i="49"/>
  <c r="G33" i="49"/>
  <c r="G32" i="49"/>
  <c r="G31" i="49"/>
  <c r="H31" i="49" s="1"/>
  <c r="G30" i="49"/>
  <c r="G29" i="49"/>
  <c r="H29" i="49" s="1"/>
  <c r="G28" i="49"/>
  <c r="H28" i="49" s="1"/>
  <c r="G27" i="49"/>
  <c r="G26" i="49"/>
  <c r="G25" i="49"/>
  <c r="H25" i="49" s="1"/>
  <c r="G24" i="49"/>
  <c r="J24" i="49" s="1"/>
  <c r="G23" i="49"/>
  <c r="H23" i="49" s="1"/>
  <c r="G22" i="49"/>
  <c r="J22" i="49" s="1"/>
  <c r="G21" i="49"/>
  <c r="H21" i="49" s="1"/>
  <c r="G20" i="49"/>
  <c r="H20" i="49" s="1"/>
  <c r="G19" i="49"/>
  <c r="H19" i="49" s="1"/>
  <c r="G18" i="49"/>
  <c r="J18" i="49" s="1"/>
  <c r="G17" i="49"/>
  <c r="H17" i="49" s="1"/>
  <c r="G16" i="49"/>
  <c r="H16" i="49" s="1"/>
  <c r="G15" i="49"/>
  <c r="H15" i="49" s="1"/>
  <c r="G14" i="49"/>
  <c r="J14" i="49" s="1"/>
  <c r="G13" i="49"/>
  <c r="H13" i="49" s="1"/>
  <c r="G12" i="49"/>
  <c r="H12" i="49" s="1"/>
  <c r="G11" i="49"/>
  <c r="H11" i="49" s="1"/>
  <c r="G10" i="49"/>
  <c r="J10" i="49" s="1"/>
  <c r="G9" i="49"/>
  <c r="J9" i="49" s="1"/>
  <c r="E61" i="48"/>
  <c r="D61" i="48"/>
  <c r="C61" i="48"/>
  <c r="E60" i="48"/>
  <c r="D60" i="48"/>
  <c r="C60" i="48"/>
  <c r="G56" i="48"/>
  <c r="H56" i="48" s="1"/>
  <c r="G55" i="48"/>
  <c r="H55" i="48" s="1"/>
  <c r="G54" i="48"/>
  <c r="H54" i="48" s="1"/>
  <c r="F49" i="48"/>
  <c r="E49" i="48"/>
  <c r="D49" i="48"/>
  <c r="C49" i="48"/>
  <c r="G45" i="48"/>
  <c r="J45" i="48" s="1"/>
  <c r="G44" i="48"/>
  <c r="G43" i="48"/>
  <c r="J43" i="48" s="1"/>
  <c r="G42" i="48"/>
  <c r="G41" i="48"/>
  <c r="H41" i="48" s="1"/>
  <c r="G40" i="48"/>
  <c r="J40" i="48" s="1"/>
  <c r="G39" i="48"/>
  <c r="H39" i="48" s="1"/>
  <c r="G38" i="48"/>
  <c r="J38" i="48" s="1"/>
  <c r="G37" i="48"/>
  <c r="G36" i="48"/>
  <c r="G35" i="48"/>
  <c r="H35" i="48" s="1"/>
  <c r="G34" i="48"/>
  <c r="G33" i="48"/>
  <c r="J33" i="48" s="1"/>
  <c r="G32" i="48"/>
  <c r="J32" i="48" s="1"/>
  <c r="G31" i="48"/>
  <c r="G30" i="48"/>
  <c r="J30" i="48" s="1"/>
  <c r="G29" i="48"/>
  <c r="H29" i="48" s="1"/>
  <c r="G28" i="48"/>
  <c r="G27" i="48"/>
  <c r="H27" i="48" s="1"/>
  <c r="G26" i="48"/>
  <c r="J26" i="48" s="1"/>
  <c r="G25" i="48"/>
  <c r="H25" i="48" s="1"/>
  <c r="G24" i="48"/>
  <c r="H24" i="48" s="1"/>
  <c r="G23" i="48"/>
  <c r="H23" i="48" s="1"/>
  <c r="G22" i="48"/>
  <c r="G21" i="48"/>
  <c r="J21" i="48" s="1"/>
  <c r="G20" i="48"/>
  <c r="G19" i="48"/>
  <c r="J19" i="48" s="1"/>
  <c r="G18" i="48"/>
  <c r="G17" i="48"/>
  <c r="J17" i="48" s="1"/>
  <c r="G16" i="48"/>
  <c r="G15" i="48"/>
  <c r="J15" i="48" s="1"/>
  <c r="G14" i="48"/>
  <c r="G13" i="48"/>
  <c r="H13" i="48" s="1"/>
  <c r="G12" i="48"/>
  <c r="H12" i="48" s="1"/>
  <c r="G11" i="48"/>
  <c r="H11" i="48" s="1"/>
  <c r="G10" i="48"/>
  <c r="H10" i="48" s="1"/>
  <c r="G9" i="48"/>
  <c r="E61" i="47"/>
  <c r="D61" i="47"/>
  <c r="C61" i="47"/>
  <c r="E60" i="47"/>
  <c r="D60" i="47"/>
  <c r="C60" i="47"/>
  <c r="G56" i="47"/>
  <c r="H56" i="47" s="1"/>
  <c r="H55" i="47"/>
  <c r="G55" i="47"/>
  <c r="G54" i="47"/>
  <c r="H54" i="47" s="1"/>
  <c r="F49" i="47"/>
  <c r="E49" i="47"/>
  <c r="D49" i="47"/>
  <c r="C49" i="47"/>
  <c r="G48" i="47"/>
  <c r="H48" i="47" s="1"/>
  <c r="G47" i="47"/>
  <c r="G46" i="47"/>
  <c r="J46" i="47" s="1"/>
  <c r="G45" i="47"/>
  <c r="G44" i="47"/>
  <c r="H44" i="47" s="1"/>
  <c r="G43" i="47"/>
  <c r="H43" i="47" s="1"/>
  <c r="G42" i="47"/>
  <c r="J41" i="47"/>
  <c r="G41" i="47"/>
  <c r="H41" i="47" s="1"/>
  <c r="G40" i="47"/>
  <c r="G39" i="47"/>
  <c r="H39" i="47" s="1"/>
  <c r="G38" i="47"/>
  <c r="H38" i="47" s="1"/>
  <c r="G37" i="47"/>
  <c r="J37" i="47" s="1"/>
  <c r="G36" i="47"/>
  <c r="G35" i="47"/>
  <c r="H35" i="47" s="1"/>
  <c r="G34" i="47"/>
  <c r="G33" i="47"/>
  <c r="J33" i="47" s="1"/>
  <c r="G32" i="47"/>
  <c r="G31" i="47"/>
  <c r="J31" i="47" s="1"/>
  <c r="G30" i="47"/>
  <c r="H30" i="47" s="1"/>
  <c r="G29" i="47"/>
  <c r="J29" i="47" s="1"/>
  <c r="G28" i="47"/>
  <c r="G27" i="47"/>
  <c r="J27" i="47" s="1"/>
  <c r="G26" i="47"/>
  <c r="G25" i="47"/>
  <c r="H25" i="47" s="1"/>
  <c r="G24" i="47"/>
  <c r="G23" i="47"/>
  <c r="J23" i="47" s="1"/>
  <c r="H22" i="47"/>
  <c r="G22" i="47"/>
  <c r="G21" i="47"/>
  <c r="H21" i="47" s="1"/>
  <c r="G20" i="47"/>
  <c r="G19" i="47"/>
  <c r="H19" i="47" s="1"/>
  <c r="G18" i="47"/>
  <c r="G17" i="47"/>
  <c r="J17" i="47" s="1"/>
  <c r="G16" i="47"/>
  <c r="G15" i="47"/>
  <c r="J15" i="47" s="1"/>
  <c r="G14" i="47"/>
  <c r="G13" i="47"/>
  <c r="J13" i="47" s="1"/>
  <c r="G12" i="47"/>
  <c r="G11" i="47"/>
  <c r="H11" i="47" s="1"/>
  <c r="G10" i="47"/>
  <c r="H10" i="47" s="1"/>
  <c r="G9" i="47"/>
  <c r="H9" i="47" s="1"/>
  <c r="E61" i="46"/>
  <c r="D61" i="46"/>
  <c r="C61" i="46"/>
  <c r="E60" i="46"/>
  <c r="D60" i="46"/>
  <c r="C60" i="46"/>
  <c r="G56" i="46"/>
  <c r="H56" i="46" s="1"/>
  <c r="G55" i="46"/>
  <c r="H55" i="46" s="1"/>
  <c r="G54" i="46"/>
  <c r="H54" i="46" s="1"/>
  <c r="F49" i="46"/>
  <c r="E49" i="46"/>
  <c r="D49" i="46"/>
  <c r="C49" i="46"/>
  <c r="G43" i="46"/>
  <c r="J43" i="46" s="1"/>
  <c r="G42" i="46"/>
  <c r="G41" i="46"/>
  <c r="J41" i="46" s="1"/>
  <c r="G40" i="46"/>
  <c r="H40" i="46" s="1"/>
  <c r="G39" i="46"/>
  <c r="H39" i="46" s="1"/>
  <c r="G38" i="46"/>
  <c r="J38" i="46" s="1"/>
  <c r="G37" i="46"/>
  <c r="H37" i="46" s="1"/>
  <c r="G36" i="46"/>
  <c r="J36" i="46" s="1"/>
  <c r="G35" i="46"/>
  <c r="H35" i="46" s="1"/>
  <c r="G34" i="46"/>
  <c r="J34" i="46" s="1"/>
  <c r="G33" i="46"/>
  <c r="H33" i="46" s="1"/>
  <c r="G32" i="46"/>
  <c r="J32" i="46" s="1"/>
  <c r="G31" i="46"/>
  <c r="H31" i="46" s="1"/>
  <c r="G30" i="46"/>
  <c r="J30" i="46" s="1"/>
  <c r="G29" i="46"/>
  <c r="H29" i="46" s="1"/>
  <c r="G28" i="46"/>
  <c r="J28" i="46" s="1"/>
  <c r="G27" i="46"/>
  <c r="H27" i="46" s="1"/>
  <c r="G26" i="46"/>
  <c r="J26" i="46" s="1"/>
  <c r="G25" i="46"/>
  <c r="H25" i="46" s="1"/>
  <c r="G24" i="46"/>
  <c r="J24" i="46" s="1"/>
  <c r="G23" i="46"/>
  <c r="H23" i="46" s="1"/>
  <c r="G22" i="46"/>
  <c r="J22" i="46" s="1"/>
  <c r="G21" i="46"/>
  <c r="H21" i="46" s="1"/>
  <c r="G20" i="46"/>
  <c r="J20" i="46" s="1"/>
  <c r="G19" i="46"/>
  <c r="H19" i="46" s="1"/>
  <c r="G18" i="46"/>
  <c r="J18" i="46" s="1"/>
  <c r="G17" i="46"/>
  <c r="H17" i="46" s="1"/>
  <c r="G16" i="46"/>
  <c r="J16" i="46" s="1"/>
  <c r="G15" i="46"/>
  <c r="H15" i="46" s="1"/>
  <c r="G14" i="46"/>
  <c r="J14" i="46" s="1"/>
  <c r="G13" i="46"/>
  <c r="H13" i="46" s="1"/>
  <c r="G12" i="46"/>
  <c r="J12" i="46" s="1"/>
  <c r="G11" i="46"/>
  <c r="H11" i="46" s="1"/>
  <c r="G10" i="46"/>
  <c r="H10" i="46" s="1"/>
  <c r="G9" i="46"/>
  <c r="J9" i="46" s="1"/>
  <c r="E61" i="45"/>
  <c r="D61" i="45"/>
  <c r="C61" i="45"/>
  <c r="E60" i="45"/>
  <c r="D60" i="45"/>
  <c r="C60" i="45"/>
  <c r="G56" i="45"/>
  <c r="H56" i="45" s="1"/>
  <c r="G55" i="45"/>
  <c r="H55" i="45" s="1"/>
  <c r="G54" i="45"/>
  <c r="H54" i="45" s="1"/>
  <c r="F49" i="45"/>
  <c r="E49" i="45"/>
  <c r="D49" i="45"/>
  <c r="C49" i="45"/>
  <c r="G40" i="45"/>
  <c r="H40" i="45" s="1"/>
  <c r="G39" i="45"/>
  <c r="J39" i="45" s="1"/>
  <c r="G38" i="45"/>
  <c r="H38" i="45" s="1"/>
  <c r="G37" i="45"/>
  <c r="H37" i="45" s="1"/>
  <c r="G36" i="45"/>
  <c r="J36" i="45" s="1"/>
  <c r="G35" i="45"/>
  <c r="H35" i="45" s="1"/>
  <c r="G34" i="45"/>
  <c r="G33" i="45"/>
  <c r="J33" i="45" s="1"/>
  <c r="G32" i="45"/>
  <c r="G31" i="45"/>
  <c r="H31" i="45" s="1"/>
  <c r="G30" i="45"/>
  <c r="G29" i="45"/>
  <c r="H29" i="45" s="1"/>
  <c r="G28" i="45"/>
  <c r="G27" i="45"/>
  <c r="H27" i="45" s="1"/>
  <c r="G26" i="45"/>
  <c r="G25" i="45"/>
  <c r="J25" i="45" s="1"/>
  <c r="G24" i="45"/>
  <c r="G23" i="45"/>
  <c r="H23" i="45" s="1"/>
  <c r="G22" i="45"/>
  <c r="G21" i="45"/>
  <c r="J21" i="45" s="1"/>
  <c r="G20" i="45"/>
  <c r="G19" i="45"/>
  <c r="H19" i="45" s="1"/>
  <c r="G18" i="45"/>
  <c r="G17" i="45"/>
  <c r="J17" i="45" s="1"/>
  <c r="G16" i="45"/>
  <c r="G15" i="45"/>
  <c r="H15" i="45" s="1"/>
  <c r="G14" i="45"/>
  <c r="G13" i="45"/>
  <c r="J13" i="45" s="1"/>
  <c r="G12" i="45"/>
  <c r="G11" i="45"/>
  <c r="H11" i="45" s="1"/>
  <c r="G10" i="45"/>
  <c r="H10" i="45" s="1"/>
  <c r="G9" i="45"/>
  <c r="J9" i="45" s="1"/>
  <c r="E61" i="44"/>
  <c r="D61" i="44"/>
  <c r="C61" i="44"/>
  <c r="E60" i="44"/>
  <c r="D60" i="44"/>
  <c r="C60" i="44"/>
  <c r="G56" i="44"/>
  <c r="H56" i="44" s="1"/>
  <c r="G55" i="44"/>
  <c r="H55" i="44" s="1"/>
  <c r="G54" i="44"/>
  <c r="H54" i="44" s="1"/>
  <c r="F49" i="44"/>
  <c r="E49" i="44"/>
  <c r="D49" i="44"/>
  <c r="C49" i="44"/>
  <c r="G47" i="44"/>
  <c r="G46" i="44"/>
  <c r="J46" i="44" s="1"/>
  <c r="G45" i="44"/>
  <c r="G44" i="44"/>
  <c r="G43" i="44"/>
  <c r="J43" i="44" s="1"/>
  <c r="G42" i="44"/>
  <c r="H42" i="44" s="1"/>
  <c r="G41" i="44"/>
  <c r="J41" i="44" s="1"/>
  <c r="G40" i="44"/>
  <c r="G39" i="44"/>
  <c r="J39" i="44" s="1"/>
  <c r="G38" i="44"/>
  <c r="H38" i="44" s="1"/>
  <c r="G37" i="44"/>
  <c r="J37" i="44" s="1"/>
  <c r="G36" i="44"/>
  <c r="H36" i="44" s="1"/>
  <c r="G35" i="44"/>
  <c r="J35" i="44" s="1"/>
  <c r="G34" i="44"/>
  <c r="H34" i="44" s="1"/>
  <c r="G33" i="44"/>
  <c r="J33" i="44" s="1"/>
  <c r="G32" i="44"/>
  <c r="H32" i="44" s="1"/>
  <c r="G31" i="44"/>
  <c r="J31" i="44" s="1"/>
  <c r="G30" i="44"/>
  <c r="H30" i="44" s="1"/>
  <c r="G29" i="44"/>
  <c r="J29" i="44" s="1"/>
  <c r="G28" i="44"/>
  <c r="G27" i="44"/>
  <c r="J27" i="44" s="1"/>
  <c r="G26" i="44"/>
  <c r="H26" i="44" s="1"/>
  <c r="G25" i="44"/>
  <c r="J25" i="44" s="1"/>
  <c r="G24" i="44"/>
  <c r="G23" i="44"/>
  <c r="J23" i="44" s="1"/>
  <c r="G22" i="44"/>
  <c r="H22" i="44" s="1"/>
  <c r="G21" i="44"/>
  <c r="H21" i="44" s="1"/>
  <c r="G20" i="44"/>
  <c r="H20" i="44" s="1"/>
  <c r="G19" i="44"/>
  <c r="H19" i="44" s="1"/>
  <c r="G18" i="44"/>
  <c r="G17" i="44"/>
  <c r="H17" i="44" s="1"/>
  <c r="G16" i="44"/>
  <c r="G15" i="44"/>
  <c r="J15" i="44" s="1"/>
  <c r="G14" i="44"/>
  <c r="G13" i="44"/>
  <c r="H13" i="44" s="1"/>
  <c r="G12" i="44"/>
  <c r="G11" i="44"/>
  <c r="H11" i="44" s="1"/>
  <c r="G10" i="44"/>
  <c r="J10" i="44" s="1"/>
  <c r="G9" i="44"/>
  <c r="H9" i="44" s="1"/>
  <c r="E61" i="43"/>
  <c r="D61" i="43"/>
  <c r="C61" i="43"/>
  <c r="E60" i="43"/>
  <c r="D60" i="43"/>
  <c r="C60" i="43"/>
  <c r="G56" i="43"/>
  <c r="H56" i="43" s="1"/>
  <c r="G55" i="43"/>
  <c r="H55" i="43" s="1"/>
  <c r="G54" i="43"/>
  <c r="H54" i="43" s="1"/>
  <c r="F49" i="43"/>
  <c r="E49" i="43"/>
  <c r="D49" i="43"/>
  <c r="C49" i="43"/>
  <c r="G32" i="43"/>
  <c r="H32" i="43" s="1"/>
  <c r="G31" i="43"/>
  <c r="H31" i="43" s="1"/>
  <c r="G30" i="43"/>
  <c r="H30" i="43" s="1"/>
  <c r="G29" i="43"/>
  <c r="J29" i="43" s="1"/>
  <c r="G28" i="43"/>
  <c r="H28" i="43" s="1"/>
  <c r="G27" i="43"/>
  <c r="G26" i="43"/>
  <c r="J26" i="43" s="1"/>
  <c r="G25" i="43"/>
  <c r="G24" i="43"/>
  <c r="J24" i="43" s="1"/>
  <c r="G23" i="43"/>
  <c r="H23" i="43" s="1"/>
  <c r="G22" i="43"/>
  <c r="J22" i="43" s="1"/>
  <c r="G21" i="43"/>
  <c r="H21" i="43" s="1"/>
  <c r="G20" i="43"/>
  <c r="J20" i="43" s="1"/>
  <c r="G19" i="43"/>
  <c r="H19" i="43" s="1"/>
  <c r="G18" i="43"/>
  <c r="J18" i="43" s="1"/>
  <c r="G17" i="43"/>
  <c r="G16" i="43"/>
  <c r="J16" i="43" s="1"/>
  <c r="G15" i="43"/>
  <c r="H15" i="43" s="1"/>
  <c r="G14" i="43"/>
  <c r="J14" i="43" s="1"/>
  <c r="G13" i="43"/>
  <c r="G12" i="43"/>
  <c r="H12" i="43" s="1"/>
  <c r="G11" i="43"/>
  <c r="G10" i="43"/>
  <c r="H10" i="43" s="1"/>
  <c r="G9" i="43"/>
  <c r="E61" i="42"/>
  <c r="D61" i="42"/>
  <c r="C61" i="42"/>
  <c r="E60" i="42"/>
  <c r="D60" i="42"/>
  <c r="C60" i="42"/>
  <c r="G56" i="42"/>
  <c r="H56" i="42" s="1"/>
  <c r="G55" i="42"/>
  <c r="H55" i="42" s="1"/>
  <c r="G54" i="42"/>
  <c r="H54" i="42" s="1"/>
  <c r="F49" i="42"/>
  <c r="E49" i="42"/>
  <c r="D49" i="42"/>
  <c r="C49" i="42"/>
  <c r="G45" i="42"/>
  <c r="J45" i="42" s="1"/>
  <c r="G44" i="42"/>
  <c r="J44" i="42" s="1"/>
  <c r="G43" i="42"/>
  <c r="J43" i="42" s="1"/>
  <c r="G42" i="42"/>
  <c r="H42" i="42" s="1"/>
  <c r="G41" i="42"/>
  <c r="J41" i="42" s="1"/>
  <c r="G40" i="42"/>
  <c r="H40" i="42" s="1"/>
  <c r="G39" i="42"/>
  <c r="J39" i="42" s="1"/>
  <c r="G38" i="42"/>
  <c r="H38" i="42" s="1"/>
  <c r="G37" i="42"/>
  <c r="J37" i="42" s="1"/>
  <c r="G36" i="42"/>
  <c r="G35" i="42"/>
  <c r="J35" i="42" s="1"/>
  <c r="G34" i="42"/>
  <c r="H34" i="42" s="1"/>
  <c r="G33" i="42"/>
  <c r="J33" i="42" s="1"/>
  <c r="G32" i="42"/>
  <c r="G31" i="42"/>
  <c r="J31" i="42" s="1"/>
  <c r="G30" i="42"/>
  <c r="G29" i="42"/>
  <c r="J29" i="42" s="1"/>
  <c r="G28" i="42"/>
  <c r="G27" i="42"/>
  <c r="H27" i="42" s="1"/>
  <c r="G26" i="42"/>
  <c r="H26" i="42" s="1"/>
  <c r="G25" i="42"/>
  <c r="H25" i="42" s="1"/>
  <c r="G24" i="42"/>
  <c r="J24" i="42" s="1"/>
  <c r="G23" i="42"/>
  <c r="H23" i="42" s="1"/>
  <c r="G22" i="42"/>
  <c r="J22" i="42" s="1"/>
  <c r="G21" i="42"/>
  <c r="H21" i="42" s="1"/>
  <c r="G20" i="42"/>
  <c r="H20" i="42" s="1"/>
  <c r="G19" i="42"/>
  <c r="J19" i="42" s="1"/>
  <c r="G18" i="42"/>
  <c r="H18" i="42" s="1"/>
  <c r="G17" i="42"/>
  <c r="G16" i="42"/>
  <c r="J16" i="42" s="1"/>
  <c r="G15" i="42"/>
  <c r="H15" i="42" s="1"/>
  <c r="G14" i="42"/>
  <c r="H14" i="42" s="1"/>
  <c r="G13" i="42"/>
  <c r="G12" i="42"/>
  <c r="G11" i="42"/>
  <c r="H11" i="42" s="1"/>
  <c r="G10" i="42"/>
  <c r="H10" i="42" s="1"/>
  <c r="G9" i="42"/>
  <c r="H9" i="42" s="1"/>
  <c r="E61" i="41"/>
  <c r="D61" i="41"/>
  <c r="C61" i="41"/>
  <c r="E60" i="41"/>
  <c r="D60" i="41"/>
  <c r="C60" i="41"/>
  <c r="G56" i="41"/>
  <c r="H56" i="41" s="1"/>
  <c r="G55" i="41"/>
  <c r="H55" i="41" s="1"/>
  <c r="G54" i="41"/>
  <c r="H54" i="41" s="1"/>
  <c r="F49" i="41"/>
  <c r="E49" i="41"/>
  <c r="D49" i="41"/>
  <c r="C49" i="41"/>
  <c r="G42" i="41"/>
  <c r="J42" i="41" s="1"/>
  <c r="G41" i="41"/>
  <c r="H41" i="41" s="1"/>
  <c r="G40" i="41"/>
  <c r="G39" i="41"/>
  <c r="H39" i="41" s="1"/>
  <c r="G38" i="41"/>
  <c r="H38" i="41" s="1"/>
  <c r="G37" i="41"/>
  <c r="H37" i="41" s="1"/>
  <c r="G36" i="41"/>
  <c r="H36" i="41" s="1"/>
  <c r="G35" i="41"/>
  <c r="G34" i="41"/>
  <c r="J34" i="41" s="1"/>
  <c r="G33" i="41"/>
  <c r="H33" i="41" s="1"/>
  <c r="G32" i="41"/>
  <c r="J32" i="41" s="1"/>
  <c r="G31" i="41"/>
  <c r="G30" i="41"/>
  <c r="J30" i="41" s="1"/>
  <c r="G29" i="41"/>
  <c r="G28" i="41"/>
  <c r="J28" i="41" s="1"/>
  <c r="G27" i="41"/>
  <c r="G26" i="41"/>
  <c r="J26" i="41" s="1"/>
  <c r="G25" i="41"/>
  <c r="H25" i="41" s="1"/>
  <c r="G24" i="41"/>
  <c r="J24" i="41" s="1"/>
  <c r="G23" i="41"/>
  <c r="H23" i="41" s="1"/>
  <c r="G22" i="41"/>
  <c r="J22" i="41" s="1"/>
  <c r="G21" i="41"/>
  <c r="H21" i="41" s="1"/>
  <c r="G20" i="41"/>
  <c r="J20" i="41" s="1"/>
  <c r="G19" i="41"/>
  <c r="G18" i="41"/>
  <c r="J18" i="41" s="1"/>
  <c r="G17" i="41"/>
  <c r="G16" i="41"/>
  <c r="H16" i="41" s="1"/>
  <c r="G15" i="41"/>
  <c r="J15" i="41" s="1"/>
  <c r="G14" i="41"/>
  <c r="G13" i="41"/>
  <c r="J13" i="41" s="1"/>
  <c r="G12" i="41"/>
  <c r="G11" i="41"/>
  <c r="H11" i="41" s="1"/>
  <c r="G10" i="41"/>
  <c r="H10" i="41" s="1"/>
  <c r="G9" i="41"/>
  <c r="H9" i="41" s="1"/>
  <c r="E61" i="40"/>
  <c r="D61" i="40"/>
  <c r="C61" i="40"/>
  <c r="E60" i="40"/>
  <c r="D60" i="40"/>
  <c r="C60" i="40"/>
  <c r="G56" i="40"/>
  <c r="H56" i="40" s="1"/>
  <c r="G55" i="40"/>
  <c r="H55" i="40" s="1"/>
  <c r="G54" i="40"/>
  <c r="H54" i="40" s="1"/>
  <c r="F49" i="40"/>
  <c r="E49" i="40"/>
  <c r="D49" i="40"/>
  <c r="C49" i="40"/>
  <c r="G38" i="40"/>
  <c r="H38" i="40" s="1"/>
  <c r="G37" i="40"/>
  <c r="G36" i="40"/>
  <c r="H36" i="40" s="1"/>
  <c r="G35" i="40"/>
  <c r="H35" i="40" s="1"/>
  <c r="G34" i="40"/>
  <c r="J34" i="40" s="1"/>
  <c r="G33" i="40"/>
  <c r="H33" i="40" s="1"/>
  <c r="G32" i="40"/>
  <c r="H32" i="40" s="1"/>
  <c r="G31" i="40"/>
  <c r="J31" i="40" s="1"/>
  <c r="G30" i="40"/>
  <c r="H30" i="40" s="1"/>
  <c r="G29" i="40"/>
  <c r="J29" i="40" s="1"/>
  <c r="G28" i="40"/>
  <c r="H28" i="40" s="1"/>
  <c r="G27" i="40"/>
  <c r="J27" i="40" s="1"/>
  <c r="G26" i="40"/>
  <c r="H26" i="40" s="1"/>
  <c r="G25" i="40"/>
  <c r="J25" i="40" s="1"/>
  <c r="G24" i="40"/>
  <c r="H24" i="40" s="1"/>
  <c r="G23" i="40"/>
  <c r="J23" i="40" s="1"/>
  <c r="G22" i="40"/>
  <c r="H22" i="40" s="1"/>
  <c r="G21" i="40"/>
  <c r="J21" i="40" s="1"/>
  <c r="G20" i="40"/>
  <c r="H20" i="40" s="1"/>
  <c r="G19" i="40"/>
  <c r="J19" i="40" s="1"/>
  <c r="G18" i="40"/>
  <c r="H18" i="40" s="1"/>
  <c r="G17" i="40"/>
  <c r="J17" i="40" s="1"/>
  <c r="G16" i="40"/>
  <c r="H16" i="40" s="1"/>
  <c r="G15" i="40"/>
  <c r="J15" i="40" s="1"/>
  <c r="G14" i="40"/>
  <c r="H14" i="40" s="1"/>
  <c r="G13" i="40"/>
  <c r="J13" i="40" s="1"/>
  <c r="G12" i="40"/>
  <c r="H12" i="40" s="1"/>
  <c r="G11" i="40"/>
  <c r="J11" i="40" s="1"/>
  <c r="G10" i="40"/>
  <c r="H10" i="40" s="1"/>
  <c r="G9" i="40"/>
  <c r="J9" i="40" s="1"/>
  <c r="E61" i="39"/>
  <c r="D61" i="39"/>
  <c r="C61" i="39"/>
  <c r="E60" i="39"/>
  <c r="D60" i="39"/>
  <c r="C60" i="39"/>
  <c r="G56" i="39"/>
  <c r="H56" i="39" s="1"/>
  <c r="G55" i="39"/>
  <c r="H55" i="39" s="1"/>
  <c r="G54" i="39"/>
  <c r="H54" i="39" s="1"/>
  <c r="F49" i="39"/>
  <c r="E49" i="39"/>
  <c r="D49" i="39"/>
  <c r="C49" i="39"/>
  <c r="G41" i="39"/>
  <c r="H41" i="39" s="1"/>
  <c r="G40" i="39"/>
  <c r="H40" i="39" s="1"/>
  <c r="G39" i="39"/>
  <c r="H39" i="39" s="1"/>
  <c r="G38" i="39"/>
  <c r="H38" i="39" s="1"/>
  <c r="G37" i="39"/>
  <c r="J37" i="39" s="1"/>
  <c r="G36" i="39"/>
  <c r="G35" i="39"/>
  <c r="J35" i="39" s="1"/>
  <c r="G34" i="39"/>
  <c r="G33" i="39"/>
  <c r="J33" i="39" s="1"/>
  <c r="G32" i="39"/>
  <c r="G31" i="39"/>
  <c r="J31" i="39" s="1"/>
  <c r="G30" i="39"/>
  <c r="G29" i="39"/>
  <c r="J29" i="39" s="1"/>
  <c r="G28" i="39"/>
  <c r="G27" i="39"/>
  <c r="G26" i="39"/>
  <c r="G25" i="39"/>
  <c r="J25" i="39" s="1"/>
  <c r="G24" i="39"/>
  <c r="G23" i="39"/>
  <c r="J23" i="39" s="1"/>
  <c r="G22" i="39"/>
  <c r="H22" i="39" s="1"/>
  <c r="G21" i="39"/>
  <c r="H21" i="39" s="1"/>
  <c r="G20" i="39"/>
  <c r="J20" i="39" s="1"/>
  <c r="G19" i="39"/>
  <c r="G18" i="39"/>
  <c r="J18" i="39" s="1"/>
  <c r="G17" i="39"/>
  <c r="G16" i="39"/>
  <c r="J16" i="39" s="1"/>
  <c r="G15" i="39"/>
  <c r="G14" i="39"/>
  <c r="J14" i="39" s="1"/>
  <c r="G13" i="39"/>
  <c r="G12" i="39"/>
  <c r="J12" i="39" s="1"/>
  <c r="G11" i="39"/>
  <c r="G10" i="39"/>
  <c r="J10" i="39" s="1"/>
  <c r="G9" i="39"/>
  <c r="E61" i="38"/>
  <c r="D61" i="38"/>
  <c r="C61" i="38"/>
  <c r="E60" i="38"/>
  <c r="D60" i="38"/>
  <c r="C60" i="38"/>
  <c r="G56" i="38"/>
  <c r="H56" i="38" s="1"/>
  <c r="G55" i="38"/>
  <c r="H55" i="38" s="1"/>
  <c r="G54" i="38"/>
  <c r="H54" i="38" s="1"/>
  <c r="F49" i="38"/>
  <c r="E49" i="38"/>
  <c r="D49" i="38"/>
  <c r="C49" i="38"/>
  <c r="G44" i="38"/>
  <c r="G43" i="38"/>
  <c r="H43" i="38" s="1"/>
  <c r="G42" i="38"/>
  <c r="G41" i="38"/>
  <c r="H41" i="38" s="1"/>
  <c r="G40" i="38"/>
  <c r="G39" i="38"/>
  <c r="J39" i="38" s="1"/>
  <c r="G38" i="38"/>
  <c r="J37" i="38"/>
  <c r="G37" i="38"/>
  <c r="H37" i="38" s="1"/>
  <c r="G36" i="38"/>
  <c r="G35" i="38"/>
  <c r="J35" i="38" s="1"/>
  <c r="G34" i="38"/>
  <c r="G33" i="38"/>
  <c r="J33" i="38" s="1"/>
  <c r="G32" i="38"/>
  <c r="G31" i="38"/>
  <c r="J31" i="38" s="1"/>
  <c r="G30" i="38"/>
  <c r="G29" i="38"/>
  <c r="H29" i="38" s="1"/>
  <c r="G28" i="38"/>
  <c r="G27" i="38"/>
  <c r="H27" i="38" s="1"/>
  <c r="G26" i="38"/>
  <c r="J26" i="38" s="1"/>
  <c r="G25" i="38"/>
  <c r="J25" i="38" s="1"/>
  <c r="G24" i="38"/>
  <c r="J24" i="38" s="1"/>
  <c r="G23" i="38"/>
  <c r="J23" i="38" s="1"/>
  <c r="G22" i="38"/>
  <c r="J22" i="38" s="1"/>
  <c r="G21" i="38"/>
  <c r="J21" i="38" s="1"/>
  <c r="G20" i="38"/>
  <c r="G19" i="38"/>
  <c r="H19" i="38" s="1"/>
  <c r="G18" i="38"/>
  <c r="H18" i="38" s="1"/>
  <c r="G17" i="38"/>
  <c r="G16" i="38"/>
  <c r="J16" i="38" s="1"/>
  <c r="G15" i="38"/>
  <c r="G14" i="38"/>
  <c r="H14" i="38" s="1"/>
  <c r="G13" i="38"/>
  <c r="G12" i="38"/>
  <c r="J12" i="38" s="1"/>
  <c r="G11" i="38"/>
  <c r="H11" i="38" s="1"/>
  <c r="G10" i="38"/>
  <c r="H10" i="38" s="1"/>
  <c r="G9" i="38"/>
  <c r="H9" i="38" s="1"/>
  <c r="E61" i="37"/>
  <c r="D61" i="37"/>
  <c r="C61" i="37"/>
  <c r="E60" i="37"/>
  <c r="D60" i="37"/>
  <c r="C60" i="37"/>
  <c r="G56" i="37"/>
  <c r="H56" i="37" s="1"/>
  <c r="G55" i="37"/>
  <c r="H55" i="37" s="1"/>
  <c r="G54" i="37"/>
  <c r="H54" i="37" s="1"/>
  <c r="F49" i="37"/>
  <c r="E49" i="37"/>
  <c r="D49" i="37"/>
  <c r="C49" i="37"/>
  <c r="G43" i="37"/>
  <c r="J43" i="37" s="1"/>
  <c r="G42" i="37"/>
  <c r="J42" i="37" s="1"/>
  <c r="G41" i="37"/>
  <c r="J41" i="37" s="1"/>
  <c r="G40" i="37"/>
  <c r="G39" i="37"/>
  <c r="H39" i="37" s="1"/>
  <c r="G38" i="37"/>
  <c r="H38" i="37" s="1"/>
  <c r="G37" i="37"/>
  <c r="J37" i="37" s="1"/>
  <c r="G36" i="37"/>
  <c r="H36" i="37" s="1"/>
  <c r="G35" i="37"/>
  <c r="J35" i="37" s="1"/>
  <c r="G34" i="37"/>
  <c r="H34" i="37" s="1"/>
  <c r="G33" i="37"/>
  <c r="J33" i="37" s="1"/>
  <c r="G32" i="37"/>
  <c r="H32" i="37" s="1"/>
  <c r="G31" i="37"/>
  <c r="J31" i="37" s="1"/>
  <c r="G30" i="37"/>
  <c r="H30" i="37" s="1"/>
  <c r="G29" i="37"/>
  <c r="J29" i="37" s="1"/>
  <c r="G28" i="37"/>
  <c r="H28" i="37" s="1"/>
  <c r="G27" i="37"/>
  <c r="J27" i="37" s="1"/>
  <c r="G26" i="37"/>
  <c r="H26" i="37" s="1"/>
  <c r="G25" i="37"/>
  <c r="J25" i="37" s="1"/>
  <c r="G24" i="37"/>
  <c r="H24" i="37" s="1"/>
  <c r="G23" i="37"/>
  <c r="J23" i="37" s="1"/>
  <c r="G22" i="37"/>
  <c r="H22" i="37" s="1"/>
  <c r="G21" i="37"/>
  <c r="J21" i="37" s="1"/>
  <c r="G20" i="37"/>
  <c r="H20" i="37" s="1"/>
  <c r="G19" i="37"/>
  <c r="J19" i="37" s="1"/>
  <c r="G18" i="37"/>
  <c r="H18" i="37" s="1"/>
  <c r="G17" i="37"/>
  <c r="G16" i="37"/>
  <c r="H16" i="37" s="1"/>
  <c r="G15" i="37"/>
  <c r="G14" i="37"/>
  <c r="H14" i="37" s="1"/>
  <c r="G13" i="37"/>
  <c r="G12" i="37"/>
  <c r="J12" i="37" s="1"/>
  <c r="G11" i="37"/>
  <c r="G10" i="37"/>
  <c r="H10" i="37" s="1"/>
  <c r="G9" i="37"/>
  <c r="E61" i="36"/>
  <c r="D61" i="36"/>
  <c r="C61" i="36"/>
  <c r="E60" i="36"/>
  <c r="D60" i="36"/>
  <c r="C60" i="36"/>
  <c r="G56" i="36"/>
  <c r="H56" i="36" s="1"/>
  <c r="G55" i="36"/>
  <c r="H55" i="36" s="1"/>
  <c r="G54" i="36"/>
  <c r="H54" i="36" s="1"/>
  <c r="F49" i="36"/>
  <c r="E49" i="36"/>
  <c r="D49" i="36"/>
  <c r="C49" i="36"/>
  <c r="G34" i="36"/>
  <c r="H34" i="36" s="1"/>
  <c r="G33" i="36"/>
  <c r="J33" i="36" s="1"/>
  <c r="G32" i="36"/>
  <c r="J32" i="36" s="1"/>
  <c r="G31" i="36"/>
  <c r="G30" i="36"/>
  <c r="H30" i="36" s="1"/>
  <c r="G29" i="36"/>
  <c r="H29" i="36" s="1"/>
  <c r="G28" i="36"/>
  <c r="G27" i="36"/>
  <c r="H27" i="36" s="1"/>
  <c r="G26" i="36"/>
  <c r="G25" i="36"/>
  <c r="H25" i="36" s="1"/>
  <c r="G24" i="36"/>
  <c r="J24" i="36" s="1"/>
  <c r="J23" i="36"/>
  <c r="G23" i="36"/>
  <c r="H23" i="36" s="1"/>
  <c r="G22" i="36"/>
  <c r="J22" i="36" s="1"/>
  <c r="G21" i="36"/>
  <c r="J21" i="36" s="1"/>
  <c r="G20" i="36"/>
  <c r="J20" i="36" s="1"/>
  <c r="G19" i="36"/>
  <c r="J19" i="36" s="1"/>
  <c r="G18" i="36"/>
  <c r="J18" i="36" s="1"/>
  <c r="G17" i="36"/>
  <c r="H17" i="36" s="1"/>
  <c r="G16" i="36"/>
  <c r="G15" i="36"/>
  <c r="G14" i="36"/>
  <c r="J14" i="36" s="1"/>
  <c r="G13" i="36"/>
  <c r="G12" i="36"/>
  <c r="J12" i="36" s="1"/>
  <c r="G11" i="36"/>
  <c r="G10" i="36"/>
  <c r="J10" i="36" s="1"/>
  <c r="G9" i="36"/>
  <c r="E61" i="35"/>
  <c r="D61" i="35"/>
  <c r="C61" i="35"/>
  <c r="E60" i="35"/>
  <c r="D60" i="35"/>
  <c r="C60" i="35"/>
  <c r="G56" i="35"/>
  <c r="H56" i="35" s="1"/>
  <c r="G55" i="35"/>
  <c r="H55" i="35" s="1"/>
  <c r="G54" i="35"/>
  <c r="H54" i="35" s="1"/>
  <c r="F49" i="35"/>
  <c r="E49" i="35"/>
  <c r="D49" i="35"/>
  <c r="C49" i="35"/>
  <c r="G33" i="35"/>
  <c r="H33" i="35" s="1"/>
  <c r="G32" i="35"/>
  <c r="H32" i="35" s="1"/>
  <c r="G31" i="35"/>
  <c r="J31" i="35" s="1"/>
  <c r="G30" i="35"/>
  <c r="J30" i="35" s="1"/>
  <c r="G29" i="35"/>
  <c r="G28" i="35"/>
  <c r="G27" i="35"/>
  <c r="J27" i="35" s="1"/>
  <c r="G26" i="35"/>
  <c r="G25" i="35"/>
  <c r="J25" i="35" s="1"/>
  <c r="G24" i="35"/>
  <c r="G23" i="35"/>
  <c r="J23" i="35" s="1"/>
  <c r="G22" i="35"/>
  <c r="G21" i="35"/>
  <c r="J21" i="35" s="1"/>
  <c r="G20" i="35"/>
  <c r="G19" i="35"/>
  <c r="J19" i="35" s="1"/>
  <c r="G18" i="35"/>
  <c r="G17" i="35"/>
  <c r="J17" i="35" s="1"/>
  <c r="G16" i="35"/>
  <c r="G15" i="35"/>
  <c r="J15" i="35" s="1"/>
  <c r="G14" i="35"/>
  <c r="G13" i="35"/>
  <c r="J13" i="35" s="1"/>
  <c r="G12" i="35"/>
  <c r="G11" i="35"/>
  <c r="J11" i="35" s="1"/>
  <c r="G10" i="35"/>
  <c r="G9" i="35"/>
  <c r="J9" i="35" s="1"/>
  <c r="E61" i="34"/>
  <c r="D61" i="34"/>
  <c r="C61" i="34"/>
  <c r="E60" i="34"/>
  <c r="D60" i="34"/>
  <c r="C60" i="34"/>
  <c r="G56" i="34"/>
  <c r="H56" i="34" s="1"/>
  <c r="G55" i="34"/>
  <c r="H55" i="34" s="1"/>
  <c r="G54" i="34"/>
  <c r="H54" i="34" s="1"/>
  <c r="F49" i="34"/>
  <c r="E49" i="34"/>
  <c r="D49" i="34"/>
  <c r="C49" i="34"/>
  <c r="G38" i="34"/>
  <c r="H38" i="34" s="1"/>
  <c r="G37" i="34"/>
  <c r="G36" i="34"/>
  <c r="G35" i="34"/>
  <c r="G34" i="34"/>
  <c r="J34" i="34" s="1"/>
  <c r="G33" i="34"/>
  <c r="H33" i="34" s="1"/>
  <c r="G32" i="34"/>
  <c r="J32" i="34" s="1"/>
  <c r="G31" i="34"/>
  <c r="H31" i="34" s="1"/>
  <c r="G30" i="34"/>
  <c r="J30" i="34" s="1"/>
  <c r="G29" i="34"/>
  <c r="H29" i="34" s="1"/>
  <c r="G28" i="34"/>
  <c r="J28" i="34" s="1"/>
  <c r="G27" i="34"/>
  <c r="H27" i="34" s="1"/>
  <c r="G26" i="34"/>
  <c r="J26" i="34" s="1"/>
  <c r="G25" i="34"/>
  <c r="H25" i="34" s="1"/>
  <c r="G24" i="34"/>
  <c r="J24" i="34" s="1"/>
  <c r="G23" i="34"/>
  <c r="H23" i="34" s="1"/>
  <c r="G22" i="34"/>
  <c r="J22" i="34" s="1"/>
  <c r="G21" i="34"/>
  <c r="H21" i="34" s="1"/>
  <c r="G20" i="34"/>
  <c r="G19" i="34"/>
  <c r="H19" i="34" s="1"/>
  <c r="G18" i="34"/>
  <c r="H18" i="34" s="1"/>
  <c r="G17" i="34"/>
  <c r="H17" i="34" s="1"/>
  <c r="G16" i="34"/>
  <c r="H16" i="34" s="1"/>
  <c r="G15" i="34"/>
  <c r="J15" i="34" s="1"/>
  <c r="G14" i="34"/>
  <c r="H14" i="34" s="1"/>
  <c r="G13" i="34"/>
  <c r="J13" i="34" s="1"/>
  <c r="G12" i="34"/>
  <c r="H12" i="34" s="1"/>
  <c r="G11" i="34"/>
  <c r="J11" i="34" s="1"/>
  <c r="G10" i="34"/>
  <c r="H10" i="34" s="1"/>
  <c r="G9" i="34"/>
  <c r="J9" i="34" s="1"/>
  <c r="E61" i="33"/>
  <c r="D61" i="33"/>
  <c r="C61" i="33"/>
  <c r="E60" i="33"/>
  <c r="D60" i="33"/>
  <c r="C60" i="33"/>
  <c r="G56" i="33"/>
  <c r="H56" i="33" s="1"/>
  <c r="G55" i="33"/>
  <c r="H55" i="33" s="1"/>
  <c r="G54" i="33"/>
  <c r="H54" i="33" s="1"/>
  <c r="F49" i="33"/>
  <c r="E49" i="33"/>
  <c r="D49" i="33"/>
  <c r="C49" i="33"/>
  <c r="G42" i="33"/>
  <c r="J42" i="33" s="1"/>
  <c r="G41" i="33"/>
  <c r="G40" i="33"/>
  <c r="J40" i="33" s="1"/>
  <c r="G39" i="33"/>
  <c r="G38" i="33"/>
  <c r="J38" i="33" s="1"/>
  <c r="G37" i="33"/>
  <c r="G36" i="33"/>
  <c r="J36" i="33" s="1"/>
  <c r="G35" i="33"/>
  <c r="G34" i="33"/>
  <c r="J34" i="33" s="1"/>
  <c r="G33" i="33"/>
  <c r="G32" i="33"/>
  <c r="J32" i="33" s="1"/>
  <c r="G31" i="33"/>
  <c r="G30" i="33"/>
  <c r="J30" i="33" s="1"/>
  <c r="G29" i="33"/>
  <c r="G28" i="33"/>
  <c r="J28" i="33" s="1"/>
  <c r="G27" i="33"/>
  <c r="G26" i="33"/>
  <c r="J26" i="33" s="1"/>
  <c r="G25" i="33"/>
  <c r="G24" i="33"/>
  <c r="J24" i="33" s="1"/>
  <c r="G23" i="33"/>
  <c r="G22" i="33"/>
  <c r="J22" i="33" s="1"/>
  <c r="G21" i="33"/>
  <c r="G20" i="33"/>
  <c r="J20" i="33" s="1"/>
  <c r="G19" i="33"/>
  <c r="G18" i="33"/>
  <c r="J18" i="33" s="1"/>
  <c r="G17" i="33"/>
  <c r="G16" i="33"/>
  <c r="J16" i="33" s="1"/>
  <c r="G15" i="33"/>
  <c r="G14" i="33"/>
  <c r="J14" i="33" s="1"/>
  <c r="G13" i="33"/>
  <c r="G12" i="33"/>
  <c r="J12" i="33" s="1"/>
  <c r="G11" i="33"/>
  <c r="G10" i="33"/>
  <c r="G9" i="33"/>
  <c r="E61" i="32"/>
  <c r="D61" i="32"/>
  <c r="C61" i="32"/>
  <c r="E60" i="32"/>
  <c r="D60" i="32"/>
  <c r="C60" i="32"/>
  <c r="G56" i="32"/>
  <c r="H56" i="32" s="1"/>
  <c r="G55" i="32"/>
  <c r="H55" i="32" s="1"/>
  <c r="G54" i="32"/>
  <c r="H54" i="32" s="1"/>
  <c r="F49" i="32"/>
  <c r="E49" i="32"/>
  <c r="D49" i="32"/>
  <c r="C49" i="32"/>
  <c r="G44" i="32"/>
  <c r="J44" i="32" s="1"/>
  <c r="G43" i="32"/>
  <c r="G42" i="32"/>
  <c r="J42" i="32" s="1"/>
  <c r="G41" i="32"/>
  <c r="G40" i="32"/>
  <c r="J40" i="32" s="1"/>
  <c r="G39" i="32"/>
  <c r="G38" i="32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G22" i="32"/>
  <c r="H22" i="32" s="1"/>
  <c r="G21" i="32"/>
  <c r="J21" i="32" s="1"/>
  <c r="G20" i="32"/>
  <c r="J20" i="32" s="1"/>
  <c r="G19" i="32"/>
  <c r="J19" i="32" s="1"/>
  <c r="G18" i="32"/>
  <c r="J18" i="32" s="1"/>
  <c r="G17" i="32"/>
  <c r="H17" i="32" s="1"/>
  <c r="G16" i="32"/>
  <c r="G15" i="32"/>
  <c r="J15" i="32" s="1"/>
  <c r="G14" i="32"/>
  <c r="G13" i="32"/>
  <c r="G12" i="32"/>
  <c r="J12" i="32" s="1"/>
  <c r="G11" i="32"/>
  <c r="H11" i="32" s="1"/>
  <c r="G10" i="32"/>
  <c r="H10" i="32" s="1"/>
  <c r="G9" i="32"/>
  <c r="E61" i="31"/>
  <c r="D61" i="31"/>
  <c r="C61" i="31"/>
  <c r="E60" i="31"/>
  <c r="D60" i="31"/>
  <c r="C60" i="31"/>
  <c r="G56" i="31"/>
  <c r="H56" i="31" s="1"/>
  <c r="G55" i="31"/>
  <c r="H55" i="31" s="1"/>
  <c r="G54" i="31"/>
  <c r="H54" i="31" s="1"/>
  <c r="F49" i="31"/>
  <c r="E49" i="31"/>
  <c r="D49" i="31"/>
  <c r="C49" i="31"/>
  <c r="G41" i="31"/>
  <c r="H41" i="31" s="1"/>
  <c r="G40" i="31"/>
  <c r="H40" i="31" s="1"/>
  <c r="G39" i="31"/>
  <c r="J39" i="31" s="1"/>
  <c r="G38" i="31"/>
  <c r="G37" i="31"/>
  <c r="J37" i="31" s="1"/>
  <c r="G36" i="31"/>
  <c r="G35" i="3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H27" i="31" s="1"/>
  <c r="G26" i="31"/>
  <c r="G25" i="31"/>
  <c r="H25" i="31" s="1"/>
  <c r="G24" i="31"/>
  <c r="G23" i="31"/>
  <c r="H23" i="31" s="1"/>
  <c r="G22" i="31"/>
  <c r="G21" i="31"/>
  <c r="H21" i="31" s="1"/>
  <c r="G20" i="31"/>
  <c r="G19" i="31"/>
  <c r="H19" i="31" s="1"/>
  <c r="G18" i="31"/>
  <c r="G17" i="31"/>
  <c r="H17" i="31" s="1"/>
  <c r="G16" i="31"/>
  <c r="G15" i="31"/>
  <c r="H15" i="31" s="1"/>
  <c r="G14" i="31"/>
  <c r="H14" i="31" s="1"/>
  <c r="G13" i="31"/>
  <c r="J13" i="31" s="1"/>
  <c r="G12" i="31"/>
  <c r="J12" i="31" s="1"/>
  <c r="G11" i="31"/>
  <c r="H11" i="31" s="1"/>
  <c r="G10" i="31"/>
  <c r="J10" i="31" s="1"/>
  <c r="G9" i="31"/>
  <c r="J9" i="31" s="1"/>
  <c r="E61" i="30"/>
  <c r="D61" i="30"/>
  <c r="C61" i="30"/>
  <c r="E60" i="30"/>
  <c r="D60" i="30"/>
  <c r="C60" i="30"/>
  <c r="G56" i="30"/>
  <c r="H56" i="30" s="1"/>
  <c r="G55" i="30"/>
  <c r="H55" i="30" s="1"/>
  <c r="G54" i="30"/>
  <c r="H54" i="30" s="1"/>
  <c r="F49" i="30"/>
  <c r="E49" i="30"/>
  <c r="D49" i="30"/>
  <c r="C49" i="30"/>
  <c r="G38" i="30"/>
  <c r="J38" i="30" s="1"/>
  <c r="G37" i="30"/>
  <c r="J37" i="30" s="1"/>
  <c r="G36" i="30"/>
  <c r="J36" i="30" s="1"/>
  <c r="G35" i="30"/>
  <c r="H35" i="30" s="1"/>
  <c r="G34" i="30"/>
  <c r="G33" i="30"/>
  <c r="H33" i="30" s="1"/>
  <c r="G32" i="30"/>
  <c r="J32" i="30" s="1"/>
  <c r="G31" i="30"/>
  <c r="H31" i="30" s="1"/>
  <c r="G30" i="30"/>
  <c r="J30" i="30" s="1"/>
  <c r="G29" i="30"/>
  <c r="G28" i="30"/>
  <c r="J28" i="30" s="1"/>
  <c r="G27" i="30"/>
  <c r="G26" i="30"/>
  <c r="J26" i="30" s="1"/>
  <c r="G25" i="30"/>
  <c r="G24" i="30"/>
  <c r="J24" i="30" s="1"/>
  <c r="G23" i="30"/>
  <c r="G22" i="30"/>
  <c r="J22" i="30" s="1"/>
  <c r="G21" i="30"/>
  <c r="G20" i="30"/>
  <c r="J20" i="30" s="1"/>
  <c r="G19" i="30"/>
  <c r="G18" i="30"/>
  <c r="J18" i="30" s="1"/>
  <c r="G17" i="30"/>
  <c r="G16" i="30"/>
  <c r="G15" i="30"/>
  <c r="J15" i="30" s="1"/>
  <c r="G14" i="30"/>
  <c r="J14" i="30" s="1"/>
  <c r="G13" i="30"/>
  <c r="G12" i="30"/>
  <c r="H12" i="30" s="1"/>
  <c r="G11" i="30"/>
  <c r="J11" i="30" s="1"/>
  <c r="G10" i="30"/>
  <c r="J10" i="30" s="1"/>
  <c r="G9" i="30"/>
  <c r="J9" i="30" s="1"/>
  <c r="E61" i="29"/>
  <c r="D61" i="29"/>
  <c r="C61" i="29"/>
  <c r="E60" i="29"/>
  <c r="D60" i="29"/>
  <c r="C60" i="29"/>
  <c r="G56" i="29"/>
  <c r="H56" i="29" s="1"/>
  <c r="G55" i="29"/>
  <c r="H55" i="29" s="1"/>
  <c r="G54" i="29"/>
  <c r="H54" i="29" s="1"/>
  <c r="F49" i="29"/>
  <c r="E49" i="29"/>
  <c r="D49" i="29"/>
  <c r="C49" i="29"/>
  <c r="G43" i="29"/>
  <c r="H43" i="29" s="1"/>
  <c r="G42" i="29"/>
  <c r="G41" i="29"/>
  <c r="H41" i="29" s="1"/>
  <c r="G40" i="29"/>
  <c r="H40" i="29" s="1"/>
  <c r="G39" i="29"/>
  <c r="H39" i="29" s="1"/>
  <c r="G38" i="29"/>
  <c r="J38" i="29" s="1"/>
  <c r="G37" i="29"/>
  <c r="J37" i="29" s="1"/>
  <c r="G36" i="29"/>
  <c r="H36" i="29" s="1"/>
  <c r="G35" i="29"/>
  <c r="H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G26" i="29"/>
  <c r="H26" i="29" s="1"/>
  <c r="G25" i="29"/>
  <c r="G24" i="29"/>
  <c r="H24" i="29" s="1"/>
  <c r="G23" i="29"/>
  <c r="G22" i="29"/>
  <c r="H22" i="29" s="1"/>
  <c r="G21" i="29"/>
  <c r="H21" i="29" s="1"/>
  <c r="G20" i="29"/>
  <c r="H20" i="29" s="1"/>
  <c r="G19" i="29"/>
  <c r="J19" i="29" s="1"/>
  <c r="G18" i="29"/>
  <c r="J18" i="29" s="1"/>
  <c r="G17" i="29"/>
  <c r="J17" i="29" s="1"/>
  <c r="G16" i="29"/>
  <c r="H16" i="29" s="1"/>
  <c r="G15" i="29"/>
  <c r="J15" i="29" s="1"/>
  <c r="G14" i="29"/>
  <c r="J14" i="29" s="1"/>
  <c r="G13" i="29"/>
  <c r="J13" i="29" s="1"/>
  <c r="G12" i="29"/>
  <c r="H12" i="29" s="1"/>
  <c r="G11" i="29"/>
  <c r="J11" i="29" s="1"/>
  <c r="G10" i="29"/>
  <c r="J10" i="29" s="1"/>
  <c r="G9" i="29"/>
  <c r="J9" i="29" s="1"/>
  <c r="E61" i="28"/>
  <c r="D61" i="28"/>
  <c r="C61" i="28"/>
  <c r="E60" i="28"/>
  <c r="D60" i="28"/>
  <c r="C60" i="28"/>
  <c r="G56" i="28"/>
  <c r="H56" i="28" s="1"/>
  <c r="G55" i="28"/>
  <c r="H55" i="28" s="1"/>
  <c r="G54" i="28"/>
  <c r="H54" i="28" s="1"/>
  <c r="F49" i="28"/>
  <c r="E49" i="28"/>
  <c r="D49" i="28"/>
  <c r="C49" i="28"/>
  <c r="G32" i="28"/>
  <c r="J32" i="28" s="1"/>
  <c r="G31" i="28"/>
  <c r="G30" i="28"/>
  <c r="H30" i="28" s="1"/>
  <c r="G29" i="28"/>
  <c r="G28" i="28"/>
  <c r="H28" i="28" s="1"/>
  <c r="G27" i="28"/>
  <c r="H27" i="28" s="1"/>
  <c r="G26" i="28"/>
  <c r="H26" i="28" s="1"/>
  <c r="G25" i="28"/>
  <c r="H25" i="28" s="1"/>
  <c r="G24" i="28"/>
  <c r="G23" i="28"/>
  <c r="H23" i="28" s="1"/>
  <c r="G22" i="28"/>
  <c r="G21" i="28"/>
  <c r="H21" i="28" s="1"/>
  <c r="G20" i="28"/>
  <c r="G19" i="28"/>
  <c r="H19" i="28" s="1"/>
  <c r="G18" i="28"/>
  <c r="G17" i="28"/>
  <c r="H17" i="28" s="1"/>
  <c r="G16" i="28"/>
  <c r="G15" i="28"/>
  <c r="H15" i="28" s="1"/>
  <c r="G14" i="28"/>
  <c r="H14" i="28" s="1"/>
  <c r="G13" i="28"/>
  <c r="J13" i="28" s="1"/>
  <c r="G12" i="28"/>
  <c r="J12" i="28" s="1"/>
  <c r="G11" i="28"/>
  <c r="J11" i="28" s="1"/>
  <c r="G10" i="28"/>
  <c r="J10" i="28" s="1"/>
  <c r="G9" i="28"/>
  <c r="J9" i="28" s="1"/>
  <c r="E61" i="27"/>
  <c r="D61" i="27"/>
  <c r="C61" i="27"/>
  <c r="E60" i="27"/>
  <c r="D60" i="27"/>
  <c r="C60" i="27"/>
  <c r="G56" i="27"/>
  <c r="H56" i="27" s="1"/>
  <c r="G55" i="27"/>
  <c r="H55" i="27" s="1"/>
  <c r="G54" i="27"/>
  <c r="H54" i="27" s="1"/>
  <c r="F49" i="27"/>
  <c r="E49" i="27"/>
  <c r="D49" i="27"/>
  <c r="C49" i="27"/>
  <c r="G48" i="27"/>
  <c r="J48" i="27" s="1"/>
  <c r="G47" i="27"/>
  <c r="H47" i="27" s="1"/>
  <c r="G46" i="27"/>
  <c r="H45" i="27"/>
  <c r="G45" i="27"/>
  <c r="G44" i="27"/>
  <c r="H44" i="27" s="1"/>
  <c r="G43" i="27"/>
  <c r="H43" i="27" s="1"/>
  <c r="G42" i="27"/>
  <c r="H42" i="27" s="1"/>
  <c r="G41" i="27"/>
  <c r="J41" i="27" s="1"/>
  <c r="G40" i="27"/>
  <c r="H40" i="27" s="1"/>
  <c r="G39" i="27"/>
  <c r="G38" i="27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H19" i="27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E61" i="26"/>
  <c r="D61" i="26"/>
  <c r="C61" i="26"/>
  <c r="E60" i="26"/>
  <c r="D60" i="26"/>
  <c r="C60" i="26"/>
  <c r="G56" i="26"/>
  <c r="H56" i="26" s="1"/>
  <c r="G55" i="26"/>
  <c r="H55" i="26" s="1"/>
  <c r="G54" i="26"/>
  <c r="H54" i="26" s="1"/>
  <c r="F49" i="26"/>
  <c r="E49" i="26"/>
  <c r="D49" i="26"/>
  <c r="C49" i="26"/>
  <c r="G32" i="26"/>
  <c r="H32" i="26" s="1"/>
  <c r="G31" i="26"/>
  <c r="G30" i="26"/>
  <c r="J30" i="26" s="1"/>
  <c r="G29" i="26"/>
  <c r="G28" i="26"/>
  <c r="G27" i="26"/>
  <c r="G26" i="26"/>
  <c r="H26" i="26" s="1"/>
  <c r="G25" i="26"/>
  <c r="H25" i="26" s="1"/>
  <c r="G24" i="26"/>
  <c r="H24" i="26" s="1"/>
  <c r="G23" i="26"/>
  <c r="H23" i="26" s="1"/>
  <c r="G22" i="26"/>
  <c r="H22" i="26" s="1"/>
  <c r="G21" i="26"/>
  <c r="H21" i="26" s="1"/>
  <c r="G20" i="26"/>
  <c r="G19" i="26"/>
  <c r="G18" i="26"/>
  <c r="H18" i="26" s="1"/>
  <c r="G17" i="26"/>
  <c r="J17" i="26" s="1"/>
  <c r="G16" i="26"/>
  <c r="H16" i="26" s="1"/>
  <c r="G15" i="26"/>
  <c r="J15" i="26" s="1"/>
  <c r="G14" i="26"/>
  <c r="H14" i="26" s="1"/>
  <c r="G13" i="26"/>
  <c r="J13" i="26" s="1"/>
  <c r="G12" i="26"/>
  <c r="H12" i="26" s="1"/>
  <c r="G11" i="26"/>
  <c r="J11" i="26" s="1"/>
  <c r="G10" i="26"/>
  <c r="H10" i="26" s="1"/>
  <c r="G9" i="26"/>
  <c r="J9" i="26" s="1"/>
  <c r="E61" i="25"/>
  <c r="D61" i="25"/>
  <c r="C61" i="25"/>
  <c r="E60" i="25"/>
  <c r="D60" i="25"/>
  <c r="C60" i="25"/>
  <c r="G56" i="25"/>
  <c r="H56" i="25" s="1"/>
  <c r="G55" i="25"/>
  <c r="H55" i="25" s="1"/>
  <c r="G54" i="25"/>
  <c r="H54" i="25" s="1"/>
  <c r="F49" i="25"/>
  <c r="E49" i="25"/>
  <c r="D49" i="25"/>
  <c r="C49" i="25"/>
  <c r="G38" i="25"/>
  <c r="G37" i="25"/>
  <c r="G36" i="25"/>
  <c r="H36" i="25" s="1"/>
  <c r="G35" i="25"/>
  <c r="G34" i="25"/>
  <c r="H34" i="25" s="1"/>
  <c r="G33" i="25"/>
  <c r="H33" i="25" s="1"/>
  <c r="G32" i="25"/>
  <c r="H32" i="25" s="1"/>
  <c r="G31" i="25"/>
  <c r="H31" i="25" s="1"/>
  <c r="G30" i="25"/>
  <c r="J30" i="25" s="1"/>
  <c r="G29" i="25"/>
  <c r="H29" i="25" s="1"/>
  <c r="G28" i="25"/>
  <c r="J28" i="25" s="1"/>
  <c r="G27" i="25"/>
  <c r="H27" i="25" s="1"/>
  <c r="G26" i="25"/>
  <c r="J26" i="25" s="1"/>
  <c r="G25" i="25"/>
  <c r="H25" i="25" s="1"/>
  <c r="G24" i="25"/>
  <c r="H24" i="25" s="1"/>
  <c r="G23" i="25"/>
  <c r="J23" i="25" s="1"/>
  <c r="G22" i="25"/>
  <c r="H22" i="25" s="1"/>
  <c r="G21" i="25"/>
  <c r="G20" i="25"/>
  <c r="J20" i="25" s="1"/>
  <c r="G19" i="25"/>
  <c r="G18" i="25"/>
  <c r="J18" i="25" s="1"/>
  <c r="G17" i="25"/>
  <c r="G16" i="25"/>
  <c r="J16" i="25" s="1"/>
  <c r="G15" i="25"/>
  <c r="G14" i="25"/>
  <c r="J14" i="25" s="1"/>
  <c r="G13" i="25"/>
  <c r="G12" i="25"/>
  <c r="J12" i="25" s="1"/>
  <c r="G11" i="25"/>
  <c r="G10" i="25"/>
  <c r="J10" i="25" s="1"/>
  <c r="G9" i="25"/>
  <c r="E61" i="24"/>
  <c r="D61" i="24"/>
  <c r="C61" i="24"/>
  <c r="E60" i="24"/>
  <c r="D60" i="24"/>
  <c r="C60" i="24"/>
  <c r="G56" i="24"/>
  <c r="H56" i="24" s="1"/>
  <c r="G55" i="24"/>
  <c r="H55" i="24" s="1"/>
  <c r="G54" i="24"/>
  <c r="H54" i="24" s="1"/>
  <c r="F49" i="24"/>
  <c r="E49" i="24"/>
  <c r="D49" i="24"/>
  <c r="C49" i="24"/>
  <c r="G36" i="24"/>
  <c r="H36" i="24" s="1"/>
  <c r="G35" i="24"/>
  <c r="J35" i="24" s="1"/>
  <c r="G34" i="24"/>
  <c r="J34" i="24" s="1"/>
  <c r="G33" i="24"/>
  <c r="H33" i="24" s="1"/>
  <c r="G32" i="24"/>
  <c r="G31" i="24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J22" i="24" s="1"/>
  <c r="G21" i="24"/>
  <c r="G20" i="24"/>
  <c r="H20" i="24" s="1"/>
  <c r="G19" i="24"/>
  <c r="G18" i="24"/>
  <c r="J18" i="24" s="1"/>
  <c r="G17" i="24"/>
  <c r="G16" i="24"/>
  <c r="H16" i="24" s="1"/>
  <c r="G15" i="24"/>
  <c r="G14" i="24"/>
  <c r="H14" i="24" s="1"/>
  <c r="G13" i="24"/>
  <c r="G12" i="24"/>
  <c r="G11" i="24"/>
  <c r="J11" i="24" s="1"/>
  <c r="G10" i="24"/>
  <c r="G9" i="24"/>
  <c r="H9" i="24" s="1"/>
  <c r="E61" i="23"/>
  <c r="D61" i="23"/>
  <c r="C61" i="23"/>
  <c r="E60" i="23"/>
  <c r="D60" i="23"/>
  <c r="C60" i="23"/>
  <c r="G56" i="23"/>
  <c r="H56" i="23" s="1"/>
  <c r="G55" i="23"/>
  <c r="H55" i="23" s="1"/>
  <c r="G54" i="23"/>
  <c r="H54" i="23" s="1"/>
  <c r="F49" i="23"/>
  <c r="E49" i="23"/>
  <c r="D49" i="23"/>
  <c r="C49" i="23"/>
  <c r="G38" i="23"/>
  <c r="H38" i="23" s="1"/>
  <c r="G37" i="23"/>
  <c r="G36" i="23"/>
  <c r="J36" i="23" s="1"/>
  <c r="G35" i="23"/>
  <c r="H35" i="23" s="1"/>
  <c r="G34" i="23"/>
  <c r="H34" i="23" s="1"/>
  <c r="G33" i="23"/>
  <c r="H33" i="23" s="1"/>
  <c r="G32" i="23"/>
  <c r="J32" i="23" s="1"/>
  <c r="G31" i="23"/>
  <c r="J31" i="23" s="1"/>
  <c r="G30" i="23"/>
  <c r="H30" i="23" s="1"/>
  <c r="G29" i="23"/>
  <c r="J29" i="23" s="1"/>
  <c r="G28" i="23"/>
  <c r="J28" i="23" s="1"/>
  <c r="G27" i="23"/>
  <c r="J27" i="23" s="1"/>
  <c r="G26" i="23"/>
  <c r="J26" i="23" s="1"/>
  <c r="G25" i="23"/>
  <c r="J25" i="23" s="1"/>
  <c r="G24" i="23"/>
  <c r="H24" i="23" s="1"/>
  <c r="G23" i="23"/>
  <c r="H23" i="23" s="1"/>
  <c r="G22" i="23"/>
  <c r="H22" i="23" s="1"/>
  <c r="G21" i="23"/>
  <c r="J21" i="23" s="1"/>
  <c r="G20" i="23"/>
  <c r="J20" i="23" s="1"/>
  <c r="G19" i="23"/>
  <c r="J19" i="23" s="1"/>
  <c r="G18" i="23"/>
  <c r="J18" i="23" s="1"/>
  <c r="G17" i="23"/>
  <c r="J17" i="23" s="1"/>
  <c r="G16" i="23"/>
  <c r="H16" i="23" s="1"/>
  <c r="G15" i="23"/>
  <c r="H15" i="23" s="1"/>
  <c r="G14" i="23"/>
  <c r="G13" i="23"/>
  <c r="J13" i="23" s="1"/>
  <c r="G12" i="23"/>
  <c r="G11" i="23"/>
  <c r="G10" i="23"/>
  <c r="H10" i="23" s="1"/>
  <c r="G9" i="23"/>
  <c r="E61" i="22"/>
  <c r="D61" i="22"/>
  <c r="C61" i="22"/>
  <c r="E60" i="22"/>
  <c r="D60" i="22"/>
  <c r="C60" i="22"/>
  <c r="G56" i="22"/>
  <c r="H56" i="22" s="1"/>
  <c r="G55" i="22"/>
  <c r="H55" i="22" s="1"/>
  <c r="G54" i="22"/>
  <c r="H54" i="22" s="1"/>
  <c r="F49" i="22"/>
  <c r="E49" i="22"/>
  <c r="D49" i="22"/>
  <c r="C49" i="22"/>
  <c r="G28" i="22"/>
  <c r="H28" i="22" s="1"/>
  <c r="G27" i="22"/>
  <c r="J27" i="22" s="1"/>
  <c r="G26" i="22"/>
  <c r="G25" i="22"/>
  <c r="H25" i="22" s="1"/>
  <c r="G24" i="22"/>
  <c r="J24" i="22" s="1"/>
  <c r="G23" i="22"/>
  <c r="J23" i="22" s="1"/>
  <c r="G22" i="22"/>
  <c r="J22" i="22" s="1"/>
  <c r="G21" i="22"/>
  <c r="J21" i="22" s="1"/>
  <c r="G20" i="22"/>
  <c r="J20" i="22" s="1"/>
  <c r="G19" i="22"/>
  <c r="J19" i="22" s="1"/>
  <c r="G18" i="22"/>
  <c r="J18" i="22" s="1"/>
  <c r="G17" i="22"/>
  <c r="J17" i="22" s="1"/>
  <c r="G16" i="22"/>
  <c r="J16" i="22" s="1"/>
  <c r="G15" i="22"/>
  <c r="H15" i="22" s="1"/>
  <c r="G14" i="22"/>
  <c r="J14" i="22" s="1"/>
  <c r="G13" i="22"/>
  <c r="J13" i="22" s="1"/>
  <c r="G12" i="22"/>
  <c r="J12" i="22" s="1"/>
  <c r="G11" i="22"/>
  <c r="H11" i="22" s="1"/>
  <c r="G10" i="22"/>
  <c r="J10" i="22" s="1"/>
  <c r="G9" i="22"/>
  <c r="H9" i="22" s="1"/>
  <c r="E61" i="21"/>
  <c r="D61" i="21"/>
  <c r="C61" i="21"/>
  <c r="E60" i="21"/>
  <c r="D60" i="21"/>
  <c r="C60" i="21"/>
  <c r="G56" i="21"/>
  <c r="H56" i="21" s="1"/>
  <c r="G55" i="21"/>
  <c r="H55" i="21" s="1"/>
  <c r="G54" i="21"/>
  <c r="H54" i="21" s="1"/>
  <c r="F49" i="21"/>
  <c r="E49" i="21"/>
  <c r="D49" i="21"/>
  <c r="C49" i="21"/>
  <c r="G44" i="21"/>
  <c r="H44" i="21" s="1"/>
  <c r="G43" i="21"/>
  <c r="H43" i="21" s="1"/>
  <c r="G42" i="21"/>
  <c r="G41" i="21"/>
  <c r="H41" i="21" s="1"/>
  <c r="G40" i="21"/>
  <c r="G39" i="21"/>
  <c r="H39" i="21" s="1"/>
  <c r="G38" i="21"/>
  <c r="G37" i="21"/>
  <c r="H37" i="21" s="1"/>
  <c r="G36" i="21"/>
  <c r="J36" i="21" s="1"/>
  <c r="G35" i="21"/>
  <c r="G34" i="21"/>
  <c r="J34" i="21" s="1"/>
  <c r="G33" i="21"/>
  <c r="G32" i="21"/>
  <c r="H32" i="21" s="1"/>
  <c r="G31" i="21"/>
  <c r="H31" i="21" s="1"/>
  <c r="G30" i="21"/>
  <c r="J30" i="21" s="1"/>
  <c r="G29" i="21"/>
  <c r="J29" i="21" s="1"/>
  <c r="G28" i="21"/>
  <c r="J28" i="21" s="1"/>
  <c r="G27" i="21"/>
  <c r="H27" i="21" s="1"/>
  <c r="G26" i="21"/>
  <c r="J26" i="21" s="1"/>
  <c r="G25" i="21"/>
  <c r="J25" i="21" s="1"/>
  <c r="G24" i="21"/>
  <c r="J24" i="21" s="1"/>
  <c r="G23" i="21"/>
  <c r="H23" i="21" s="1"/>
  <c r="G22" i="21"/>
  <c r="J22" i="21" s="1"/>
  <c r="G21" i="21"/>
  <c r="J21" i="21" s="1"/>
  <c r="G20" i="21"/>
  <c r="J20" i="21" s="1"/>
  <c r="G19" i="21"/>
  <c r="H19" i="21" s="1"/>
  <c r="G18" i="21"/>
  <c r="J18" i="21" s="1"/>
  <c r="G17" i="21"/>
  <c r="J17" i="21" s="1"/>
  <c r="G16" i="21"/>
  <c r="J16" i="21" s="1"/>
  <c r="G15" i="21"/>
  <c r="H15" i="21" s="1"/>
  <c r="G14" i="21"/>
  <c r="J14" i="21" s="1"/>
  <c r="G13" i="21"/>
  <c r="J13" i="21" s="1"/>
  <c r="G12" i="21"/>
  <c r="J12" i="21" s="1"/>
  <c r="G11" i="21"/>
  <c r="H11" i="21" s="1"/>
  <c r="G10" i="21"/>
  <c r="J10" i="21" s="1"/>
  <c r="G9" i="21"/>
  <c r="J9" i="21" s="1"/>
  <c r="E61" i="20"/>
  <c r="D61" i="20"/>
  <c r="C61" i="20"/>
  <c r="E60" i="20"/>
  <c r="D60" i="20"/>
  <c r="C60" i="20"/>
  <c r="G56" i="20"/>
  <c r="H56" i="20" s="1"/>
  <c r="G55" i="20"/>
  <c r="H55" i="20" s="1"/>
  <c r="G54" i="20"/>
  <c r="H54" i="20" s="1"/>
  <c r="F49" i="20"/>
  <c r="E49" i="20"/>
  <c r="D49" i="20"/>
  <c r="C49" i="20"/>
  <c r="G41" i="20"/>
  <c r="J41" i="20" s="1"/>
  <c r="G40" i="20"/>
  <c r="G39" i="20"/>
  <c r="J39" i="20" s="1"/>
  <c r="G38" i="20"/>
  <c r="H38" i="20" s="1"/>
  <c r="G37" i="20"/>
  <c r="H37" i="20" s="1"/>
  <c r="G36" i="20"/>
  <c r="G35" i="20"/>
  <c r="J35" i="20" s="1"/>
  <c r="G34" i="20"/>
  <c r="J34" i="20" s="1"/>
  <c r="G33" i="20"/>
  <c r="H33" i="20" s="1"/>
  <c r="G32" i="20"/>
  <c r="J32" i="20" s="1"/>
  <c r="G31" i="20"/>
  <c r="G30" i="20"/>
  <c r="J30" i="20" s="1"/>
  <c r="G29" i="20"/>
  <c r="G28" i="20"/>
  <c r="J28" i="20" s="1"/>
  <c r="G27" i="20"/>
  <c r="G26" i="20"/>
  <c r="J26" i="20" s="1"/>
  <c r="G25" i="20"/>
  <c r="G24" i="20"/>
  <c r="J24" i="20" s="1"/>
  <c r="G23" i="20"/>
  <c r="G22" i="20"/>
  <c r="J22" i="20" s="1"/>
  <c r="G21" i="20"/>
  <c r="G20" i="20"/>
  <c r="J20" i="20" s="1"/>
  <c r="G19" i="20"/>
  <c r="G18" i="20"/>
  <c r="J18" i="20" s="1"/>
  <c r="G17" i="20"/>
  <c r="G16" i="20"/>
  <c r="J16" i="20" s="1"/>
  <c r="G15" i="20"/>
  <c r="G14" i="20"/>
  <c r="J14" i="20" s="1"/>
  <c r="G13" i="20"/>
  <c r="G12" i="20"/>
  <c r="J12" i="20" s="1"/>
  <c r="G11" i="20"/>
  <c r="G10" i="20"/>
  <c r="H10" i="20" s="1"/>
  <c r="G9" i="20"/>
  <c r="E61" i="19"/>
  <c r="D61" i="19"/>
  <c r="C61" i="19"/>
  <c r="E60" i="19"/>
  <c r="D60" i="19"/>
  <c r="C60" i="19"/>
  <c r="G56" i="19"/>
  <c r="H56" i="19" s="1"/>
  <c r="G55" i="19"/>
  <c r="H55" i="19" s="1"/>
  <c r="G54" i="19"/>
  <c r="H54" i="19" s="1"/>
  <c r="F49" i="19"/>
  <c r="E49" i="19"/>
  <c r="D49" i="19"/>
  <c r="C49" i="19"/>
  <c r="G20" i="19"/>
  <c r="H20" i="19" s="1"/>
  <c r="G19" i="19"/>
  <c r="J19" i="19" s="1"/>
  <c r="G18" i="19"/>
  <c r="H18" i="19" s="1"/>
  <c r="G17" i="19"/>
  <c r="G16" i="19"/>
  <c r="H16" i="19" s="1"/>
  <c r="G15" i="19"/>
  <c r="G14" i="19"/>
  <c r="H14" i="19" s="1"/>
  <c r="G13" i="19"/>
  <c r="G12" i="19"/>
  <c r="H12" i="19" s="1"/>
  <c r="G11" i="19"/>
  <c r="J11" i="19" s="1"/>
  <c r="G10" i="19"/>
  <c r="J10" i="19" s="1"/>
  <c r="G9" i="19"/>
  <c r="J9" i="19" s="1"/>
  <c r="E61" i="18"/>
  <c r="D61" i="18"/>
  <c r="C61" i="18"/>
  <c r="E60" i="18"/>
  <c r="D60" i="18"/>
  <c r="C60" i="18"/>
  <c r="G56" i="18"/>
  <c r="H56" i="18" s="1"/>
  <c r="G55" i="18"/>
  <c r="H55" i="18" s="1"/>
  <c r="G54" i="18"/>
  <c r="H54" i="18" s="1"/>
  <c r="F49" i="18"/>
  <c r="E49" i="18"/>
  <c r="D49" i="18"/>
  <c r="C49" i="18"/>
  <c r="G36" i="18"/>
  <c r="J36" i="18" s="1"/>
  <c r="G35" i="18"/>
  <c r="H35" i="18" s="1"/>
  <c r="G34" i="18"/>
  <c r="J34" i="18" s="1"/>
  <c r="G33" i="18"/>
  <c r="H33" i="18" s="1"/>
  <c r="G32" i="18"/>
  <c r="J32" i="18" s="1"/>
  <c r="G31" i="18"/>
  <c r="H31" i="18" s="1"/>
  <c r="G30" i="18"/>
  <c r="J30" i="18" s="1"/>
  <c r="G29" i="18"/>
  <c r="H29" i="18" s="1"/>
  <c r="G28" i="18"/>
  <c r="J28" i="18" s="1"/>
  <c r="G27" i="18"/>
  <c r="J27" i="18" s="1"/>
  <c r="G26" i="18"/>
  <c r="J26" i="18" s="1"/>
  <c r="G25" i="18"/>
  <c r="J25" i="18" s="1"/>
  <c r="G24" i="18"/>
  <c r="J24" i="18" s="1"/>
  <c r="G23" i="18"/>
  <c r="H23" i="18" s="1"/>
  <c r="G22" i="18"/>
  <c r="J22" i="18" s="1"/>
  <c r="G21" i="18"/>
  <c r="H21" i="18" s="1"/>
  <c r="G20" i="18"/>
  <c r="J20" i="18" s="1"/>
  <c r="G19" i="18"/>
  <c r="H19" i="18" s="1"/>
  <c r="G18" i="18"/>
  <c r="J18" i="18" s="1"/>
  <c r="G17" i="18"/>
  <c r="J17" i="18" s="1"/>
  <c r="G16" i="18"/>
  <c r="J16" i="18" s="1"/>
  <c r="G15" i="18"/>
  <c r="H15" i="18" s="1"/>
  <c r="G14" i="18"/>
  <c r="J14" i="18" s="1"/>
  <c r="G13" i="18"/>
  <c r="H13" i="18" s="1"/>
  <c r="G12" i="18"/>
  <c r="J12" i="18" s="1"/>
  <c r="G11" i="18"/>
  <c r="H11" i="18" s="1"/>
  <c r="G10" i="18"/>
  <c r="H10" i="18" s="1"/>
  <c r="G9" i="18"/>
  <c r="E61" i="17"/>
  <c r="D61" i="17"/>
  <c r="C61" i="17"/>
  <c r="E60" i="17"/>
  <c r="D60" i="17"/>
  <c r="C60" i="17"/>
  <c r="G56" i="17"/>
  <c r="H56" i="17" s="1"/>
  <c r="G55" i="17"/>
  <c r="H55" i="17" s="1"/>
  <c r="G54" i="17"/>
  <c r="H54" i="17" s="1"/>
  <c r="F49" i="17"/>
  <c r="E49" i="17"/>
  <c r="D49" i="17"/>
  <c r="C49" i="17"/>
  <c r="G43" i="17"/>
  <c r="H43" i="17" s="1"/>
  <c r="G42" i="17"/>
  <c r="G41" i="17"/>
  <c r="H41" i="17" s="1"/>
  <c r="G40" i="17"/>
  <c r="H40" i="17" s="1"/>
  <c r="G39" i="17"/>
  <c r="G38" i="17"/>
  <c r="H38" i="17" s="1"/>
  <c r="G37" i="17"/>
  <c r="G36" i="17"/>
  <c r="H36" i="17" s="1"/>
  <c r="G35" i="17"/>
  <c r="J35" i="17" s="1"/>
  <c r="G34" i="17"/>
  <c r="J34" i="17" s="1"/>
  <c r="G33" i="17"/>
  <c r="J33" i="17" s="1"/>
  <c r="G32" i="17"/>
  <c r="H32" i="17" s="1"/>
  <c r="G31" i="17"/>
  <c r="J31" i="17" s="1"/>
  <c r="G30" i="17"/>
  <c r="H30" i="17" s="1"/>
  <c r="G29" i="17"/>
  <c r="J29" i="17" s="1"/>
  <c r="G28" i="17"/>
  <c r="J28" i="17" s="1"/>
  <c r="G27" i="17"/>
  <c r="H27" i="17" s="1"/>
  <c r="G26" i="17"/>
  <c r="G25" i="17"/>
  <c r="J25" i="17" s="1"/>
  <c r="G24" i="17"/>
  <c r="G23" i="17"/>
  <c r="J23" i="17" s="1"/>
  <c r="G22" i="17"/>
  <c r="G21" i="17"/>
  <c r="J21" i="17" s="1"/>
  <c r="G20" i="17"/>
  <c r="G19" i="17"/>
  <c r="J19" i="17" s="1"/>
  <c r="G18" i="17"/>
  <c r="G17" i="17"/>
  <c r="J17" i="17" s="1"/>
  <c r="G16" i="17"/>
  <c r="G15" i="17"/>
  <c r="J15" i="17" s="1"/>
  <c r="G14" i="17"/>
  <c r="G13" i="17"/>
  <c r="J13" i="17" s="1"/>
  <c r="G12" i="17"/>
  <c r="G11" i="17"/>
  <c r="J11" i="17" s="1"/>
  <c r="G10" i="17"/>
  <c r="G9" i="17"/>
  <c r="J9" i="17" s="1"/>
  <c r="E61" i="16"/>
  <c r="D61" i="16"/>
  <c r="C61" i="16"/>
  <c r="E60" i="16"/>
  <c r="D60" i="16"/>
  <c r="C60" i="16"/>
  <c r="G56" i="16"/>
  <c r="H56" i="16" s="1"/>
  <c r="G55" i="16"/>
  <c r="H55" i="16" s="1"/>
  <c r="G54" i="16"/>
  <c r="H54" i="16" s="1"/>
  <c r="F49" i="16"/>
  <c r="E49" i="16"/>
  <c r="D49" i="16"/>
  <c r="C49" i="16"/>
  <c r="G39" i="16"/>
  <c r="G38" i="16"/>
  <c r="G37" i="16"/>
  <c r="G36" i="16"/>
  <c r="G35" i="16"/>
  <c r="H35" i="16" s="1"/>
  <c r="G34" i="16"/>
  <c r="J34" i="16" s="1"/>
  <c r="G33" i="16"/>
  <c r="H33" i="16" s="1"/>
  <c r="G32" i="16"/>
  <c r="J32" i="16" s="1"/>
  <c r="G31" i="16"/>
  <c r="H31" i="16" s="1"/>
  <c r="G30" i="16"/>
  <c r="J30" i="16" s="1"/>
  <c r="G29" i="16"/>
  <c r="J29" i="16" s="1"/>
  <c r="G28" i="16"/>
  <c r="J28" i="16" s="1"/>
  <c r="G27" i="16"/>
  <c r="J27" i="16" s="1"/>
  <c r="G26" i="16"/>
  <c r="J26" i="16" s="1"/>
  <c r="G25" i="16"/>
  <c r="J25" i="16" s="1"/>
  <c r="G24" i="16"/>
  <c r="J24" i="16" s="1"/>
  <c r="G23" i="16"/>
  <c r="J23" i="16" s="1"/>
  <c r="G22" i="16"/>
  <c r="J22" i="16" s="1"/>
  <c r="G21" i="16"/>
  <c r="G20" i="16"/>
  <c r="J20" i="16" s="1"/>
  <c r="G19" i="16"/>
  <c r="G18" i="16"/>
  <c r="J18" i="16" s="1"/>
  <c r="G17" i="16"/>
  <c r="G16" i="16"/>
  <c r="J16" i="16" s="1"/>
  <c r="G15" i="16"/>
  <c r="G14" i="16"/>
  <c r="J14" i="16" s="1"/>
  <c r="G13" i="16"/>
  <c r="G12" i="16"/>
  <c r="J12" i="16" s="1"/>
  <c r="G11" i="16"/>
  <c r="G10" i="16"/>
  <c r="J10" i="16" s="1"/>
  <c r="G9" i="16"/>
  <c r="E61" i="15"/>
  <c r="D61" i="15"/>
  <c r="C61" i="15"/>
  <c r="E60" i="15"/>
  <c r="D60" i="15"/>
  <c r="C60" i="15"/>
  <c r="G56" i="15"/>
  <c r="H56" i="15" s="1"/>
  <c r="G55" i="15"/>
  <c r="H55" i="15" s="1"/>
  <c r="G54" i="15"/>
  <c r="H54" i="15" s="1"/>
  <c r="F49" i="15"/>
  <c r="E49" i="15"/>
  <c r="D49" i="15"/>
  <c r="C49" i="15"/>
  <c r="G32" i="15"/>
  <c r="G31" i="15"/>
  <c r="H31" i="15" s="1"/>
  <c r="G30" i="15"/>
  <c r="J30" i="15" s="1"/>
  <c r="G29" i="15"/>
  <c r="J29" i="15" s="1"/>
  <c r="G28" i="15"/>
  <c r="H28" i="15" s="1"/>
  <c r="G27" i="15"/>
  <c r="H27" i="15" s="1"/>
  <c r="G26" i="15"/>
  <c r="H26" i="15" s="1"/>
  <c r="G25" i="15"/>
  <c r="G24" i="15"/>
  <c r="H24" i="15" s="1"/>
  <c r="G23" i="15"/>
  <c r="J23" i="15" s="1"/>
  <c r="G22" i="15"/>
  <c r="G21" i="15"/>
  <c r="J21" i="15" s="1"/>
  <c r="G20" i="15"/>
  <c r="G19" i="15"/>
  <c r="J19" i="15" s="1"/>
  <c r="G18" i="15"/>
  <c r="G17" i="15"/>
  <c r="H17" i="15" s="1"/>
  <c r="G16" i="15"/>
  <c r="H16" i="15" s="1"/>
  <c r="G15" i="15"/>
  <c r="J15" i="15" s="1"/>
  <c r="G14" i="15"/>
  <c r="H14" i="15" s="1"/>
  <c r="G13" i="15"/>
  <c r="J13" i="15" s="1"/>
  <c r="G12" i="15"/>
  <c r="H12" i="15" s="1"/>
  <c r="G11" i="15"/>
  <c r="J11" i="15" s="1"/>
  <c r="G10" i="15"/>
  <c r="H10" i="15" s="1"/>
  <c r="G9" i="15"/>
  <c r="J9" i="15" s="1"/>
  <c r="E61" i="14"/>
  <c r="D61" i="14"/>
  <c r="C61" i="14"/>
  <c r="E60" i="14"/>
  <c r="D60" i="14"/>
  <c r="C60" i="14"/>
  <c r="G56" i="14"/>
  <c r="H56" i="14" s="1"/>
  <c r="G55" i="14"/>
  <c r="H55" i="14" s="1"/>
  <c r="G54" i="14"/>
  <c r="H54" i="14" s="1"/>
  <c r="F49" i="14"/>
  <c r="E49" i="14"/>
  <c r="D49" i="14"/>
  <c r="C49" i="14"/>
  <c r="G34" i="14"/>
  <c r="H34" i="14" s="1"/>
  <c r="G33" i="14"/>
  <c r="J33" i="14" s="1"/>
  <c r="G32" i="14"/>
  <c r="H32" i="14" s="1"/>
  <c r="G31" i="14"/>
  <c r="G30" i="14"/>
  <c r="G29" i="14"/>
  <c r="H29" i="14" s="1"/>
  <c r="G28" i="14"/>
  <c r="H28" i="14" s="1"/>
  <c r="G27" i="14"/>
  <c r="G26" i="14"/>
  <c r="H26" i="14" s="1"/>
  <c r="G25" i="14"/>
  <c r="J25" i="14" s="1"/>
  <c r="G24" i="14"/>
  <c r="H24" i="14" s="1"/>
  <c r="G23" i="14"/>
  <c r="J23" i="14" s="1"/>
  <c r="G22" i="14"/>
  <c r="H22" i="14" s="1"/>
  <c r="G21" i="14"/>
  <c r="H21" i="14" s="1"/>
  <c r="G20" i="14"/>
  <c r="G19" i="14"/>
  <c r="J19" i="14" s="1"/>
  <c r="G18" i="14"/>
  <c r="H18" i="14" s="1"/>
  <c r="G17" i="14"/>
  <c r="G16" i="14"/>
  <c r="H16" i="14" s="1"/>
  <c r="G15" i="14"/>
  <c r="G14" i="14"/>
  <c r="G13" i="14"/>
  <c r="G12" i="14"/>
  <c r="G11" i="14"/>
  <c r="G10" i="14"/>
  <c r="H10" i="14" s="1"/>
  <c r="G9" i="14"/>
  <c r="H9" i="14" s="1"/>
  <c r="E61" i="13"/>
  <c r="D61" i="13"/>
  <c r="C61" i="13"/>
  <c r="E60" i="13"/>
  <c r="D60" i="13"/>
  <c r="C60" i="13"/>
  <c r="G56" i="13"/>
  <c r="H56" i="13" s="1"/>
  <c r="G55" i="13"/>
  <c r="H55" i="13" s="1"/>
  <c r="G54" i="13"/>
  <c r="H54" i="13" s="1"/>
  <c r="F49" i="13"/>
  <c r="E49" i="13"/>
  <c r="D49" i="13"/>
  <c r="C49" i="13"/>
  <c r="G48" i="13"/>
  <c r="J48" i="13" s="1"/>
  <c r="G47" i="13"/>
  <c r="J47" i="13" s="1"/>
  <c r="H46" i="13"/>
  <c r="G46" i="13"/>
  <c r="J46" i="13" s="1"/>
  <c r="G45" i="13"/>
  <c r="H45" i="13" s="1"/>
  <c r="G44" i="13"/>
  <c r="H44" i="13" s="1"/>
  <c r="G43" i="13"/>
  <c r="J43" i="13" s="1"/>
  <c r="G42" i="13"/>
  <c r="H42" i="13" s="1"/>
  <c r="J41" i="13"/>
  <c r="H41" i="13"/>
  <c r="G41" i="13"/>
  <c r="G40" i="13"/>
  <c r="J40" i="13" s="1"/>
  <c r="G39" i="13"/>
  <c r="J39" i="13" s="1"/>
  <c r="G38" i="13"/>
  <c r="H38" i="13" s="1"/>
  <c r="G37" i="13"/>
  <c r="J37" i="13" s="1"/>
  <c r="G36" i="13"/>
  <c r="J36" i="13" s="1"/>
  <c r="G35" i="13"/>
  <c r="J35" i="13" s="1"/>
  <c r="G34" i="13"/>
  <c r="H34" i="13" s="1"/>
  <c r="G33" i="13"/>
  <c r="H33" i="13" s="1"/>
  <c r="G32" i="13"/>
  <c r="H32" i="13" s="1"/>
  <c r="G31" i="13"/>
  <c r="J31" i="13" s="1"/>
  <c r="G30" i="13"/>
  <c r="H30" i="13" s="1"/>
  <c r="G29" i="13"/>
  <c r="J29" i="13" s="1"/>
  <c r="G28" i="13"/>
  <c r="J28" i="13" s="1"/>
  <c r="G27" i="13"/>
  <c r="J27" i="13" s="1"/>
  <c r="G26" i="13"/>
  <c r="H26" i="13" s="1"/>
  <c r="G25" i="13"/>
  <c r="H25" i="13" s="1"/>
  <c r="G24" i="13"/>
  <c r="J24" i="13" s="1"/>
  <c r="G23" i="13"/>
  <c r="J23" i="13" s="1"/>
  <c r="G22" i="13"/>
  <c r="G21" i="13"/>
  <c r="H21" i="13" s="1"/>
  <c r="G20" i="13"/>
  <c r="H20" i="13" s="1"/>
  <c r="G19" i="13"/>
  <c r="G18" i="13"/>
  <c r="J18" i="13" s="1"/>
  <c r="G17" i="13"/>
  <c r="G16" i="13"/>
  <c r="J16" i="13" s="1"/>
  <c r="G15" i="13"/>
  <c r="G14" i="13"/>
  <c r="J14" i="13" s="1"/>
  <c r="G13" i="13"/>
  <c r="H13" i="13" s="1"/>
  <c r="G12" i="13"/>
  <c r="H12" i="13" s="1"/>
  <c r="G11" i="13"/>
  <c r="G10" i="13"/>
  <c r="G9" i="13"/>
  <c r="H9" i="13" s="1"/>
  <c r="E61" i="12"/>
  <c r="D61" i="12"/>
  <c r="C61" i="12"/>
  <c r="E60" i="12"/>
  <c r="D60" i="12"/>
  <c r="C60" i="12"/>
  <c r="G56" i="12"/>
  <c r="H56" i="12" s="1"/>
  <c r="G55" i="12"/>
  <c r="H55" i="12" s="1"/>
  <c r="G54" i="12"/>
  <c r="H54" i="12" s="1"/>
  <c r="F49" i="12"/>
  <c r="E49" i="12"/>
  <c r="D49" i="12"/>
  <c r="C49" i="12"/>
  <c r="G33" i="12"/>
  <c r="H33" i="12" s="1"/>
  <c r="G32" i="12"/>
  <c r="H32" i="12" s="1"/>
  <c r="G31" i="12"/>
  <c r="J31" i="12" s="1"/>
  <c r="G30" i="12"/>
  <c r="J30" i="12" s="1"/>
  <c r="G29" i="12"/>
  <c r="G28" i="12"/>
  <c r="H28" i="12" s="1"/>
  <c r="G27" i="12"/>
  <c r="G26" i="12"/>
  <c r="J26" i="12" s="1"/>
  <c r="G25" i="12"/>
  <c r="J25" i="12" s="1"/>
  <c r="G24" i="12"/>
  <c r="H24" i="12" s="1"/>
  <c r="G23" i="12"/>
  <c r="J23" i="12" s="1"/>
  <c r="G22" i="12"/>
  <c r="H22" i="12" s="1"/>
  <c r="G21" i="12"/>
  <c r="G20" i="12"/>
  <c r="H20" i="12" s="1"/>
  <c r="G19" i="12"/>
  <c r="J19" i="12" s="1"/>
  <c r="G18" i="12"/>
  <c r="H18" i="12" s="1"/>
  <c r="G17" i="12"/>
  <c r="H17" i="12" s="1"/>
  <c r="G16" i="12"/>
  <c r="H16" i="12" s="1"/>
  <c r="G15" i="12"/>
  <c r="H15" i="12" s="1"/>
  <c r="G14" i="12"/>
  <c r="J14" i="12" s="1"/>
  <c r="G13" i="12"/>
  <c r="G12" i="12"/>
  <c r="H12" i="12" s="1"/>
  <c r="G11" i="12"/>
  <c r="G10" i="12"/>
  <c r="H10" i="12" s="1"/>
  <c r="G9" i="12"/>
  <c r="E61" i="11"/>
  <c r="D61" i="11"/>
  <c r="C61" i="11"/>
  <c r="E60" i="11"/>
  <c r="D60" i="11"/>
  <c r="C60" i="11"/>
  <c r="G56" i="11"/>
  <c r="H56" i="11" s="1"/>
  <c r="G55" i="11"/>
  <c r="H55" i="11" s="1"/>
  <c r="G54" i="11"/>
  <c r="H54" i="11" s="1"/>
  <c r="F49" i="11"/>
  <c r="E49" i="11"/>
  <c r="D49" i="11"/>
  <c r="C49" i="11"/>
  <c r="G34" i="11"/>
  <c r="G33" i="11"/>
  <c r="G32" i="11"/>
  <c r="H32" i="11" s="1"/>
  <c r="G31" i="11"/>
  <c r="J31" i="11" s="1"/>
  <c r="G30" i="11"/>
  <c r="J30" i="11" s="1"/>
  <c r="G29" i="11"/>
  <c r="G28" i="11"/>
  <c r="H28" i="11" s="1"/>
  <c r="G27" i="11"/>
  <c r="J27" i="11" s="1"/>
  <c r="G26" i="11"/>
  <c r="H26" i="11" s="1"/>
  <c r="G25" i="11"/>
  <c r="J25" i="11" s="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G15" i="11"/>
  <c r="H15" i="11" s="1"/>
  <c r="G14" i="11"/>
  <c r="G13" i="11"/>
  <c r="H13" i="11" s="1"/>
  <c r="G12" i="11"/>
  <c r="H12" i="11" s="1"/>
  <c r="G11" i="11"/>
  <c r="J11" i="11" s="1"/>
  <c r="G10" i="11"/>
  <c r="J10" i="11" s="1"/>
  <c r="G9" i="11"/>
  <c r="J9" i="11" s="1"/>
  <c r="E61" i="10"/>
  <c r="D61" i="10"/>
  <c r="C61" i="10"/>
  <c r="E60" i="10"/>
  <c r="D60" i="10"/>
  <c r="C60" i="10"/>
  <c r="G56" i="10"/>
  <c r="H56" i="10" s="1"/>
  <c r="G55" i="10"/>
  <c r="H55" i="10" s="1"/>
  <c r="G54" i="10"/>
  <c r="H54" i="10" s="1"/>
  <c r="F49" i="10"/>
  <c r="E49" i="10"/>
  <c r="D49" i="10"/>
  <c r="C49" i="10"/>
  <c r="G46" i="10"/>
  <c r="H46" i="10" s="1"/>
  <c r="G45" i="10"/>
  <c r="J45" i="10" s="1"/>
  <c r="G44" i="10"/>
  <c r="H44" i="10" s="1"/>
  <c r="G43" i="10"/>
  <c r="H43" i="10" s="1"/>
  <c r="G42" i="10"/>
  <c r="H42" i="10" s="1"/>
  <c r="G41" i="10"/>
  <c r="H41" i="10" s="1"/>
  <c r="G40" i="10"/>
  <c r="J40" i="10" s="1"/>
  <c r="G39" i="10"/>
  <c r="H39" i="10" s="1"/>
  <c r="G38" i="10"/>
  <c r="J38" i="10" s="1"/>
  <c r="G37" i="10"/>
  <c r="H37" i="10" s="1"/>
  <c r="G36" i="10"/>
  <c r="J36" i="10" s="1"/>
  <c r="G35" i="10"/>
  <c r="H35" i="10" s="1"/>
  <c r="G34" i="10"/>
  <c r="H34" i="10" s="1"/>
  <c r="G33" i="10"/>
  <c r="J33" i="10" s="1"/>
  <c r="G32" i="10"/>
  <c r="J32" i="10" s="1"/>
  <c r="G31" i="10"/>
  <c r="J31" i="10" s="1"/>
  <c r="G30" i="10"/>
  <c r="J30" i="10" s="1"/>
  <c r="G29" i="10"/>
  <c r="H29" i="10" s="1"/>
  <c r="G28" i="10"/>
  <c r="J28" i="10" s="1"/>
  <c r="G27" i="10"/>
  <c r="H27" i="10" s="1"/>
  <c r="G26" i="10"/>
  <c r="J26" i="10" s="1"/>
  <c r="G25" i="10"/>
  <c r="J25" i="10" s="1"/>
  <c r="G24" i="10"/>
  <c r="J24" i="10" s="1"/>
  <c r="G23" i="10"/>
  <c r="J23" i="10" s="1"/>
  <c r="G22" i="10"/>
  <c r="J22" i="10" s="1"/>
  <c r="G21" i="10"/>
  <c r="H21" i="10" s="1"/>
  <c r="G20" i="10"/>
  <c r="G19" i="10"/>
  <c r="G18" i="10"/>
  <c r="J18" i="10" s="1"/>
  <c r="G17" i="10"/>
  <c r="G16" i="10"/>
  <c r="J16" i="10" s="1"/>
  <c r="G15" i="10"/>
  <c r="G14" i="10"/>
  <c r="J14" i="10" s="1"/>
  <c r="G13" i="10"/>
  <c r="G12" i="10"/>
  <c r="H12" i="10" s="1"/>
  <c r="G11" i="10"/>
  <c r="G10" i="10"/>
  <c r="H10" i="10" s="1"/>
  <c r="G9" i="10"/>
  <c r="J9" i="10" s="1"/>
  <c r="E61" i="9"/>
  <c r="D61" i="9"/>
  <c r="C61" i="9"/>
  <c r="E60" i="9"/>
  <c r="D60" i="9"/>
  <c r="C60" i="9"/>
  <c r="G56" i="9"/>
  <c r="H56" i="9" s="1"/>
  <c r="G55" i="9"/>
  <c r="H55" i="9" s="1"/>
  <c r="G54" i="9"/>
  <c r="H54" i="9" s="1"/>
  <c r="F49" i="9"/>
  <c r="E49" i="9"/>
  <c r="D49" i="9"/>
  <c r="C49" i="9"/>
  <c r="G35" i="9"/>
  <c r="J35" i="9" s="1"/>
  <c r="G34" i="9"/>
  <c r="J34" i="9" s="1"/>
  <c r="G33" i="9"/>
  <c r="J33" i="9" s="1"/>
  <c r="G32" i="9"/>
  <c r="G31" i="9"/>
  <c r="H31" i="9" s="1"/>
  <c r="G30" i="9"/>
  <c r="J30" i="9" s="1"/>
  <c r="G29" i="9"/>
  <c r="J29" i="9" s="1"/>
  <c r="G28" i="9"/>
  <c r="J28" i="9" s="1"/>
  <c r="G27" i="9"/>
  <c r="J27" i="9" s="1"/>
  <c r="G26" i="9"/>
  <c r="J26" i="9" s="1"/>
  <c r="G25" i="9"/>
  <c r="J25" i="9" s="1"/>
  <c r="G24" i="9"/>
  <c r="J24" i="9" s="1"/>
  <c r="G23" i="9"/>
  <c r="H23" i="9" s="1"/>
  <c r="G22" i="9"/>
  <c r="J22" i="9" s="1"/>
  <c r="G21" i="9"/>
  <c r="J21" i="9" s="1"/>
  <c r="G20" i="9"/>
  <c r="J20" i="9" s="1"/>
  <c r="G19" i="9"/>
  <c r="J19" i="9" s="1"/>
  <c r="G18" i="9"/>
  <c r="G17" i="9"/>
  <c r="H17" i="9" s="1"/>
  <c r="G16" i="9"/>
  <c r="H16" i="9" s="1"/>
  <c r="G15" i="9"/>
  <c r="G14" i="9"/>
  <c r="H14" i="9" s="1"/>
  <c r="G13" i="9"/>
  <c r="G12" i="9"/>
  <c r="H12" i="9" s="1"/>
  <c r="G11" i="9"/>
  <c r="H11" i="9" s="1"/>
  <c r="G10" i="9"/>
  <c r="J10" i="9" s="1"/>
  <c r="G9" i="9"/>
  <c r="E61" i="8"/>
  <c r="D61" i="8"/>
  <c r="C61" i="8"/>
  <c r="E60" i="8"/>
  <c r="D60" i="8"/>
  <c r="C60" i="8"/>
  <c r="G56" i="8"/>
  <c r="H56" i="8" s="1"/>
  <c r="G55" i="8"/>
  <c r="H55" i="8" s="1"/>
  <c r="G54" i="8"/>
  <c r="H54" i="8" s="1"/>
  <c r="F49" i="8"/>
  <c r="E49" i="8"/>
  <c r="D49" i="8"/>
  <c r="C49" i="8"/>
  <c r="G40" i="8"/>
  <c r="H40" i="8" s="1"/>
  <c r="G39" i="8"/>
  <c r="G38" i="8"/>
  <c r="G37" i="8"/>
  <c r="J37" i="8" s="1"/>
  <c r="G36" i="8"/>
  <c r="G35" i="8"/>
  <c r="J35" i="8" s="1"/>
  <c r="G34" i="8"/>
  <c r="G33" i="8"/>
  <c r="J33" i="8" s="1"/>
  <c r="G32" i="8"/>
  <c r="G31" i="8"/>
  <c r="J31" i="8" s="1"/>
  <c r="G30" i="8"/>
  <c r="G29" i="8"/>
  <c r="J29" i="8" s="1"/>
  <c r="G28" i="8"/>
  <c r="G27" i="8"/>
  <c r="J27" i="8" s="1"/>
  <c r="G26" i="8"/>
  <c r="G25" i="8"/>
  <c r="J25" i="8" s="1"/>
  <c r="G24" i="8"/>
  <c r="G23" i="8"/>
  <c r="J23" i="8" s="1"/>
  <c r="G22" i="8"/>
  <c r="G21" i="8"/>
  <c r="J21" i="8" s="1"/>
  <c r="G20" i="8"/>
  <c r="G19" i="8"/>
  <c r="J19" i="8" s="1"/>
  <c r="G18" i="8"/>
  <c r="G17" i="8"/>
  <c r="J17" i="8" s="1"/>
  <c r="G16" i="8"/>
  <c r="G15" i="8"/>
  <c r="J15" i="8" s="1"/>
  <c r="G14" i="8"/>
  <c r="G13" i="8"/>
  <c r="J13" i="8" s="1"/>
  <c r="G12" i="8"/>
  <c r="G11" i="8"/>
  <c r="J11" i="8" s="1"/>
  <c r="G10" i="8"/>
  <c r="G9" i="8"/>
  <c r="J9" i="8" s="1"/>
  <c r="E61" i="7"/>
  <c r="D61" i="7"/>
  <c r="C61" i="7"/>
  <c r="E60" i="7"/>
  <c r="D60" i="7"/>
  <c r="C60" i="7"/>
  <c r="G56" i="7"/>
  <c r="H56" i="7" s="1"/>
  <c r="G55" i="7"/>
  <c r="H55" i="7" s="1"/>
  <c r="G54" i="7"/>
  <c r="H54" i="7" s="1"/>
  <c r="F49" i="7"/>
  <c r="E49" i="7"/>
  <c r="D49" i="7"/>
  <c r="C49" i="7"/>
  <c r="G41" i="7"/>
  <c r="H41" i="7" s="1"/>
  <c r="G40" i="7"/>
  <c r="G39" i="7"/>
  <c r="H39" i="7" s="1"/>
  <c r="G38" i="7"/>
  <c r="J38" i="7" s="1"/>
  <c r="G37" i="7"/>
  <c r="J37" i="7" s="1"/>
  <c r="G36" i="7"/>
  <c r="H36" i="7" s="1"/>
  <c r="G35" i="7"/>
  <c r="H35" i="7" s="1"/>
  <c r="G34" i="7"/>
  <c r="H34" i="7" s="1"/>
  <c r="G33" i="7"/>
  <c r="J33" i="7" s="1"/>
  <c r="G32" i="7"/>
  <c r="H32" i="7" s="1"/>
  <c r="G31" i="7"/>
  <c r="J31" i="7" s="1"/>
  <c r="G30" i="7"/>
  <c r="J30" i="7" s="1"/>
  <c r="G29" i="7"/>
  <c r="J29" i="7" s="1"/>
  <c r="G28" i="7"/>
  <c r="H28" i="7" s="1"/>
  <c r="G27" i="7"/>
  <c r="H27" i="7" s="1"/>
  <c r="G26" i="7"/>
  <c r="H26" i="7" s="1"/>
  <c r="G25" i="7"/>
  <c r="J25" i="7" s="1"/>
  <c r="G24" i="7"/>
  <c r="H24" i="7" s="1"/>
  <c r="G23" i="7"/>
  <c r="G22" i="7"/>
  <c r="G21" i="7"/>
  <c r="J21" i="7" s="1"/>
  <c r="G20" i="7"/>
  <c r="H20" i="7" s="1"/>
  <c r="G19" i="7"/>
  <c r="H19" i="7" s="1"/>
  <c r="G18" i="7"/>
  <c r="H18" i="7" s="1"/>
  <c r="G17" i="7"/>
  <c r="J17" i="7" s="1"/>
  <c r="G16" i="7"/>
  <c r="J16" i="7" s="1"/>
  <c r="G15" i="7"/>
  <c r="J15" i="7" s="1"/>
  <c r="G14" i="7"/>
  <c r="J14" i="7" s="1"/>
  <c r="G13" i="7"/>
  <c r="H13" i="7" s="1"/>
  <c r="G12" i="7"/>
  <c r="H12" i="7" s="1"/>
  <c r="G11" i="7"/>
  <c r="J11" i="7" s="1"/>
  <c r="G10" i="7"/>
  <c r="H10" i="7" s="1"/>
  <c r="G9" i="7"/>
  <c r="J9" i="7" s="1"/>
  <c r="E61" i="6"/>
  <c r="D61" i="6"/>
  <c r="C61" i="6"/>
  <c r="E60" i="6"/>
  <c r="D60" i="6"/>
  <c r="C60" i="6"/>
  <c r="G56" i="6"/>
  <c r="H56" i="6" s="1"/>
  <c r="G55" i="6"/>
  <c r="H55" i="6" s="1"/>
  <c r="G54" i="6"/>
  <c r="H54" i="6" s="1"/>
  <c r="F49" i="6"/>
  <c r="E49" i="6"/>
  <c r="D49" i="6"/>
  <c r="C49" i="6"/>
  <c r="G40" i="6"/>
  <c r="G39" i="6"/>
  <c r="H39" i="6" s="1"/>
  <c r="G38" i="6"/>
  <c r="J38" i="6" s="1"/>
  <c r="G37" i="6"/>
  <c r="H37" i="6" s="1"/>
  <c r="G36" i="6"/>
  <c r="J36" i="6" s="1"/>
  <c r="G35" i="6"/>
  <c r="H35" i="6" s="1"/>
  <c r="G34" i="6"/>
  <c r="H34" i="6" s="1"/>
  <c r="G33" i="6"/>
  <c r="J33" i="6" s="1"/>
  <c r="G32" i="6"/>
  <c r="J32" i="6" s="1"/>
  <c r="G31" i="6"/>
  <c r="H31" i="6" s="1"/>
  <c r="G30" i="6"/>
  <c r="J30" i="6" s="1"/>
  <c r="G29" i="6"/>
  <c r="H29" i="6" s="1"/>
  <c r="G28" i="6"/>
  <c r="J28" i="6" s="1"/>
  <c r="G27" i="6"/>
  <c r="H27" i="6" s="1"/>
  <c r="G26" i="6"/>
  <c r="J26" i="6" s="1"/>
  <c r="G25" i="6"/>
  <c r="J25" i="6" s="1"/>
  <c r="G24" i="6"/>
  <c r="H24" i="6" s="1"/>
  <c r="G23" i="6"/>
  <c r="H23" i="6" s="1"/>
  <c r="G22" i="6"/>
  <c r="G21" i="6"/>
  <c r="H21" i="6" s="1"/>
  <c r="G20" i="6"/>
  <c r="H20" i="6" s="1"/>
  <c r="G19" i="6"/>
  <c r="G18" i="6"/>
  <c r="H18" i="6" s="1"/>
  <c r="G17" i="6"/>
  <c r="G16" i="6"/>
  <c r="H16" i="6" s="1"/>
  <c r="G15" i="6"/>
  <c r="H15" i="6" s="1"/>
  <c r="G14" i="6"/>
  <c r="J14" i="6" s="1"/>
  <c r="G13" i="6"/>
  <c r="H13" i="6" s="1"/>
  <c r="G12" i="6"/>
  <c r="J12" i="6" s="1"/>
  <c r="G11" i="6"/>
  <c r="H11" i="6" s="1"/>
  <c r="G10" i="6"/>
  <c r="J10" i="6" s="1"/>
  <c r="G9" i="6"/>
  <c r="H9" i="6" s="1"/>
  <c r="E61" i="5"/>
  <c r="D61" i="5"/>
  <c r="C61" i="5"/>
  <c r="E60" i="5"/>
  <c r="D60" i="5"/>
  <c r="C60" i="5"/>
  <c r="G56" i="5"/>
  <c r="H56" i="5" s="1"/>
  <c r="G55" i="5"/>
  <c r="H55" i="5" s="1"/>
  <c r="G54" i="5"/>
  <c r="H54" i="5" s="1"/>
  <c r="F49" i="5"/>
  <c r="E49" i="5"/>
  <c r="D49" i="5"/>
  <c r="C49" i="5"/>
  <c r="G46" i="5"/>
  <c r="J46" i="5" s="1"/>
  <c r="G45" i="5"/>
  <c r="J45" i="5" s="1"/>
  <c r="G44" i="5"/>
  <c r="J44" i="5" s="1"/>
  <c r="G43" i="5"/>
  <c r="G42" i="5"/>
  <c r="H42" i="5" s="1"/>
  <c r="G41" i="5"/>
  <c r="J41" i="5" s="1"/>
  <c r="G40" i="5"/>
  <c r="H40" i="5" s="1"/>
  <c r="G39" i="5"/>
  <c r="J39" i="5" s="1"/>
  <c r="G38" i="5"/>
  <c r="H38" i="5" s="1"/>
  <c r="G37" i="5"/>
  <c r="J37" i="5" s="1"/>
  <c r="G36" i="5"/>
  <c r="J36" i="5" s="1"/>
  <c r="G35" i="5"/>
  <c r="J35" i="5" s="1"/>
  <c r="G34" i="5"/>
  <c r="J34" i="5" s="1"/>
  <c r="G33" i="5"/>
  <c r="J33" i="5" s="1"/>
  <c r="G32" i="5"/>
  <c r="H32" i="5" s="1"/>
  <c r="G31" i="5"/>
  <c r="J31" i="5" s="1"/>
  <c r="G30" i="5"/>
  <c r="H30" i="5" s="1"/>
  <c r="G29" i="5"/>
  <c r="J29" i="5" s="1"/>
  <c r="G28" i="5"/>
  <c r="J28" i="5" s="1"/>
  <c r="G27" i="5"/>
  <c r="J27" i="5" s="1"/>
  <c r="G26" i="5"/>
  <c r="J26" i="5" s="1"/>
  <c r="G25" i="5"/>
  <c r="J25" i="5" s="1"/>
  <c r="G24" i="5"/>
  <c r="H24" i="5" s="1"/>
  <c r="G23" i="5"/>
  <c r="J23" i="5" s="1"/>
  <c r="G22" i="5"/>
  <c r="H22" i="5" s="1"/>
  <c r="G21" i="5"/>
  <c r="J21" i="5" s="1"/>
  <c r="G20" i="5"/>
  <c r="H20" i="5" s="1"/>
  <c r="G19" i="5"/>
  <c r="J19" i="5" s="1"/>
  <c r="G18" i="5"/>
  <c r="G17" i="5"/>
  <c r="J17" i="5" s="1"/>
  <c r="G16" i="5"/>
  <c r="G15" i="5"/>
  <c r="J15" i="5" s="1"/>
  <c r="G14" i="5"/>
  <c r="G13" i="5"/>
  <c r="H13" i="5" s="1"/>
  <c r="G12" i="5"/>
  <c r="J12" i="5" s="1"/>
  <c r="G11" i="5"/>
  <c r="H11" i="5" s="1"/>
  <c r="G10" i="5"/>
  <c r="H10" i="5" s="1"/>
  <c r="G9" i="5"/>
  <c r="J9" i="5" s="1"/>
  <c r="E61" i="4"/>
  <c r="D61" i="4"/>
  <c r="C61" i="4"/>
  <c r="E60" i="4"/>
  <c r="D60" i="4"/>
  <c r="C60" i="4"/>
  <c r="G56" i="4"/>
  <c r="H56" i="4" s="1"/>
  <c r="G55" i="4"/>
  <c r="H55" i="4" s="1"/>
  <c r="G54" i="4"/>
  <c r="H54" i="4" s="1"/>
  <c r="F49" i="4"/>
  <c r="E49" i="4"/>
  <c r="D49" i="4"/>
  <c r="C49" i="4"/>
  <c r="G45" i="4"/>
  <c r="J45" i="4" s="1"/>
  <c r="G44" i="4"/>
  <c r="J44" i="4" s="1"/>
  <c r="G43" i="4"/>
  <c r="J43" i="4" s="1"/>
  <c r="G42" i="4"/>
  <c r="H42" i="4" s="1"/>
  <c r="G41" i="4"/>
  <c r="H41" i="4" s="1"/>
  <c r="G40" i="4"/>
  <c r="H40" i="4" s="1"/>
  <c r="G39" i="4"/>
  <c r="H39" i="4" s="1"/>
  <c r="G38" i="4"/>
  <c r="J38" i="4" s="1"/>
  <c r="G37" i="4"/>
  <c r="H37" i="4" s="1"/>
  <c r="G36" i="4"/>
  <c r="H36" i="4" s="1"/>
  <c r="G35" i="4"/>
  <c r="H35" i="4" s="1"/>
  <c r="G34" i="4"/>
  <c r="J34" i="4" s="1"/>
  <c r="G33" i="4"/>
  <c r="J33" i="4" s="1"/>
  <c r="G32" i="4"/>
  <c r="J32" i="4" s="1"/>
  <c r="G31" i="4"/>
  <c r="H31" i="4" s="1"/>
  <c r="G30" i="4"/>
  <c r="G29" i="4"/>
  <c r="H29" i="4" s="1"/>
  <c r="G28" i="4"/>
  <c r="G27" i="4"/>
  <c r="H27" i="4" s="1"/>
  <c r="G26" i="4"/>
  <c r="G25" i="4"/>
  <c r="H25" i="4" s="1"/>
  <c r="G24" i="4"/>
  <c r="G23" i="4"/>
  <c r="H23" i="4" s="1"/>
  <c r="G22" i="4"/>
  <c r="G21" i="4"/>
  <c r="H21" i="4" s="1"/>
  <c r="G20" i="4"/>
  <c r="G19" i="4"/>
  <c r="H19" i="4" s="1"/>
  <c r="G18" i="4"/>
  <c r="G17" i="4"/>
  <c r="G16" i="4"/>
  <c r="G15" i="4"/>
  <c r="G14" i="4"/>
  <c r="G13" i="4"/>
  <c r="G12" i="4"/>
  <c r="H12" i="4" s="1"/>
  <c r="G11" i="4"/>
  <c r="H11" i="4" s="1"/>
  <c r="G10" i="4"/>
  <c r="G9" i="4"/>
  <c r="H9" i="4" s="1"/>
  <c r="E61" i="3"/>
  <c r="D61" i="3"/>
  <c r="C61" i="3"/>
  <c r="E60" i="3"/>
  <c r="D60" i="3"/>
  <c r="C60" i="3"/>
  <c r="G56" i="3"/>
  <c r="H56" i="3" s="1"/>
  <c r="G55" i="3"/>
  <c r="H55" i="3" s="1"/>
  <c r="G54" i="3"/>
  <c r="H54" i="3" s="1"/>
  <c r="F49" i="3"/>
  <c r="E49" i="3"/>
  <c r="D49" i="3"/>
  <c r="C49" i="3"/>
  <c r="G42" i="3"/>
  <c r="H42" i="3" s="1"/>
  <c r="G41" i="3"/>
  <c r="G40" i="3"/>
  <c r="G39" i="3"/>
  <c r="H39" i="3" s="1"/>
  <c r="G38" i="3"/>
  <c r="H38" i="3" s="1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H14" i="3" s="1"/>
  <c r="G13" i="3"/>
  <c r="J13" i="3" s="1"/>
  <c r="G12" i="3"/>
  <c r="H12" i="3" s="1"/>
  <c r="G11" i="3"/>
  <c r="H11" i="3" s="1"/>
  <c r="G10" i="3"/>
  <c r="H10" i="3" s="1"/>
  <c r="G9" i="3"/>
  <c r="H9" i="3" s="1"/>
  <c r="E61" i="1"/>
  <c r="D61" i="1"/>
  <c r="C61" i="1"/>
  <c r="E60" i="1"/>
  <c r="D60" i="1"/>
  <c r="C60" i="1"/>
  <c r="G56" i="1"/>
  <c r="H56" i="1" s="1"/>
  <c r="G55" i="1"/>
  <c r="H55" i="1" s="1"/>
  <c r="G54" i="1"/>
  <c r="H54" i="1" s="1"/>
  <c r="F49" i="1"/>
  <c r="E49" i="1"/>
  <c r="D49" i="1"/>
  <c r="C49" i="1"/>
  <c r="G37" i="1"/>
  <c r="H37" i="1" s="1"/>
  <c r="G36" i="1"/>
  <c r="H36" i="1" s="1"/>
  <c r="G35" i="1"/>
  <c r="J35" i="1" s="1"/>
  <c r="G34" i="1"/>
  <c r="G33" i="1"/>
  <c r="H33" i="1" s="1"/>
  <c r="G32" i="1"/>
  <c r="J32" i="1" s="1"/>
  <c r="G31" i="1"/>
  <c r="H31" i="1" s="1"/>
  <c r="G30" i="1"/>
  <c r="G29" i="1"/>
  <c r="H29" i="1" s="1"/>
  <c r="G28" i="1"/>
  <c r="J28" i="1" s="1"/>
  <c r="G27" i="1"/>
  <c r="H27" i="1" s="1"/>
  <c r="G26" i="1"/>
  <c r="J26" i="1" s="1"/>
  <c r="G25" i="1"/>
  <c r="H25" i="1" s="1"/>
  <c r="G24" i="1"/>
  <c r="H24" i="1" s="1"/>
  <c r="G23" i="1"/>
  <c r="H23" i="1" s="1"/>
  <c r="G22" i="1"/>
  <c r="J22" i="1" s="1"/>
  <c r="G21" i="1"/>
  <c r="H21" i="1" s="1"/>
  <c r="G20" i="1"/>
  <c r="G19" i="1"/>
  <c r="G18" i="1"/>
  <c r="J18" i="1" s="1"/>
  <c r="G17" i="1"/>
  <c r="G16" i="1"/>
  <c r="J16" i="1" s="1"/>
  <c r="G15" i="1"/>
  <c r="G14" i="1"/>
  <c r="H14" i="1" s="1"/>
  <c r="G13" i="1"/>
  <c r="J13" i="1" s="1"/>
  <c r="G12" i="1"/>
  <c r="H12" i="1" s="1"/>
  <c r="G11" i="1"/>
  <c r="G10" i="1"/>
  <c r="H10" i="1" s="1"/>
  <c r="G9" i="1"/>
  <c r="J20" i="82" l="1"/>
  <c r="H24" i="82"/>
  <c r="H18" i="82"/>
  <c r="H22" i="82"/>
  <c r="H16" i="82"/>
  <c r="H17" i="82"/>
  <c r="H10" i="82"/>
  <c r="H12" i="82"/>
  <c r="H14" i="82"/>
  <c r="H29" i="82"/>
  <c r="H31" i="82"/>
  <c r="J10" i="82"/>
  <c r="J14" i="82"/>
  <c r="H27" i="82"/>
  <c r="J29" i="82"/>
  <c r="H19" i="82"/>
  <c r="H21" i="82"/>
  <c r="H23" i="82"/>
  <c r="H25" i="82"/>
  <c r="H32" i="82"/>
  <c r="G49" i="82"/>
  <c r="I14" i="82" s="1"/>
  <c r="H9" i="82"/>
  <c r="H11" i="82"/>
  <c r="H13" i="82"/>
  <c r="H15" i="82"/>
  <c r="H30" i="82"/>
  <c r="H28" i="82"/>
  <c r="H12" i="5"/>
  <c r="J29" i="64"/>
  <c r="J26" i="13"/>
  <c r="H25" i="27"/>
  <c r="H28" i="13"/>
  <c r="H17" i="47"/>
  <c r="H13" i="27"/>
  <c r="J21" i="34"/>
  <c r="J30" i="63"/>
  <c r="J25" i="47"/>
  <c r="J34" i="13"/>
  <c r="H9" i="27"/>
  <c r="H21" i="27"/>
  <c r="H13" i="47"/>
  <c r="H29" i="13"/>
  <c r="H17" i="27"/>
  <c r="H29" i="27"/>
  <c r="J35" i="47"/>
  <c r="J25" i="13"/>
  <c r="J29" i="46"/>
  <c r="H34" i="73"/>
  <c r="J18" i="76"/>
  <c r="H9" i="10"/>
  <c r="J39" i="10"/>
  <c r="H44" i="32"/>
  <c r="H48" i="13"/>
  <c r="J20" i="42"/>
  <c r="H46" i="47"/>
  <c r="H33" i="38"/>
  <c r="J36" i="44"/>
  <c r="H29" i="47"/>
  <c r="J27" i="10"/>
  <c r="H36" i="13"/>
  <c r="J16" i="76"/>
  <c r="H37" i="27"/>
  <c r="H45" i="48"/>
  <c r="J40" i="5"/>
  <c r="H22" i="10"/>
  <c r="H30" i="31"/>
  <c r="J29" i="38"/>
  <c r="J33" i="13"/>
  <c r="H37" i="13"/>
  <c r="J21" i="47"/>
  <c r="J42" i="13"/>
  <c r="H33" i="27"/>
  <c r="H41" i="5"/>
  <c r="H24" i="13"/>
  <c r="H40" i="13"/>
  <c r="H31" i="5"/>
  <c r="J30" i="13"/>
  <c r="J38" i="13"/>
  <c r="H11" i="27"/>
  <c r="H15" i="27"/>
  <c r="H23" i="27"/>
  <c r="H27" i="27"/>
  <c r="H31" i="27"/>
  <c r="H35" i="27"/>
  <c r="J43" i="27"/>
  <c r="H48" i="27"/>
  <c r="J13" i="44"/>
  <c r="J39" i="47"/>
  <c r="J48" i="47"/>
  <c r="H25" i="62"/>
  <c r="H33" i="63"/>
  <c r="J37" i="6"/>
  <c r="H23" i="10"/>
  <c r="J34" i="10"/>
  <c r="H23" i="13"/>
  <c r="H31" i="13"/>
  <c r="H39" i="13"/>
  <c r="H41" i="27"/>
  <c r="J44" i="27"/>
  <c r="H12" i="33"/>
  <c r="H18" i="33"/>
  <c r="H24" i="33"/>
  <c r="H15" i="41"/>
  <c r="H31" i="42"/>
  <c r="H33" i="47"/>
  <c r="H37" i="47"/>
  <c r="J12" i="58"/>
  <c r="J15" i="73"/>
  <c r="H30" i="73"/>
  <c r="H16" i="21"/>
  <c r="J23" i="21"/>
  <c r="H38" i="73"/>
  <c r="J42" i="27"/>
  <c r="J17" i="44"/>
  <c r="H46" i="44"/>
  <c r="H15" i="47"/>
  <c r="H23" i="47"/>
  <c r="H27" i="47"/>
  <c r="H35" i="5"/>
  <c r="H32" i="4"/>
  <c r="J22" i="5"/>
  <c r="H31" i="10"/>
  <c r="J37" i="10"/>
  <c r="H27" i="13"/>
  <c r="J32" i="13"/>
  <c r="H35" i="13"/>
  <c r="H43" i="13"/>
  <c r="H31" i="47"/>
  <c r="J12" i="76"/>
  <c r="J21" i="10"/>
  <c r="H24" i="10"/>
  <c r="H9" i="5"/>
  <c r="H16" i="33"/>
  <c r="H22" i="33"/>
  <c r="H29" i="42"/>
  <c r="H12" i="46"/>
  <c r="H22" i="80"/>
  <c r="J26" i="80"/>
  <c r="H16" i="80"/>
  <c r="H20" i="80"/>
  <c r="H23" i="80"/>
  <c r="H18" i="80"/>
  <c r="H21" i="80"/>
  <c r="H25" i="80"/>
  <c r="H19" i="80"/>
  <c r="H13" i="80"/>
  <c r="J30" i="80"/>
  <c r="H14" i="80"/>
  <c r="H17" i="80"/>
  <c r="J24" i="80"/>
  <c r="H15" i="80"/>
  <c r="H29" i="80"/>
  <c r="J33" i="79"/>
  <c r="H16" i="79"/>
  <c r="H40" i="79"/>
  <c r="J29" i="79"/>
  <c r="J13" i="79"/>
  <c r="J25" i="79"/>
  <c r="J21" i="79"/>
  <c r="H14" i="79"/>
  <c r="H19" i="79"/>
  <c r="H23" i="79"/>
  <c r="H27" i="79"/>
  <c r="H31" i="79"/>
  <c r="H35" i="79"/>
  <c r="H39" i="79"/>
  <c r="J15" i="79"/>
  <c r="H11" i="78"/>
  <c r="H19" i="78"/>
  <c r="H26" i="78"/>
  <c r="H21" i="78"/>
  <c r="J16" i="78"/>
  <c r="J31" i="78"/>
  <c r="H13" i="78"/>
  <c r="H28" i="78"/>
  <c r="H15" i="78"/>
  <c r="J20" i="78"/>
  <c r="J29" i="78"/>
  <c r="G49" i="78"/>
  <c r="C50" i="78" s="1"/>
  <c r="J18" i="78"/>
  <c r="J22" i="78"/>
  <c r="J25" i="78"/>
  <c r="H24" i="78"/>
  <c r="J27" i="78"/>
  <c r="H17" i="78"/>
  <c r="H16" i="77"/>
  <c r="H14" i="77"/>
  <c r="H28" i="77"/>
  <c r="J33" i="77"/>
  <c r="G49" i="77"/>
  <c r="I20" i="77" s="1"/>
  <c r="H30" i="77"/>
  <c r="H12" i="77"/>
  <c r="H32" i="77"/>
  <c r="J18" i="77"/>
  <c r="J11" i="77"/>
  <c r="J15" i="77"/>
  <c r="J19" i="77"/>
  <c r="J31" i="77"/>
  <c r="J17" i="77"/>
  <c r="J9" i="77"/>
  <c r="H22" i="77"/>
  <c r="J25" i="77"/>
  <c r="H35" i="77"/>
  <c r="H10" i="77"/>
  <c r="J13" i="77"/>
  <c r="H26" i="77"/>
  <c r="J29" i="77"/>
  <c r="H20" i="77"/>
  <c r="J23" i="77"/>
  <c r="H24" i="77"/>
  <c r="J27" i="77"/>
  <c r="J21" i="77"/>
  <c r="H39" i="76"/>
  <c r="J14" i="76"/>
  <c r="H41" i="76"/>
  <c r="H43" i="76"/>
  <c r="H37" i="76"/>
  <c r="J22" i="75"/>
  <c r="J12" i="75"/>
  <c r="J26" i="75"/>
  <c r="H23" i="75"/>
  <c r="J11" i="75"/>
  <c r="H15" i="75"/>
  <c r="H19" i="75"/>
  <c r="J25" i="75"/>
  <c r="H9" i="75"/>
  <c r="J20" i="75"/>
  <c r="H13" i="75"/>
  <c r="H17" i="75"/>
  <c r="H27" i="75"/>
  <c r="H21" i="75"/>
  <c r="J24" i="75"/>
  <c r="H33" i="75"/>
  <c r="H18" i="74"/>
  <c r="H18" i="73"/>
  <c r="H26" i="73"/>
  <c r="H20" i="73"/>
  <c r="H22" i="73"/>
  <c r="H40" i="73"/>
  <c r="H28" i="73"/>
  <c r="H32" i="73"/>
  <c r="H36" i="73"/>
  <c r="H16" i="73"/>
  <c r="H14" i="73"/>
  <c r="J17" i="73"/>
  <c r="J42" i="73"/>
  <c r="J26" i="72"/>
  <c r="J34" i="72"/>
  <c r="H14" i="72"/>
  <c r="J30" i="72"/>
  <c r="J38" i="72"/>
  <c r="H45" i="72"/>
  <c r="J22" i="72"/>
  <c r="H16" i="72"/>
  <c r="J13" i="72"/>
  <c r="H17" i="72"/>
  <c r="H20" i="72"/>
  <c r="H24" i="72"/>
  <c r="H28" i="72"/>
  <c r="H32" i="72"/>
  <c r="H36" i="72"/>
  <c r="H40" i="72"/>
  <c r="H15" i="72"/>
  <c r="H18" i="72"/>
  <c r="J24" i="71"/>
  <c r="H11" i="71"/>
  <c r="J16" i="71"/>
  <c r="H13" i="71"/>
  <c r="H27" i="71"/>
  <c r="H15" i="71"/>
  <c r="H19" i="71"/>
  <c r="H23" i="71"/>
  <c r="J28" i="71"/>
  <c r="J20" i="71"/>
  <c r="J12" i="71"/>
  <c r="H21" i="71"/>
  <c r="G49" i="71"/>
  <c r="D50" i="71" s="1"/>
  <c r="H14" i="71"/>
  <c r="H22" i="71"/>
  <c r="H30" i="71"/>
  <c r="H9" i="71"/>
  <c r="H17" i="71"/>
  <c r="H25" i="71"/>
  <c r="J33" i="71"/>
  <c r="J9" i="71"/>
  <c r="H31" i="71"/>
  <c r="H10" i="71"/>
  <c r="H18" i="71"/>
  <c r="H26" i="71"/>
  <c r="H29" i="71"/>
  <c r="H16" i="70"/>
  <c r="J15" i="70"/>
  <c r="H17" i="70"/>
  <c r="J14" i="70"/>
  <c r="H19" i="70"/>
  <c r="J22" i="70"/>
  <c r="H25" i="70"/>
  <c r="H9" i="70"/>
  <c r="H23" i="70"/>
  <c r="H11" i="70"/>
  <c r="H24" i="70"/>
  <c r="H28" i="70"/>
  <c r="H12" i="70"/>
  <c r="H20" i="70"/>
  <c r="H10" i="70"/>
  <c r="H18" i="70"/>
  <c r="H26" i="70"/>
  <c r="H13" i="70"/>
  <c r="H21" i="70"/>
  <c r="J32" i="70"/>
  <c r="H36" i="69"/>
  <c r="H21" i="69"/>
  <c r="H32" i="69"/>
  <c r="H34" i="69"/>
  <c r="H42" i="69"/>
  <c r="H38" i="69"/>
  <c r="H25" i="69"/>
  <c r="H23" i="69"/>
  <c r="J27" i="69"/>
  <c r="J29" i="69"/>
  <c r="H40" i="69"/>
  <c r="H12" i="69"/>
  <c r="H17" i="69"/>
  <c r="J30" i="68"/>
  <c r="H12" i="68"/>
  <c r="H24" i="68"/>
  <c r="H20" i="68"/>
  <c r="H16" i="68"/>
  <c r="H10" i="68"/>
  <c r="H14" i="68"/>
  <c r="H18" i="68"/>
  <c r="H22" i="68"/>
  <c r="J25" i="67"/>
  <c r="J21" i="67"/>
  <c r="H33" i="67"/>
  <c r="H22" i="67"/>
  <c r="H19" i="67"/>
  <c r="H37" i="67"/>
  <c r="H27" i="67"/>
  <c r="H31" i="67"/>
  <c r="H35" i="67"/>
  <c r="H43" i="67"/>
  <c r="H17" i="67"/>
  <c r="H20" i="67"/>
  <c r="H44" i="67"/>
  <c r="H18" i="67"/>
  <c r="H42" i="67"/>
  <c r="H10" i="66"/>
  <c r="H17" i="66"/>
  <c r="H14" i="66"/>
  <c r="H11" i="66"/>
  <c r="H12" i="66"/>
  <c r="J34" i="65"/>
  <c r="H39" i="65"/>
  <c r="J26" i="65"/>
  <c r="H23" i="65"/>
  <c r="H31" i="65"/>
  <c r="H35" i="65"/>
  <c r="H14" i="65"/>
  <c r="J32" i="65"/>
  <c r="J36" i="65"/>
  <c r="H21" i="65"/>
  <c r="H29" i="65"/>
  <c r="H33" i="65"/>
  <c r="J30" i="65"/>
  <c r="J11" i="64"/>
  <c r="H35" i="64"/>
  <c r="J31" i="64"/>
  <c r="H26" i="64"/>
  <c r="H19" i="64"/>
  <c r="J23" i="64"/>
  <c r="H22" i="64"/>
  <c r="H15" i="64"/>
  <c r="H24" i="64"/>
  <c r="H33" i="64"/>
  <c r="J25" i="64"/>
  <c r="H18" i="63"/>
  <c r="H24" i="63"/>
  <c r="H14" i="63"/>
  <c r="J40" i="63"/>
  <c r="J21" i="63"/>
  <c r="H27" i="63"/>
  <c r="J36" i="63"/>
  <c r="H38" i="63"/>
  <c r="J23" i="63"/>
  <c r="J34" i="63"/>
  <c r="H28" i="63"/>
  <c r="H32" i="63"/>
  <c r="H43" i="63"/>
  <c r="H16" i="63"/>
  <c r="J44" i="63"/>
  <c r="H45" i="63"/>
  <c r="H17" i="62"/>
  <c r="J23" i="62"/>
  <c r="H21" i="62"/>
  <c r="J30" i="62"/>
  <c r="J27" i="62"/>
  <c r="H40" i="62"/>
  <c r="J19" i="62"/>
  <c r="J34" i="62"/>
  <c r="H32" i="62"/>
  <c r="H36" i="62"/>
  <c r="H12" i="62"/>
  <c r="H10" i="62"/>
  <c r="H14" i="62"/>
  <c r="J27" i="61"/>
  <c r="J31" i="61"/>
  <c r="J39" i="61"/>
  <c r="H19" i="61"/>
  <c r="H15" i="61"/>
  <c r="H35" i="61"/>
  <c r="H12" i="61"/>
  <c r="J16" i="61"/>
  <c r="J20" i="61"/>
  <c r="H24" i="61"/>
  <c r="G49" i="61"/>
  <c r="I10" i="61" s="1"/>
  <c r="H13" i="61"/>
  <c r="H17" i="61"/>
  <c r="H21" i="61"/>
  <c r="H25" i="61"/>
  <c r="H29" i="61"/>
  <c r="H33" i="61"/>
  <c r="H37" i="61"/>
  <c r="H41" i="61"/>
  <c r="J20" i="60"/>
  <c r="H24" i="60"/>
  <c r="H12" i="60"/>
  <c r="H16" i="60"/>
  <c r="H29" i="60"/>
  <c r="H33" i="60"/>
  <c r="H10" i="60"/>
  <c r="H14" i="60"/>
  <c r="H18" i="60"/>
  <c r="H22" i="60"/>
  <c r="H26" i="60"/>
  <c r="J39" i="60"/>
  <c r="H31" i="60"/>
  <c r="H35" i="60"/>
  <c r="H41" i="60"/>
  <c r="J17" i="59"/>
  <c r="H28" i="59"/>
  <c r="H32" i="59"/>
  <c r="J11" i="59"/>
  <c r="H15" i="59"/>
  <c r="H18" i="59"/>
  <c r="H22" i="59"/>
  <c r="H26" i="59"/>
  <c r="H30" i="59"/>
  <c r="H34" i="59"/>
  <c r="J13" i="59"/>
  <c r="H20" i="59"/>
  <c r="H24" i="59"/>
  <c r="H14" i="58"/>
  <c r="H10" i="58"/>
  <c r="H15" i="58"/>
  <c r="J29" i="58"/>
  <c r="J21" i="58"/>
  <c r="H17" i="57"/>
  <c r="J11" i="57"/>
  <c r="J26" i="57"/>
  <c r="H16" i="57"/>
  <c r="H22" i="57"/>
  <c r="H15" i="57"/>
  <c r="H18" i="57"/>
  <c r="H19" i="57"/>
  <c r="J9" i="57"/>
  <c r="H14" i="57"/>
  <c r="J44" i="56"/>
  <c r="J25" i="56"/>
  <c r="H38" i="56"/>
  <c r="H33" i="56"/>
  <c r="H27" i="56"/>
  <c r="J15" i="56"/>
  <c r="H39" i="56"/>
  <c r="J35" i="56"/>
  <c r="H29" i="56"/>
  <c r="H13" i="56"/>
  <c r="H17" i="56"/>
  <c r="J21" i="56"/>
  <c r="H37" i="56"/>
  <c r="H30" i="56"/>
  <c r="J23" i="56"/>
  <c r="H31" i="56"/>
  <c r="H42" i="56"/>
  <c r="H29" i="55"/>
  <c r="J21" i="55"/>
  <c r="H25" i="55"/>
  <c r="J31" i="55"/>
  <c r="H43" i="55"/>
  <c r="H39" i="55"/>
  <c r="J35" i="55"/>
  <c r="H33" i="55"/>
  <c r="H37" i="55"/>
  <c r="J17" i="55"/>
  <c r="H22" i="55"/>
  <c r="H41" i="55"/>
  <c r="H30" i="55"/>
  <c r="H23" i="55"/>
  <c r="H27" i="55"/>
  <c r="H38" i="55"/>
  <c r="J19" i="54"/>
  <c r="J15" i="54"/>
  <c r="J36" i="54"/>
  <c r="J11" i="54"/>
  <c r="J38" i="54"/>
  <c r="H21" i="54"/>
  <c r="H27" i="54"/>
  <c r="J23" i="54"/>
  <c r="J21" i="53"/>
  <c r="J11" i="53"/>
  <c r="J14" i="53"/>
  <c r="J18" i="53"/>
  <c r="J19" i="53"/>
  <c r="H15" i="53"/>
  <c r="J16" i="53"/>
  <c r="H13" i="53"/>
  <c r="G49" i="53"/>
  <c r="I20" i="53" s="1"/>
  <c r="J17" i="53"/>
  <c r="J24" i="53"/>
  <c r="H9" i="53"/>
  <c r="J12" i="53"/>
  <c r="H25" i="53"/>
  <c r="H30" i="53"/>
  <c r="J9" i="53"/>
  <c r="J22" i="53"/>
  <c r="J10" i="53"/>
  <c r="H23" i="53"/>
  <c r="J31" i="53"/>
  <c r="J20" i="53"/>
  <c r="H9" i="52"/>
  <c r="J17" i="52"/>
  <c r="J14" i="52"/>
  <c r="J33" i="52"/>
  <c r="J15" i="52"/>
  <c r="J27" i="52"/>
  <c r="H23" i="52"/>
  <c r="H13" i="52"/>
  <c r="H11" i="52"/>
  <c r="J29" i="52"/>
  <c r="J21" i="52"/>
  <c r="H35" i="52"/>
  <c r="J12" i="52"/>
  <c r="J16" i="52"/>
  <c r="H31" i="52"/>
  <c r="J10" i="52"/>
  <c r="J18" i="52"/>
  <c r="J15" i="51"/>
  <c r="J19" i="51"/>
  <c r="J11" i="51"/>
  <c r="J30" i="51"/>
  <c r="H9" i="51"/>
  <c r="H13" i="51"/>
  <c r="H17" i="51"/>
  <c r="H21" i="51"/>
  <c r="H29" i="51"/>
  <c r="J28" i="50"/>
  <c r="J38" i="50"/>
  <c r="J24" i="50"/>
  <c r="J12" i="50"/>
  <c r="J14" i="50"/>
  <c r="J20" i="50"/>
  <c r="J30" i="50"/>
  <c r="H10" i="49"/>
  <c r="J15" i="49"/>
  <c r="J12" i="49"/>
  <c r="J16" i="49"/>
  <c r="H14" i="49"/>
  <c r="J13" i="49"/>
  <c r="J17" i="49"/>
  <c r="J20" i="49"/>
  <c r="J11" i="49"/>
  <c r="H24" i="49"/>
  <c r="H18" i="49"/>
  <c r="J21" i="49"/>
  <c r="H22" i="49"/>
  <c r="J31" i="49"/>
  <c r="J19" i="49"/>
  <c r="J23" i="49"/>
  <c r="J27" i="48"/>
  <c r="H21" i="48"/>
  <c r="J29" i="48"/>
  <c r="H17" i="48"/>
  <c r="J24" i="48"/>
  <c r="J35" i="48"/>
  <c r="H15" i="48"/>
  <c r="H19" i="48"/>
  <c r="J23" i="48"/>
  <c r="J13" i="46"/>
  <c r="J21" i="46"/>
  <c r="H36" i="46"/>
  <c r="H20" i="46"/>
  <c r="H38" i="46"/>
  <c r="J27" i="46"/>
  <c r="J11" i="46"/>
  <c r="H16" i="46"/>
  <c r="J35" i="46"/>
  <c r="J17" i="46"/>
  <c r="J31" i="46"/>
  <c r="J19" i="46"/>
  <c r="H28" i="46"/>
  <c r="J37" i="46"/>
  <c r="H32" i="46"/>
  <c r="J15" i="46"/>
  <c r="H24" i="46"/>
  <c r="J33" i="46"/>
  <c r="J23" i="46"/>
  <c r="J25" i="46"/>
  <c r="H9" i="46"/>
  <c r="H14" i="46"/>
  <c r="H18" i="46"/>
  <c r="H22" i="46"/>
  <c r="H26" i="46"/>
  <c r="H30" i="46"/>
  <c r="H34" i="46"/>
  <c r="J39" i="46"/>
  <c r="H17" i="45"/>
  <c r="J29" i="45"/>
  <c r="H25" i="45"/>
  <c r="J19" i="45"/>
  <c r="H21" i="45"/>
  <c r="H13" i="45"/>
  <c r="J31" i="45"/>
  <c r="J27" i="45"/>
  <c r="J23" i="45"/>
  <c r="H33" i="45"/>
  <c r="J15" i="45"/>
  <c r="J38" i="45"/>
  <c r="H9" i="45"/>
  <c r="H36" i="45"/>
  <c r="H10" i="44"/>
  <c r="J30" i="44"/>
  <c r="H15" i="44"/>
  <c r="J38" i="44"/>
  <c r="J22" i="44"/>
  <c r="G49" i="43"/>
  <c r="I18" i="43" s="1"/>
  <c r="J10" i="43"/>
  <c r="H16" i="43"/>
  <c r="H24" i="43"/>
  <c r="J30" i="43"/>
  <c r="H29" i="43"/>
  <c r="H18" i="43"/>
  <c r="H26" i="43"/>
  <c r="H14" i="43"/>
  <c r="H22" i="43"/>
  <c r="H20" i="43"/>
  <c r="H45" i="42"/>
  <c r="J23" i="42"/>
  <c r="H41" i="42"/>
  <c r="H33" i="42"/>
  <c r="H37" i="42"/>
  <c r="H16" i="42"/>
  <c r="H24" i="42"/>
  <c r="H39" i="42"/>
  <c r="H43" i="42"/>
  <c r="J18" i="42"/>
  <c r="H22" i="42"/>
  <c r="H35" i="42"/>
  <c r="H19" i="42"/>
  <c r="H44" i="42"/>
  <c r="H26" i="41"/>
  <c r="H13" i="41"/>
  <c r="H22" i="41"/>
  <c r="H24" i="41"/>
  <c r="H20" i="41"/>
  <c r="H28" i="41"/>
  <c r="H42" i="41"/>
  <c r="H34" i="41"/>
  <c r="H30" i="41"/>
  <c r="H18" i="41"/>
  <c r="H32" i="41"/>
  <c r="H27" i="40"/>
  <c r="H15" i="40"/>
  <c r="J35" i="40"/>
  <c r="H23" i="40"/>
  <c r="H11" i="40"/>
  <c r="H19" i="40"/>
  <c r="J24" i="40"/>
  <c r="J16" i="40"/>
  <c r="J28" i="40"/>
  <c r="H9" i="40"/>
  <c r="H13" i="40"/>
  <c r="H17" i="40"/>
  <c r="H21" i="40"/>
  <c r="H25" i="40"/>
  <c r="H29" i="40"/>
  <c r="H34" i="40"/>
  <c r="J10" i="40"/>
  <c r="J14" i="40"/>
  <c r="J18" i="40"/>
  <c r="J22" i="40"/>
  <c r="J26" i="40"/>
  <c r="J30" i="40"/>
  <c r="J12" i="40"/>
  <c r="J20" i="40"/>
  <c r="H31" i="40"/>
  <c r="H29" i="39"/>
  <c r="H31" i="39"/>
  <c r="H23" i="39"/>
  <c r="H35" i="39"/>
  <c r="H33" i="39"/>
  <c r="J22" i="39"/>
  <c r="H37" i="39"/>
  <c r="H16" i="38"/>
  <c r="H25" i="38"/>
  <c r="H12" i="38"/>
  <c r="J14" i="38"/>
  <c r="H31" i="38"/>
  <c r="H35" i="38"/>
  <c r="H39" i="38"/>
  <c r="J43" i="38"/>
  <c r="J41" i="38"/>
  <c r="H23" i="38"/>
  <c r="H26" i="38"/>
  <c r="H21" i="38"/>
  <c r="H24" i="38"/>
  <c r="H22" i="38"/>
  <c r="J14" i="37"/>
  <c r="J34" i="37"/>
  <c r="J26" i="37"/>
  <c r="H42" i="37"/>
  <c r="J22" i="37"/>
  <c r="J30" i="37"/>
  <c r="J18" i="37"/>
  <c r="H27" i="37"/>
  <c r="H35" i="37"/>
  <c r="H12" i="37"/>
  <c r="J20" i="37"/>
  <c r="J24" i="37"/>
  <c r="J28" i="37"/>
  <c r="J32" i="37"/>
  <c r="J36" i="37"/>
  <c r="J16" i="37"/>
  <c r="H41" i="37"/>
  <c r="H19" i="37"/>
  <c r="G49" i="37"/>
  <c r="I16" i="37" s="1"/>
  <c r="H21" i="37"/>
  <c r="H25" i="37"/>
  <c r="H29" i="37"/>
  <c r="H33" i="37"/>
  <c r="H37" i="37"/>
  <c r="H23" i="37"/>
  <c r="H31" i="37"/>
  <c r="H43" i="37"/>
  <c r="J38" i="37"/>
  <c r="H18" i="36"/>
  <c r="H21" i="36"/>
  <c r="J27" i="36"/>
  <c r="J17" i="36"/>
  <c r="H22" i="36"/>
  <c r="H20" i="36"/>
  <c r="J29" i="36"/>
  <c r="H33" i="36"/>
  <c r="H24" i="36"/>
  <c r="H32" i="36"/>
  <c r="H19" i="36"/>
  <c r="J32" i="35"/>
  <c r="H30" i="35"/>
  <c r="H31" i="35"/>
  <c r="J31" i="34"/>
  <c r="J12" i="34"/>
  <c r="J16" i="34"/>
  <c r="H9" i="34"/>
  <c r="H34" i="34"/>
  <c r="J17" i="34"/>
  <c r="H13" i="34"/>
  <c r="J25" i="34"/>
  <c r="J29" i="34"/>
  <c r="H26" i="34"/>
  <c r="H11" i="34"/>
  <c r="J23" i="34"/>
  <c r="H15" i="34"/>
  <c r="H24" i="34"/>
  <c r="J27" i="34"/>
  <c r="H32" i="33"/>
  <c r="H40" i="33"/>
  <c r="H34" i="33"/>
  <c r="H30" i="33"/>
  <c r="H20" i="33"/>
  <c r="H36" i="33"/>
  <c r="H26" i="33"/>
  <c r="H42" i="33"/>
  <c r="H38" i="33"/>
  <c r="H28" i="33"/>
  <c r="H14" i="33"/>
  <c r="H18" i="32"/>
  <c r="H15" i="32"/>
  <c r="H35" i="32"/>
  <c r="H20" i="32"/>
  <c r="H42" i="32"/>
  <c r="H25" i="32"/>
  <c r="H29" i="32"/>
  <c r="H33" i="32"/>
  <c r="H37" i="32"/>
  <c r="H27" i="32"/>
  <c r="H40" i="32"/>
  <c r="H31" i="32"/>
  <c r="H12" i="32"/>
  <c r="H28" i="31"/>
  <c r="J11" i="31"/>
  <c r="H34" i="31"/>
  <c r="H32" i="31"/>
  <c r="H9" i="31"/>
  <c r="H13" i="31"/>
  <c r="H37" i="31"/>
  <c r="H39" i="31"/>
  <c r="H26" i="30"/>
  <c r="H28" i="30"/>
  <c r="H22" i="30"/>
  <c r="H18" i="30"/>
  <c r="H38" i="30"/>
  <c r="H24" i="30"/>
  <c r="H10" i="30"/>
  <c r="H30" i="30"/>
  <c r="H36" i="30"/>
  <c r="H15" i="30"/>
  <c r="H20" i="30"/>
  <c r="J16" i="29"/>
  <c r="H31" i="29"/>
  <c r="J20" i="29"/>
  <c r="J39" i="29"/>
  <c r="J12" i="29"/>
  <c r="H10" i="29"/>
  <c r="H14" i="29"/>
  <c r="H18" i="29"/>
  <c r="H29" i="29"/>
  <c r="H33" i="29"/>
  <c r="H37" i="29"/>
  <c r="H11" i="28"/>
  <c r="H9" i="28"/>
  <c r="H13" i="28"/>
  <c r="H30" i="26"/>
  <c r="H10" i="25"/>
  <c r="H23" i="25"/>
  <c r="H12" i="25"/>
  <c r="H18" i="25"/>
  <c r="H14" i="25"/>
  <c r="H20" i="25"/>
  <c r="H16" i="25"/>
  <c r="H11" i="24"/>
  <c r="J24" i="24"/>
  <c r="J25" i="24"/>
  <c r="J20" i="24"/>
  <c r="J9" i="24"/>
  <c r="J16" i="24"/>
  <c r="H34" i="24"/>
  <c r="H18" i="24"/>
  <c r="H22" i="24"/>
  <c r="H35" i="24"/>
  <c r="J14" i="24"/>
  <c r="J15" i="23"/>
  <c r="J23" i="23"/>
  <c r="J30" i="23"/>
  <c r="J24" i="23"/>
  <c r="H19" i="23"/>
  <c r="H31" i="23"/>
  <c r="J16" i="23"/>
  <c r="J22" i="23"/>
  <c r="H27" i="23"/>
  <c r="H18" i="23"/>
  <c r="H26" i="23"/>
  <c r="H17" i="23"/>
  <c r="H25" i="23"/>
  <c r="H20" i="23"/>
  <c r="H28" i="23"/>
  <c r="H21" i="23"/>
  <c r="H29" i="23"/>
  <c r="H32" i="23"/>
  <c r="H36" i="23"/>
  <c r="H13" i="23"/>
  <c r="H21" i="22"/>
  <c r="H10" i="22"/>
  <c r="J11" i="22"/>
  <c r="H23" i="22"/>
  <c r="H12" i="22"/>
  <c r="H24" i="22"/>
  <c r="H14" i="22"/>
  <c r="J15" i="22"/>
  <c r="H18" i="22"/>
  <c r="H19" i="22"/>
  <c r="H13" i="22"/>
  <c r="H16" i="22"/>
  <c r="H22" i="22"/>
  <c r="H17" i="22"/>
  <c r="H20" i="22"/>
  <c r="H30" i="21"/>
  <c r="J11" i="21"/>
  <c r="H14" i="21"/>
  <c r="H18" i="21"/>
  <c r="J27" i="21"/>
  <c r="H10" i="21"/>
  <c r="J19" i="21"/>
  <c r="H22" i="21"/>
  <c r="H26" i="21"/>
  <c r="J31" i="21"/>
  <c r="J15" i="21"/>
  <c r="H24" i="21"/>
  <c r="H13" i="21"/>
  <c r="H21" i="21"/>
  <c r="H29" i="21"/>
  <c r="H9" i="21"/>
  <c r="H17" i="21"/>
  <c r="H25" i="21"/>
  <c r="G49" i="21"/>
  <c r="I31" i="21" s="1"/>
  <c r="H12" i="21"/>
  <c r="H20" i="21"/>
  <c r="H28" i="21"/>
  <c r="H35" i="20"/>
  <c r="J18" i="19"/>
  <c r="H19" i="19"/>
  <c r="H10" i="19"/>
  <c r="H36" i="18"/>
  <c r="H24" i="18"/>
  <c r="H16" i="18"/>
  <c r="H32" i="18"/>
  <c r="H12" i="18"/>
  <c r="H20" i="18"/>
  <c r="H28" i="18"/>
  <c r="J13" i="18"/>
  <c r="H17" i="18"/>
  <c r="J21" i="18"/>
  <c r="H25" i="18"/>
  <c r="J29" i="18"/>
  <c r="J33" i="18"/>
  <c r="H34" i="18"/>
  <c r="J15" i="18"/>
  <c r="H18" i="18"/>
  <c r="J23" i="18"/>
  <c r="H26" i="18"/>
  <c r="J31" i="18"/>
  <c r="G49" i="18"/>
  <c r="C50" i="18" s="1"/>
  <c r="H27" i="18"/>
  <c r="J11" i="18"/>
  <c r="H14" i="18"/>
  <c r="J19" i="18"/>
  <c r="H22" i="18"/>
  <c r="H30" i="18"/>
  <c r="J35" i="18"/>
  <c r="J30" i="17"/>
  <c r="J32" i="17"/>
  <c r="J41" i="17"/>
  <c r="H34" i="17"/>
  <c r="H28" i="17"/>
  <c r="J33" i="16"/>
  <c r="H27" i="16"/>
  <c r="H25" i="16"/>
  <c r="J31" i="16"/>
  <c r="H29" i="16"/>
  <c r="H23" i="16"/>
  <c r="J14" i="15"/>
  <c r="H15" i="15"/>
  <c r="H11" i="15"/>
  <c r="J12" i="15"/>
  <c r="J16" i="15"/>
  <c r="H9" i="15"/>
  <c r="J10" i="15"/>
  <c r="H13" i="15"/>
  <c r="H29" i="15"/>
  <c r="H19" i="14"/>
  <c r="H19" i="12"/>
  <c r="H31" i="12"/>
  <c r="J20" i="12"/>
  <c r="J16" i="12"/>
  <c r="J22" i="12"/>
  <c r="J15" i="12"/>
  <c r="J18" i="12"/>
  <c r="J24" i="12"/>
  <c r="J10" i="12"/>
  <c r="H30" i="12"/>
  <c r="H14" i="12"/>
  <c r="H23" i="12"/>
  <c r="H26" i="12"/>
  <c r="H24" i="11"/>
  <c r="J26" i="11"/>
  <c r="H22" i="11"/>
  <c r="H31" i="11"/>
  <c r="H10" i="11"/>
  <c r="J13" i="11"/>
  <c r="H18" i="11"/>
  <c r="H11" i="11"/>
  <c r="J15" i="11"/>
  <c r="H30" i="11"/>
  <c r="H9" i="11"/>
  <c r="H20" i="11"/>
  <c r="J29" i="10"/>
  <c r="H32" i="10"/>
  <c r="H40" i="10"/>
  <c r="J46" i="10"/>
  <c r="H26" i="10"/>
  <c r="H30" i="10"/>
  <c r="H38" i="10"/>
  <c r="J44" i="10"/>
  <c r="J35" i="10"/>
  <c r="H25" i="10"/>
  <c r="H33" i="10"/>
  <c r="H28" i="10"/>
  <c r="H36" i="10"/>
  <c r="J41" i="10"/>
  <c r="H45" i="10"/>
  <c r="H33" i="9"/>
  <c r="H26" i="9"/>
  <c r="J11" i="9"/>
  <c r="J23" i="9"/>
  <c r="H24" i="9"/>
  <c r="H35" i="9"/>
  <c r="H25" i="9"/>
  <c r="H21" i="9"/>
  <c r="H29" i="9"/>
  <c r="H19" i="9"/>
  <c r="H27" i="9"/>
  <c r="H10" i="9"/>
  <c r="H22" i="9"/>
  <c r="H30" i="9"/>
  <c r="H34" i="9"/>
  <c r="H20" i="9"/>
  <c r="H28" i="9"/>
  <c r="J12" i="7"/>
  <c r="H14" i="7"/>
  <c r="J10" i="7"/>
  <c r="H37" i="7"/>
  <c r="J26" i="7"/>
  <c r="J32" i="7"/>
  <c r="J27" i="7"/>
  <c r="J34" i="7"/>
  <c r="H15" i="7"/>
  <c r="J13" i="7"/>
  <c r="J28" i="7"/>
  <c r="H38" i="7"/>
  <c r="H29" i="7"/>
  <c r="J24" i="7"/>
  <c r="H16" i="7"/>
  <c r="H30" i="7"/>
  <c r="H11" i="7"/>
  <c r="H25" i="7"/>
  <c r="H33" i="7"/>
  <c r="H9" i="7"/>
  <c r="H17" i="7"/>
  <c r="H31" i="7"/>
  <c r="J23" i="6"/>
  <c r="H14" i="6"/>
  <c r="J11" i="6"/>
  <c r="J34" i="6"/>
  <c r="J31" i="6"/>
  <c r="J13" i="6"/>
  <c r="J24" i="6"/>
  <c r="J29" i="6"/>
  <c r="H26" i="6"/>
  <c r="H32" i="6"/>
  <c r="H10" i="6"/>
  <c r="J9" i="6"/>
  <c r="H12" i="6"/>
  <c r="J27" i="6"/>
  <c r="H30" i="6"/>
  <c r="J35" i="6"/>
  <c r="H38" i="6"/>
  <c r="H25" i="6"/>
  <c r="H33" i="6"/>
  <c r="H28" i="6"/>
  <c r="H36" i="6"/>
  <c r="H23" i="5"/>
  <c r="H27" i="5"/>
  <c r="J32" i="5"/>
  <c r="J24" i="5"/>
  <c r="H33" i="5"/>
  <c r="J38" i="5"/>
  <c r="H25" i="5"/>
  <c r="J30" i="5"/>
  <c r="H39" i="5"/>
  <c r="H28" i="5"/>
  <c r="H36" i="5"/>
  <c r="H45" i="5"/>
  <c r="H26" i="5"/>
  <c r="H34" i="5"/>
  <c r="H21" i="5"/>
  <c r="H29" i="5"/>
  <c r="H37" i="5"/>
  <c r="H46" i="5"/>
  <c r="H44" i="5"/>
  <c r="J36" i="4"/>
  <c r="J37" i="4"/>
  <c r="H33" i="4"/>
  <c r="H34" i="4"/>
  <c r="H44" i="4"/>
  <c r="H45" i="4"/>
  <c r="J35" i="4"/>
  <c r="H38" i="4"/>
  <c r="H43" i="4"/>
  <c r="H13" i="3"/>
  <c r="J36" i="1"/>
  <c r="J21" i="1"/>
  <c r="H13" i="1"/>
  <c r="H35" i="1"/>
  <c r="H22" i="1"/>
  <c r="J12" i="1"/>
  <c r="J23" i="1"/>
  <c r="J22" i="4"/>
  <c r="H22" i="4"/>
  <c r="J30" i="4"/>
  <c r="H30" i="4"/>
  <c r="J19" i="6"/>
  <c r="H19" i="6"/>
  <c r="H40" i="6"/>
  <c r="J22" i="7"/>
  <c r="H22" i="7"/>
  <c r="J16" i="8"/>
  <c r="H16" i="8"/>
  <c r="J32" i="8"/>
  <c r="H32" i="8"/>
  <c r="H16" i="11"/>
  <c r="J22" i="15"/>
  <c r="H22" i="15"/>
  <c r="J16" i="17"/>
  <c r="H16" i="17"/>
  <c r="J34" i="30"/>
  <c r="H34" i="30"/>
  <c r="H15" i="1"/>
  <c r="H17" i="1"/>
  <c r="H19" i="1"/>
  <c r="J25" i="1"/>
  <c r="J27" i="1"/>
  <c r="J29" i="1"/>
  <c r="J31" i="1"/>
  <c r="J33" i="1"/>
  <c r="H16" i="3"/>
  <c r="J16" i="3"/>
  <c r="H20" i="3"/>
  <c r="J20" i="3"/>
  <c r="H24" i="3"/>
  <c r="J24" i="3"/>
  <c r="H28" i="3"/>
  <c r="J28" i="3"/>
  <c r="H32" i="3"/>
  <c r="J32" i="3"/>
  <c r="H36" i="3"/>
  <c r="J36" i="3"/>
  <c r="J40" i="3"/>
  <c r="H40" i="3"/>
  <c r="J18" i="5"/>
  <c r="H18" i="5"/>
  <c r="J22" i="8"/>
  <c r="H22" i="8"/>
  <c r="J38" i="8"/>
  <c r="H38" i="8"/>
  <c r="H32" i="9"/>
  <c r="J13" i="10"/>
  <c r="H13" i="10"/>
  <c r="H31" i="14"/>
  <c r="J19" i="20"/>
  <c r="H19" i="20"/>
  <c r="J10" i="4"/>
  <c r="H10" i="4"/>
  <c r="J26" i="4"/>
  <c r="H26" i="4"/>
  <c r="H11" i="1"/>
  <c r="J15" i="1"/>
  <c r="J17" i="1"/>
  <c r="J19" i="1"/>
  <c r="H26" i="1"/>
  <c r="H28" i="1"/>
  <c r="H30" i="1"/>
  <c r="H32" i="1"/>
  <c r="H34" i="1"/>
  <c r="J17" i="3"/>
  <c r="H17" i="3"/>
  <c r="J21" i="3"/>
  <c r="H21" i="3"/>
  <c r="J25" i="3"/>
  <c r="H25" i="3"/>
  <c r="J29" i="3"/>
  <c r="H29" i="3"/>
  <c r="J33" i="3"/>
  <c r="H33" i="3"/>
  <c r="J37" i="3"/>
  <c r="H37" i="3"/>
  <c r="J41" i="3"/>
  <c r="H41" i="3"/>
  <c r="J14" i="5"/>
  <c r="H14" i="5"/>
  <c r="J18" i="8"/>
  <c r="H18" i="8"/>
  <c r="J34" i="8"/>
  <c r="H34" i="8"/>
  <c r="J9" i="16"/>
  <c r="H9" i="16"/>
  <c r="G49" i="16"/>
  <c r="I32" i="16" s="1"/>
  <c r="J17" i="16"/>
  <c r="H17" i="16"/>
  <c r="G49" i="3"/>
  <c r="I13" i="3" s="1"/>
  <c r="J12" i="8"/>
  <c r="H12" i="8"/>
  <c r="J16" i="4"/>
  <c r="H16" i="4"/>
  <c r="J20" i="4"/>
  <c r="H20" i="4"/>
  <c r="J24" i="4"/>
  <c r="H24" i="4"/>
  <c r="J28" i="4"/>
  <c r="H28" i="4"/>
  <c r="J24" i="8"/>
  <c r="H24" i="8"/>
  <c r="J15" i="10"/>
  <c r="H15" i="10"/>
  <c r="J14" i="11"/>
  <c r="H14" i="11"/>
  <c r="H27" i="14"/>
  <c r="J18" i="15"/>
  <c r="H18" i="15"/>
  <c r="G49" i="15"/>
  <c r="I25" i="15" s="1"/>
  <c r="J12" i="17"/>
  <c r="H12" i="17"/>
  <c r="H37" i="17"/>
  <c r="H40" i="20"/>
  <c r="H26" i="22"/>
  <c r="J26" i="22"/>
  <c r="J18" i="28"/>
  <c r="H18" i="28"/>
  <c r="J18" i="4"/>
  <c r="H18" i="4"/>
  <c r="J19" i="10"/>
  <c r="H19" i="10"/>
  <c r="H9" i="1"/>
  <c r="H16" i="1"/>
  <c r="H18" i="1"/>
  <c r="H20" i="1"/>
  <c r="J30" i="1"/>
  <c r="H18" i="3"/>
  <c r="J18" i="3"/>
  <c r="H22" i="3"/>
  <c r="J22" i="3"/>
  <c r="H26" i="3"/>
  <c r="J26" i="3"/>
  <c r="H30" i="3"/>
  <c r="J30" i="3"/>
  <c r="H34" i="3"/>
  <c r="J34" i="3"/>
  <c r="J17" i="6"/>
  <c r="H17" i="6"/>
  <c r="J14" i="8"/>
  <c r="H14" i="8"/>
  <c r="J30" i="8"/>
  <c r="H30" i="8"/>
  <c r="J15" i="9"/>
  <c r="H15" i="9"/>
  <c r="H39" i="16"/>
  <c r="J39" i="16"/>
  <c r="J15" i="20"/>
  <c r="H15" i="20"/>
  <c r="I39" i="21"/>
  <c r="J22" i="35"/>
  <c r="H22" i="35"/>
  <c r="J14" i="4"/>
  <c r="H14" i="4"/>
  <c r="J28" i="8"/>
  <c r="H28" i="8"/>
  <c r="H13" i="4"/>
  <c r="J13" i="4"/>
  <c r="H17" i="4"/>
  <c r="J17" i="4"/>
  <c r="G49" i="7"/>
  <c r="I40" i="7" s="1"/>
  <c r="J20" i="8"/>
  <c r="H20" i="8"/>
  <c r="J36" i="8"/>
  <c r="H36" i="8"/>
  <c r="H11" i="10"/>
  <c r="G49" i="11"/>
  <c r="I25" i="11" s="1"/>
  <c r="J13" i="19"/>
  <c r="H13" i="19"/>
  <c r="H20" i="26"/>
  <c r="J38" i="31"/>
  <c r="H38" i="31"/>
  <c r="H15" i="4"/>
  <c r="J15" i="4"/>
  <c r="J13" i="9"/>
  <c r="H13" i="9"/>
  <c r="G49" i="1"/>
  <c r="I10" i="1" s="1"/>
  <c r="J16" i="5"/>
  <c r="H16" i="5"/>
  <c r="J15" i="3"/>
  <c r="H15" i="3"/>
  <c r="J19" i="3"/>
  <c r="H19" i="3"/>
  <c r="J23" i="3"/>
  <c r="H23" i="3"/>
  <c r="J27" i="3"/>
  <c r="H27" i="3"/>
  <c r="J31" i="3"/>
  <c r="H31" i="3"/>
  <c r="J35" i="3"/>
  <c r="H35" i="3"/>
  <c r="C50" i="3"/>
  <c r="G49" i="5"/>
  <c r="E50" i="5" s="1"/>
  <c r="H43" i="5"/>
  <c r="J10" i="8"/>
  <c r="H10" i="8"/>
  <c r="J26" i="8"/>
  <c r="H26" i="8"/>
  <c r="J17" i="10"/>
  <c r="H17" i="10"/>
  <c r="H33" i="11"/>
  <c r="H29" i="12"/>
  <c r="H10" i="13"/>
  <c r="J13" i="14"/>
  <c r="H13" i="14"/>
  <c r="J13" i="16"/>
  <c r="H13" i="16"/>
  <c r="H21" i="16"/>
  <c r="J31" i="20"/>
  <c r="H31" i="20"/>
  <c r="J19" i="4"/>
  <c r="J21" i="4"/>
  <c r="J23" i="4"/>
  <c r="J25" i="4"/>
  <c r="J27" i="4"/>
  <c r="J29" i="4"/>
  <c r="G49" i="4"/>
  <c r="I10" i="4" s="1"/>
  <c r="J16" i="6"/>
  <c r="J18" i="6"/>
  <c r="G49" i="6"/>
  <c r="E50" i="6" s="1"/>
  <c r="J14" i="9"/>
  <c r="G49" i="10"/>
  <c r="J11" i="12"/>
  <c r="H11" i="12"/>
  <c r="H25" i="12"/>
  <c r="J15" i="13"/>
  <c r="H15" i="13"/>
  <c r="J19" i="13"/>
  <c r="H19" i="13"/>
  <c r="G49" i="14"/>
  <c r="I27" i="14" s="1"/>
  <c r="H14" i="14"/>
  <c r="J14" i="14"/>
  <c r="J22" i="17"/>
  <c r="H22" i="17"/>
  <c r="G49" i="20"/>
  <c r="I19" i="20" s="1"/>
  <c r="H9" i="20"/>
  <c r="J25" i="20"/>
  <c r="H25" i="20"/>
  <c r="J33" i="21"/>
  <c r="H33" i="21"/>
  <c r="H14" i="23"/>
  <c r="J17" i="24"/>
  <c r="H17" i="24"/>
  <c r="J21" i="24"/>
  <c r="H21" i="24"/>
  <c r="J11" i="25"/>
  <c r="H11" i="25"/>
  <c r="J41" i="32"/>
  <c r="H41" i="32"/>
  <c r="J17" i="12"/>
  <c r="H15" i="14"/>
  <c r="J18" i="17"/>
  <c r="H18" i="17"/>
  <c r="J39" i="17"/>
  <c r="H39" i="17"/>
  <c r="J15" i="19"/>
  <c r="H15" i="19"/>
  <c r="J21" i="20"/>
  <c r="H21" i="20"/>
  <c r="J46" i="27"/>
  <c r="H46" i="27"/>
  <c r="J16" i="32"/>
  <c r="H16" i="32"/>
  <c r="G49" i="12"/>
  <c r="I32" i="12" s="1"/>
  <c r="J9" i="12"/>
  <c r="H9" i="12"/>
  <c r="J20" i="15"/>
  <c r="H20" i="15"/>
  <c r="J32" i="15"/>
  <c r="H32" i="15"/>
  <c r="J11" i="16"/>
  <c r="H11" i="16"/>
  <c r="J15" i="16"/>
  <c r="H15" i="16"/>
  <c r="J19" i="16"/>
  <c r="H19" i="16"/>
  <c r="J36" i="16"/>
  <c r="H36" i="16"/>
  <c r="J24" i="17"/>
  <c r="H24" i="17"/>
  <c r="J11" i="20"/>
  <c r="H11" i="20"/>
  <c r="J27" i="20"/>
  <c r="H27" i="20"/>
  <c r="J35" i="21"/>
  <c r="H35" i="21"/>
  <c r="J40" i="21"/>
  <c r="H40" i="21"/>
  <c r="H10" i="24"/>
  <c r="G49" i="24"/>
  <c r="I30" i="24" s="1"/>
  <c r="J10" i="24"/>
  <c r="H38" i="25"/>
  <c r="J39" i="27"/>
  <c r="H39" i="27"/>
  <c r="J18" i="31"/>
  <c r="H18" i="31"/>
  <c r="G49" i="35"/>
  <c r="I18" i="35" s="1"/>
  <c r="I20" i="37"/>
  <c r="C50" i="37"/>
  <c r="H17" i="37"/>
  <c r="J17" i="38"/>
  <c r="H17" i="38"/>
  <c r="G49" i="38"/>
  <c r="I42" i="38" s="1"/>
  <c r="J32" i="38"/>
  <c r="H32" i="38"/>
  <c r="J36" i="47"/>
  <c r="H36" i="47"/>
  <c r="H15" i="5"/>
  <c r="H17" i="5"/>
  <c r="H19" i="5"/>
  <c r="H22" i="6"/>
  <c r="H21" i="7"/>
  <c r="H23" i="7"/>
  <c r="H40" i="7"/>
  <c r="H9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H39" i="8"/>
  <c r="H9" i="9"/>
  <c r="H18" i="9"/>
  <c r="G49" i="9"/>
  <c r="I25" i="9" s="1"/>
  <c r="H14" i="10"/>
  <c r="H16" i="10"/>
  <c r="H18" i="10"/>
  <c r="H20" i="10"/>
  <c r="H29" i="11"/>
  <c r="J17" i="13"/>
  <c r="H17" i="13"/>
  <c r="H37" i="16"/>
  <c r="J37" i="16"/>
  <c r="J14" i="17"/>
  <c r="H14" i="17"/>
  <c r="J17" i="20"/>
  <c r="H17" i="20"/>
  <c r="J19" i="25"/>
  <c r="H19" i="25"/>
  <c r="H20" i="34"/>
  <c r="J20" i="34"/>
  <c r="H24" i="44"/>
  <c r="J24" i="44"/>
  <c r="I15" i="5"/>
  <c r="G49" i="8"/>
  <c r="I12" i="8" s="1"/>
  <c r="H17" i="11"/>
  <c r="H19" i="11"/>
  <c r="H21" i="11"/>
  <c r="H23" i="11"/>
  <c r="H25" i="11"/>
  <c r="H27" i="11"/>
  <c r="H34" i="11"/>
  <c r="H13" i="12"/>
  <c r="H21" i="12"/>
  <c r="H27" i="12"/>
  <c r="G49" i="13"/>
  <c r="I11" i="13" s="1"/>
  <c r="H12" i="14"/>
  <c r="J12" i="14"/>
  <c r="J17" i="14"/>
  <c r="H17" i="14"/>
  <c r="J20" i="17"/>
  <c r="H20" i="17"/>
  <c r="H17" i="19"/>
  <c r="J23" i="20"/>
  <c r="H23" i="20"/>
  <c r="H28" i="26"/>
  <c r="J22" i="28"/>
  <c r="H22" i="28"/>
  <c r="H13" i="30"/>
  <c r="J13" i="12"/>
  <c r="J21" i="12"/>
  <c r="J27" i="12"/>
  <c r="H22" i="13"/>
  <c r="J38" i="16"/>
  <c r="H38" i="16"/>
  <c r="J10" i="17"/>
  <c r="H10" i="17"/>
  <c r="J26" i="17"/>
  <c r="H26" i="17"/>
  <c r="J13" i="20"/>
  <c r="H13" i="20"/>
  <c r="J29" i="20"/>
  <c r="H29" i="20"/>
  <c r="J42" i="21"/>
  <c r="H42" i="21"/>
  <c r="J15" i="25"/>
  <c r="H15" i="25"/>
  <c r="J14" i="19"/>
  <c r="J16" i="19"/>
  <c r="J39" i="21"/>
  <c r="J41" i="21"/>
  <c r="H26" i="25"/>
  <c r="H30" i="25"/>
  <c r="H11" i="26"/>
  <c r="H15" i="26"/>
  <c r="H19" i="26"/>
  <c r="J29" i="26"/>
  <c r="H29" i="26"/>
  <c r="G49" i="29"/>
  <c r="I23" i="29" s="1"/>
  <c r="J23" i="29"/>
  <c r="H23" i="29"/>
  <c r="J17" i="30"/>
  <c r="H17" i="30"/>
  <c r="J21" i="30"/>
  <c r="H21" i="30"/>
  <c r="J25" i="30"/>
  <c r="H25" i="30"/>
  <c r="J29" i="30"/>
  <c r="H29" i="30"/>
  <c r="J24" i="31"/>
  <c r="H24" i="31"/>
  <c r="J13" i="33"/>
  <c r="H13" i="33"/>
  <c r="J17" i="33"/>
  <c r="H17" i="33"/>
  <c r="J21" i="33"/>
  <c r="H21" i="33"/>
  <c r="J25" i="33"/>
  <c r="H25" i="33"/>
  <c r="J29" i="33"/>
  <c r="H29" i="33"/>
  <c r="J33" i="33"/>
  <c r="H33" i="33"/>
  <c r="J37" i="33"/>
  <c r="H37" i="33"/>
  <c r="J41" i="33"/>
  <c r="H41" i="33"/>
  <c r="G49" i="34"/>
  <c r="I30" i="34" s="1"/>
  <c r="J13" i="37"/>
  <c r="I13" i="37"/>
  <c r="H13" i="37"/>
  <c r="J28" i="38"/>
  <c r="H28" i="38"/>
  <c r="J19" i="39"/>
  <c r="H19" i="39"/>
  <c r="H11" i="23"/>
  <c r="J15" i="24"/>
  <c r="H15" i="24"/>
  <c r="H35" i="25"/>
  <c r="J24" i="28"/>
  <c r="H24" i="28"/>
  <c r="J20" i="31"/>
  <c r="H20" i="31"/>
  <c r="G49" i="33"/>
  <c r="F50" i="33" s="1"/>
  <c r="H9" i="33"/>
  <c r="J36" i="34"/>
  <c r="H36" i="34"/>
  <c r="J44" i="38"/>
  <c r="H44" i="38"/>
  <c r="H40" i="44"/>
  <c r="J40" i="44"/>
  <c r="H11" i="13"/>
  <c r="H47" i="13"/>
  <c r="H11" i="14"/>
  <c r="H20" i="14"/>
  <c r="H25" i="14"/>
  <c r="H30" i="14"/>
  <c r="H25" i="15"/>
  <c r="H30" i="15"/>
  <c r="H22" i="16"/>
  <c r="H24" i="16"/>
  <c r="H26" i="16"/>
  <c r="H28" i="16"/>
  <c r="H30" i="16"/>
  <c r="H32" i="16"/>
  <c r="H34" i="16"/>
  <c r="H29" i="17"/>
  <c r="H31" i="17"/>
  <c r="H33" i="17"/>
  <c r="H35" i="17"/>
  <c r="H42" i="17"/>
  <c r="H9" i="18"/>
  <c r="H9" i="19"/>
  <c r="H11" i="19"/>
  <c r="G49" i="19"/>
  <c r="D50" i="19" s="1"/>
  <c r="H34" i="20"/>
  <c r="H36" i="20"/>
  <c r="H41" i="20"/>
  <c r="H38" i="21"/>
  <c r="H27" i="22"/>
  <c r="J12" i="23"/>
  <c r="H12" i="23"/>
  <c r="J37" i="23"/>
  <c r="H37" i="23"/>
  <c r="H31" i="24"/>
  <c r="J35" i="25"/>
  <c r="J29" i="28"/>
  <c r="H29" i="28"/>
  <c r="J25" i="29"/>
  <c r="H25" i="29"/>
  <c r="I30" i="29"/>
  <c r="J42" i="29"/>
  <c r="H42" i="29"/>
  <c r="J26" i="31"/>
  <c r="H26" i="31"/>
  <c r="G49" i="32"/>
  <c r="E50" i="32" s="1"/>
  <c r="H9" i="32"/>
  <c r="J14" i="32"/>
  <c r="H14" i="32"/>
  <c r="J39" i="32"/>
  <c r="H39" i="32"/>
  <c r="J43" i="32"/>
  <c r="H43" i="32"/>
  <c r="J27" i="39"/>
  <c r="H27" i="39"/>
  <c r="H14" i="13"/>
  <c r="H16" i="13"/>
  <c r="H18" i="13"/>
  <c r="H23" i="14"/>
  <c r="H33" i="14"/>
  <c r="H19" i="15"/>
  <c r="H21" i="15"/>
  <c r="H23" i="15"/>
  <c r="H10" i="16"/>
  <c r="H12" i="16"/>
  <c r="H14" i="16"/>
  <c r="H16" i="16"/>
  <c r="H18" i="16"/>
  <c r="H20" i="16"/>
  <c r="H9" i="17"/>
  <c r="H11" i="17"/>
  <c r="H13" i="17"/>
  <c r="H15" i="17"/>
  <c r="H17" i="17"/>
  <c r="H19" i="17"/>
  <c r="H21" i="17"/>
  <c r="H23" i="17"/>
  <c r="H25" i="17"/>
  <c r="G49" i="17"/>
  <c r="I38" i="17" s="1"/>
  <c r="H12" i="20"/>
  <c r="H14" i="20"/>
  <c r="H16" i="20"/>
  <c r="H18" i="20"/>
  <c r="H20" i="20"/>
  <c r="H22" i="20"/>
  <c r="H24" i="20"/>
  <c r="H26" i="20"/>
  <c r="H28" i="20"/>
  <c r="H30" i="20"/>
  <c r="H32" i="20"/>
  <c r="H39" i="20"/>
  <c r="H34" i="21"/>
  <c r="H36" i="21"/>
  <c r="G49" i="22"/>
  <c r="I27" i="22" s="1"/>
  <c r="H12" i="24"/>
  <c r="J19" i="24"/>
  <c r="H19" i="24"/>
  <c r="H32" i="24"/>
  <c r="H28" i="25"/>
  <c r="G49" i="26"/>
  <c r="I28" i="26" s="1"/>
  <c r="H9" i="26"/>
  <c r="H13" i="26"/>
  <c r="H17" i="26"/>
  <c r="C50" i="27"/>
  <c r="J20" i="28"/>
  <c r="H20" i="28"/>
  <c r="J19" i="30"/>
  <c r="H19" i="30"/>
  <c r="J23" i="30"/>
  <c r="H23" i="30"/>
  <c r="J27" i="30"/>
  <c r="H27" i="30"/>
  <c r="J16" i="31"/>
  <c r="H16" i="31"/>
  <c r="G49" i="31"/>
  <c r="I36" i="31" s="1"/>
  <c r="J11" i="33"/>
  <c r="H11" i="33"/>
  <c r="J15" i="33"/>
  <c r="H15" i="33"/>
  <c r="J19" i="33"/>
  <c r="H19" i="33"/>
  <c r="J23" i="33"/>
  <c r="H23" i="33"/>
  <c r="J27" i="33"/>
  <c r="H27" i="33"/>
  <c r="J31" i="33"/>
  <c r="H31" i="33"/>
  <c r="J35" i="33"/>
  <c r="H35" i="33"/>
  <c r="J39" i="33"/>
  <c r="H39" i="33"/>
  <c r="H32" i="34"/>
  <c r="J13" i="24"/>
  <c r="H13" i="24"/>
  <c r="G49" i="25"/>
  <c r="I19" i="25" s="1"/>
  <c r="J9" i="25"/>
  <c r="H9" i="25"/>
  <c r="J13" i="25"/>
  <c r="H13" i="25"/>
  <c r="J17" i="25"/>
  <c r="H17" i="25"/>
  <c r="J21" i="25"/>
  <c r="H21" i="25"/>
  <c r="J31" i="26"/>
  <c r="H31" i="26"/>
  <c r="J22" i="31"/>
  <c r="H22" i="31"/>
  <c r="J36" i="31"/>
  <c r="H36" i="31"/>
  <c r="H23" i="32"/>
  <c r="J18" i="35"/>
  <c r="H18" i="35"/>
  <c r="J26" i="36"/>
  <c r="H26" i="36"/>
  <c r="J20" i="47"/>
  <c r="H20" i="47"/>
  <c r="J22" i="48"/>
  <c r="H22" i="48"/>
  <c r="H9" i="23"/>
  <c r="G49" i="23"/>
  <c r="I14" i="23" s="1"/>
  <c r="J9" i="23"/>
  <c r="H37" i="25"/>
  <c r="H27" i="26"/>
  <c r="G49" i="28"/>
  <c r="C50" i="28" s="1"/>
  <c r="J16" i="28"/>
  <c r="H16" i="28"/>
  <c r="H31" i="28"/>
  <c r="H27" i="29"/>
  <c r="C50" i="29"/>
  <c r="G49" i="36"/>
  <c r="I28" i="36" s="1"/>
  <c r="J9" i="36"/>
  <c r="H9" i="36"/>
  <c r="J25" i="25"/>
  <c r="J27" i="25"/>
  <c r="J29" i="25"/>
  <c r="J36" i="25"/>
  <c r="J10" i="26"/>
  <c r="J12" i="26"/>
  <c r="J14" i="26"/>
  <c r="J16" i="26"/>
  <c r="J18" i="26"/>
  <c r="G49" i="27"/>
  <c r="I46" i="27" s="1"/>
  <c r="J15" i="28"/>
  <c r="J17" i="28"/>
  <c r="J19" i="28"/>
  <c r="J21" i="28"/>
  <c r="J23" i="28"/>
  <c r="J30" i="28"/>
  <c r="J22" i="29"/>
  <c r="J24" i="29"/>
  <c r="J26" i="29"/>
  <c r="J41" i="29"/>
  <c r="G49" i="30"/>
  <c r="I34" i="30" s="1"/>
  <c r="J15" i="31"/>
  <c r="J17" i="31"/>
  <c r="J19" i="31"/>
  <c r="J21" i="31"/>
  <c r="J23" i="31"/>
  <c r="J25" i="31"/>
  <c r="J10" i="34"/>
  <c r="J12" i="35"/>
  <c r="H12" i="35"/>
  <c r="J28" i="35"/>
  <c r="H28" i="35"/>
  <c r="J15" i="36"/>
  <c r="H15" i="36"/>
  <c r="J38" i="38"/>
  <c r="I38" i="38"/>
  <c r="H38" i="38"/>
  <c r="J13" i="39"/>
  <c r="H13" i="39"/>
  <c r="H12" i="41"/>
  <c r="J12" i="41"/>
  <c r="J32" i="42"/>
  <c r="H32" i="42"/>
  <c r="H28" i="44"/>
  <c r="J28" i="44"/>
  <c r="J26" i="47"/>
  <c r="H26" i="47"/>
  <c r="H37" i="34"/>
  <c r="J24" i="35"/>
  <c r="H24" i="35"/>
  <c r="J11" i="36"/>
  <c r="H11" i="36"/>
  <c r="J11" i="37"/>
  <c r="H11" i="37"/>
  <c r="J15" i="38"/>
  <c r="H15" i="38"/>
  <c r="J42" i="38"/>
  <c r="H42" i="38"/>
  <c r="J9" i="39"/>
  <c r="G49" i="39"/>
  <c r="I35" i="39" s="1"/>
  <c r="H9" i="39"/>
  <c r="H17" i="41"/>
  <c r="H12" i="42"/>
  <c r="J28" i="42"/>
  <c r="H28" i="42"/>
  <c r="J13" i="43"/>
  <c r="H13" i="43"/>
  <c r="J25" i="43"/>
  <c r="H25" i="43"/>
  <c r="J12" i="44"/>
  <c r="H12" i="44"/>
  <c r="G49" i="44"/>
  <c r="I24" i="44" s="1"/>
  <c r="J16" i="44"/>
  <c r="H16" i="44"/>
  <c r="H45" i="47"/>
  <c r="H10" i="28"/>
  <c r="H12" i="28"/>
  <c r="H9" i="29"/>
  <c r="H11" i="29"/>
  <c r="H13" i="29"/>
  <c r="H15" i="29"/>
  <c r="H17" i="29"/>
  <c r="H19" i="29"/>
  <c r="H38" i="29"/>
  <c r="H9" i="30"/>
  <c r="H11" i="30"/>
  <c r="H32" i="30"/>
  <c r="H10" i="31"/>
  <c r="H12" i="31"/>
  <c r="H19" i="32"/>
  <c r="H21" i="32"/>
  <c r="H30" i="34"/>
  <c r="J14" i="35"/>
  <c r="H14" i="35"/>
  <c r="J36" i="38"/>
  <c r="H36" i="38"/>
  <c r="J15" i="39"/>
  <c r="H15" i="39"/>
  <c r="J47" i="44"/>
  <c r="H47" i="44"/>
  <c r="J34" i="47"/>
  <c r="H34" i="47"/>
  <c r="H34" i="50"/>
  <c r="J34" i="50"/>
  <c r="J20" i="35"/>
  <c r="H20" i="35"/>
  <c r="J15" i="37"/>
  <c r="H15" i="37"/>
  <c r="J30" i="38"/>
  <c r="H30" i="38"/>
  <c r="J24" i="39"/>
  <c r="H24" i="39"/>
  <c r="J30" i="39"/>
  <c r="H30" i="39"/>
  <c r="J34" i="39"/>
  <c r="H34" i="39"/>
  <c r="H14" i="41"/>
  <c r="J31" i="41"/>
  <c r="H31" i="41"/>
  <c r="J28" i="47"/>
  <c r="H28" i="47"/>
  <c r="H26" i="49"/>
  <c r="J24" i="52"/>
  <c r="H24" i="52"/>
  <c r="J28" i="52"/>
  <c r="H28" i="52"/>
  <c r="J32" i="52"/>
  <c r="H32" i="52"/>
  <c r="H36" i="52"/>
  <c r="J17" i="54"/>
  <c r="H17" i="54"/>
  <c r="H31" i="54"/>
  <c r="H10" i="27"/>
  <c r="H12" i="27"/>
  <c r="H14" i="27"/>
  <c r="H16" i="27"/>
  <c r="H18" i="27"/>
  <c r="H20" i="27"/>
  <c r="H22" i="27"/>
  <c r="H24" i="27"/>
  <c r="H26" i="27"/>
  <c r="H28" i="27"/>
  <c r="H30" i="27"/>
  <c r="H32" i="27"/>
  <c r="H34" i="27"/>
  <c r="H36" i="27"/>
  <c r="H38" i="27"/>
  <c r="H32" i="28"/>
  <c r="H28" i="29"/>
  <c r="H30" i="29"/>
  <c r="H32" i="29"/>
  <c r="H34" i="29"/>
  <c r="H14" i="30"/>
  <c r="H16" i="30"/>
  <c r="H37" i="30"/>
  <c r="H29" i="31"/>
  <c r="H31" i="31"/>
  <c r="H33" i="31"/>
  <c r="H35" i="31"/>
  <c r="H13" i="32"/>
  <c r="H24" i="32"/>
  <c r="H26" i="32"/>
  <c r="H28" i="32"/>
  <c r="H30" i="32"/>
  <c r="H32" i="32"/>
  <c r="H34" i="32"/>
  <c r="H36" i="32"/>
  <c r="H38" i="32"/>
  <c r="H10" i="33"/>
  <c r="J10" i="35"/>
  <c r="H10" i="35"/>
  <c r="J26" i="35"/>
  <c r="H26" i="35"/>
  <c r="J13" i="36"/>
  <c r="H13" i="36"/>
  <c r="J13" i="38"/>
  <c r="H13" i="38"/>
  <c r="J40" i="38"/>
  <c r="H40" i="38"/>
  <c r="J11" i="39"/>
  <c r="H11" i="39"/>
  <c r="J14" i="41"/>
  <c r="J40" i="41"/>
  <c r="H40" i="41"/>
  <c r="D50" i="44"/>
  <c r="H42" i="46"/>
  <c r="J14" i="34"/>
  <c r="J19" i="34"/>
  <c r="H22" i="34"/>
  <c r="H28" i="34"/>
  <c r="J35" i="34"/>
  <c r="H35" i="34"/>
  <c r="J16" i="35"/>
  <c r="H16" i="35"/>
  <c r="H28" i="36"/>
  <c r="J34" i="38"/>
  <c r="H34" i="38"/>
  <c r="J17" i="39"/>
  <c r="H17" i="39"/>
  <c r="J26" i="39"/>
  <c r="H26" i="39"/>
  <c r="J27" i="41"/>
  <c r="H27" i="41"/>
  <c r="H44" i="44"/>
  <c r="J42" i="46"/>
  <c r="I42" i="47"/>
  <c r="H42" i="47"/>
  <c r="H22" i="50"/>
  <c r="J22" i="50"/>
  <c r="J21" i="41"/>
  <c r="J38" i="42"/>
  <c r="J19" i="43"/>
  <c r="G49" i="47"/>
  <c r="I20" i="47" s="1"/>
  <c r="J9" i="47"/>
  <c r="I9" i="47"/>
  <c r="J16" i="47"/>
  <c r="H16" i="47"/>
  <c r="J14" i="48"/>
  <c r="H14" i="48"/>
  <c r="J18" i="48"/>
  <c r="H18" i="48"/>
  <c r="H34" i="48"/>
  <c r="J34" i="48"/>
  <c r="J44" i="48"/>
  <c r="H44" i="48"/>
  <c r="G49" i="49"/>
  <c r="I33" i="49" s="1"/>
  <c r="H16" i="50"/>
  <c r="J16" i="50"/>
  <c r="H21" i="50"/>
  <c r="J21" i="50"/>
  <c r="H24" i="51"/>
  <c r="J28" i="56"/>
  <c r="H28" i="56"/>
  <c r="J20" i="62"/>
  <c r="H20" i="62"/>
  <c r="I19" i="37"/>
  <c r="I29" i="37"/>
  <c r="J38" i="39"/>
  <c r="J33" i="40"/>
  <c r="J25" i="41"/>
  <c r="J25" i="42"/>
  <c r="J9" i="43"/>
  <c r="H9" i="43"/>
  <c r="J23" i="43"/>
  <c r="J34" i="44"/>
  <c r="J12" i="45"/>
  <c r="H12" i="45"/>
  <c r="J16" i="45"/>
  <c r="H16" i="45"/>
  <c r="J20" i="45"/>
  <c r="H20" i="45"/>
  <c r="J24" i="45"/>
  <c r="H24" i="45"/>
  <c r="J28" i="45"/>
  <c r="H28" i="45"/>
  <c r="J32" i="45"/>
  <c r="H32" i="45"/>
  <c r="G49" i="45"/>
  <c r="I23" i="45" s="1"/>
  <c r="H40" i="48"/>
  <c r="J39" i="50"/>
  <c r="H39" i="50"/>
  <c r="H14" i="54"/>
  <c r="J14" i="54"/>
  <c r="J10" i="57"/>
  <c r="H10" i="57"/>
  <c r="J10" i="59"/>
  <c r="H10" i="59"/>
  <c r="H15" i="65"/>
  <c r="J19" i="41"/>
  <c r="J35" i="41"/>
  <c r="J13" i="42"/>
  <c r="H13" i="42"/>
  <c r="J36" i="42"/>
  <c r="J17" i="43"/>
  <c r="J14" i="44"/>
  <c r="H14" i="44"/>
  <c r="J18" i="44"/>
  <c r="H18" i="44"/>
  <c r="I35" i="44"/>
  <c r="J45" i="44"/>
  <c r="H45" i="44"/>
  <c r="J24" i="47"/>
  <c r="J32" i="47"/>
  <c r="J40" i="47"/>
  <c r="D50" i="47"/>
  <c r="H31" i="48"/>
  <c r="J31" i="48"/>
  <c r="H36" i="48"/>
  <c r="J36" i="48"/>
  <c r="H9" i="50"/>
  <c r="G49" i="50"/>
  <c r="I34" i="50" s="1"/>
  <c r="H18" i="50"/>
  <c r="H27" i="51"/>
  <c r="G49" i="51"/>
  <c r="I10" i="51" s="1"/>
  <c r="H42" i="60"/>
  <c r="H9" i="35"/>
  <c r="H11" i="35"/>
  <c r="H13" i="35"/>
  <c r="H15" i="35"/>
  <c r="H17" i="35"/>
  <c r="H19" i="35"/>
  <c r="H21" i="35"/>
  <c r="H23" i="35"/>
  <c r="H25" i="35"/>
  <c r="H27" i="35"/>
  <c r="H29" i="35"/>
  <c r="H10" i="36"/>
  <c r="H12" i="36"/>
  <c r="H14" i="36"/>
  <c r="H16" i="36"/>
  <c r="H31" i="36"/>
  <c r="H9" i="37"/>
  <c r="H40" i="37"/>
  <c r="H20" i="38"/>
  <c r="H10" i="39"/>
  <c r="H12" i="39"/>
  <c r="H14" i="39"/>
  <c r="H16" i="39"/>
  <c r="H18" i="39"/>
  <c r="H20" i="39"/>
  <c r="H25" i="39"/>
  <c r="H37" i="40"/>
  <c r="G49" i="41"/>
  <c r="E50" i="41" s="1"/>
  <c r="H19" i="41"/>
  <c r="J29" i="41"/>
  <c r="H35" i="41"/>
  <c r="G49" i="42"/>
  <c r="I12" i="42" s="1"/>
  <c r="H17" i="42"/>
  <c r="J30" i="42"/>
  <c r="H36" i="42"/>
  <c r="H17" i="43"/>
  <c r="J27" i="43"/>
  <c r="I19" i="44"/>
  <c r="I46" i="44"/>
  <c r="G49" i="46"/>
  <c r="F50" i="46" s="1"/>
  <c r="J14" i="47"/>
  <c r="H14" i="47"/>
  <c r="J18" i="47"/>
  <c r="I18" i="47"/>
  <c r="H18" i="47"/>
  <c r="H24" i="47"/>
  <c r="H32" i="47"/>
  <c r="H40" i="47"/>
  <c r="J47" i="47"/>
  <c r="J16" i="48"/>
  <c r="H16" i="48"/>
  <c r="H20" i="48"/>
  <c r="H37" i="48"/>
  <c r="J37" i="48"/>
  <c r="J9" i="50"/>
  <c r="J18" i="50"/>
  <c r="J28" i="39"/>
  <c r="H28" i="39"/>
  <c r="J32" i="39"/>
  <c r="H32" i="39"/>
  <c r="H36" i="39"/>
  <c r="J23" i="41"/>
  <c r="H29" i="41"/>
  <c r="H30" i="42"/>
  <c r="J40" i="42"/>
  <c r="J21" i="43"/>
  <c r="H27" i="43"/>
  <c r="I23" i="44"/>
  <c r="J32" i="44"/>
  <c r="I39" i="44"/>
  <c r="J40" i="45"/>
  <c r="J22" i="47"/>
  <c r="J30" i="47"/>
  <c r="I30" i="47"/>
  <c r="J38" i="47"/>
  <c r="I38" i="47"/>
  <c r="H47" i="47"/>
  <c r="H33" i="49"/>
  <c r="H19" i="50"/>
  <c r="J19" i="50"/>
  <c r="J10" i="51"/>
  <c r="H10" i="51"/>
  <c r="J14" i="51"/>
  <c r="H14" i="51"/>
  <c r="J18" i="51"/>
  <c r="H18" i="51"/>
  <c r="J22" i="51"/>
  <c r="H22" i="51"/>
  <c r="J25" i="54"/>
  <c r="H25" i="54"/>
  <c r="H28" i="58"/>
  <c r="J33" i="41"/>
  <c r="J15" i="42"/>
  <c r="I15" i="42"/>
  <c r="J34" i="42"/>
  <c r="J11" i="43"/>
  <c r="H11" i="43"/>
  <c r="J15" i="43"/>
  <c r="I20" i="44"/>
  <c r="J26" i="44"/>
  <c r="J42" i="44"/>
  <c r="J14" i="45"/>
  <c r="H14" i="45"/>
  <c r="J18" i="45"/>
  <c r="H18" i="45"/>
  <c r="J22" i="45"/>
  <c r="H22" i="45"/>
  <c r="J26" i="45"/>
  <c r="H26" i="45"/>
  <c r="J30" i="45"/>
  <c r="H30" i="45"/>
  <c r="H34" i="45"/>
  <c r="H33" i="48"/>
  <c r="H43" i="48"/>
  <c r="H32" i="50"/>
  <c r="J32" i="50"/>
  <c r="H30" i="54"/>
  <c r="J14" i="55"/>
  <c r="H14" i="55"/>
  <c r="J34" i="55"/>
  <c r="H34" i="55"/>
  <c r="G49" i="40"/>
  <c r="F50" i="40" s="1"/>
  <c r="H30" i="48"/>
  <c r="J39" i="48"/>
  <c r="H32" i="49"/>
  <c r="H15" i="50"/>
  <c r="J28" i="55"/>
  <c r="H28" i="55"/>
  <c r="J41" i="62"/>
  <c r="H41" i="62"/>
  <c r="H28" i="48"/>
  <c r="G49" i="48"/>
  <c r="I15" i="48" s="1"/>
  <c r="H30" i="49"/>
  <c r="H13" i="50"/>
  <c r="J12" i="51"/>
  <c r="H12" i="51"/>
  <c r="J16" i="51"/>
  <c r="H16" i="51"/>
  <c r="J20" i="51"/>
  <c r="H20" i="51"/>
  <c r="J37" i="54"/>
  <c r="J26" i="55"/>
  <c r="J42" i="55"/>
  <c r="H26" i="56"/>
  <c r="J36" i="56"/>
  <c r="H36" i="56"/>
  <c r="J23" i="57"/>
  <c r="H23" i="57"/>
  <c r="J13" i="60"/>
  <c r="H13" i="60"/>
  <c r="H23" i="44"/>
  <c r="H25" i="44"/>
  <c r="H27" i="44"/>
  <c r="H29" i="44"/>
  <c r="H31" i="44"/>
  <c r="H33" i="44"/>
  <c r="H35" i="44"/>
  <c r="H37" i="44"/>
  <c r="H39" i="44"/>
  <c r="H41" i="44"/>
  <c r="H43" i="44"/>
  <c r="H39" i="45"/>
  <c r="H41" i="46"/>
  <c r="H43" i="46"/>
  <c r="H12" i="47"/>
  <c r="H9" i="48"/>
  <c r="J28" i="48"/>
  <c r="H38" i="48"/>
  <c r="H27" i="49"/>
  <c r="J30" i="49"/>
  <c r="J13" i="50"/>
  <c r="H23" i="50"/>
  <c r="H37" i="54"/>
  <c r="H10" i="55"/>
  <c r="J20" i="55"/>
  <c r="H20" i="55"/>
  <c r="H26" i="55"/>
  <c r="J36" i="55"/>
  <c r="H36" i="55"/>
  <c r="H42" i="55"/>
  <c r="J22" i="56"/>
  <c r="H22" i="56"/>
  <c r="J25" i="48"/>
  <c r="H32" i="48"/>
  <c r="J41" i="48"/>
  <c r="J10" i="50"/>
  <c r="H17" i="50"/>
  <c r="J26" i="50"/>
  <c r="H28" i="53"/>
  <c r="J18" i="56"/>
  <c r="H18" i="56"/>
  <c r="H35" i="59"/>
  <c r="H26" i="48"/>
  <c r="H42" i="48"/>
  <c r="H11" i="50"/>
  <c r="J37" i="50"/>
  <c r="H37" i="50"/>
  <c r="J22" i="52"/>
  <c r="H22" i="52"/>
  <c r="J26" i="52"/>
  <c r="H26" i="52"/>
  <c r="J30" i="52"/>
  <c r="H30" i="52"/>
  <c r="J34" i="52"/>
  <c r="H34" i="52"/>
  <c r="G49" i="52"/>
  <c r="C50" i="52" s="1"/>
  <c r="J12" i="54"/>
  <c r="H12" i="54"/>
  <c r="J34" i="56"/>
  <c r="H20" i="57"/>
  <c r="J31" i="63"/>
  <c r="H31" i="63"/>
  <c r="G49" i="54"/>
  <c r="J16" i="54"/>
  <c r="H16" i="54"/>
  <c r="J14" i="56"/>
  <c r="H14" i="56"/>
  <c r="J19" i="58"/>
  <c r="J31" i="58"/>
  <c r="J43" i="69"/>
  <c r="H43" i="69"/>
  <c r="J18" i="55"/>
  <c r="J13" i="67"/>
  <c r="H13" i="67"/>
  <c r="H25" i="50"/>
  <c r="H27" i="50"/>
  <c r="H29" i="50"/>
  <c r="H31" i="50"/>
  <c r="H33" i="50"/>
  <c r="H35" i="50"/>
  <c r="H32" i="51"/>
  <c r="H20" i="52"/>
  <c r="H39" i="52"/>
  <c r="H33" i="53"/>
  <c r="H10" i="54"/>
  <c r="H18" i="55"/>
  <c r="H24" i="55"/>
  <c r="H32" i="55"/>
  <c r="H40" i="55"/>
  <c r="H32" i="56"/>
  <c r="H40" i="56"/>
  <c r="H17" i="58"/>
  <c r="J17" i="58"/>
  <c r="H25" i="58"/>
  <c r="J29" i="59"/>
  <c r="H29" i="59"/>
  <c r="J19" i="60"/>
  <c r="H19" i="60"/>
  <c r="J26" i="62"/>
  <c r="H26" i="62"/>
  <c r="H35" i="63"/>
  <c r="J35" i="63"/>
  <c r="H9" i="49"/>
  <c r="H35" i="54"/>
  <c r="J15" i="55"/>
  <c r="G49" i="56"/>
  <c r="I22" i="56" s="1"/>
  <c r="H9" i="56"/>
  <c r="J16" i="56"/>
  <c r="H16" i="56"/>
  <c r="J12" i="57"/>
  <c r="J23" i="60"/>
  <c r="H23" i="60"/>
  <c r="J17" i="63"/>
  <c r="H17" i="63"/>
  <c r="J32" i="64"/>
  <c r="H32" i="64"/>
  <c r="J36" i="64"/>
  <c r="H36" i="64"/>
  <c r="H28" i="66"/>
  <c r="G49" i="55"/>
  <c r="I41" i="55" s="1"/>
  <c r="H9" i="55"/>
  <c r="J16" i="55"/>
  <c r="J20" i="56"/>
  <c r="J24" i="56"/>
  <c r="J25" i="57"/>
  <c r="G49" i="58"/>
  <c r="I22" i="58" s="1"/>
  <c r="J16" i="59"/>
  <c r="J17" i="60"/>
  <c r="H17" i="60"/>
  <c r="J15" i="63"/>
  <c r="H15" i="63"/>
  <c r="J26" i="63"/>
  <c r="H26" i="63"/>
  <c r="H18" i="54"/>
  <c r="H20" i="54"/>
  <c r="H22" i="54"/>
  <c r="H24" i="54"/>
  <c r="H26" i="54"/>
  <c r="H28" i="54"/>
  <c r="H43" i="56"/>
  <c r="H9" i="58"/>
  <c r="H11" i="58"/>
  <c r="H13" i="58"/>
  <c r="H20" i="58"/>
  <c r="J33" i="59"/>
  <c r="H33" i="59"/>
  <c r="J11" i="60"/>
  <c r="H11" i="60"/>
  <c r="H27" i="60"/>
  <c r="J24" i="62"/>
  <c r="H24" i="62"/>
  <c r="J39" i="62"/>
  <c r="H39" i="62"/>
  <c r="H11" i="63"/>
  <c r="J22" i="63"/>
  <c r="H22" i="63"/>
  <c r="H17" i="64"/>
  <c r="H30" i="66"/>
  <c r="J37" i="72"/>
  <c r="H37" i="72"/>
  <c r="G49" i="57"/>
  <c r="J27" i="59"/>
  <c r="H27" i="59"/>
  <c r="J21" i="60"/>
  <c r="H21" i="60"/>
  <c r="J40" i="60"/>
  <c r="H40" i="60"/>
  <c r="J18" i="62"/>
  <c r="H18" i="62"/>
  <c r="H13" i="64"/>
  <c r="J18" i="64"/>
  <c r="H18" i="64"/>
  <c r="J15" i="66"/>
  <c r="H15" i="66"/>
  <c r="J29" i="68"/>
  <c r="H29" i="68"/>
  <c r="J18" i="69"/>
  <c r="H18" i="69"/>
  <c r="H18" i="58"/>
  <c r="J15" i="60"/>
  <c r="H15" i="60"/>
  <c r="J28" i="62"/>
  <c r="H28" i="62"/>
  <c r="J13" i="63"/>
  <c r="H13" i="63"/>
  <c r="G49" i="64"/>
  <c r="I29" i="64" s="1"/>
  <c r="H9" i="64"/>
  <c r="J13" i="64"/>
  <c r="J24" i="67"/>
  <c r="H24" i="67"/>
  <c r="G49" i="59"/>
  <c r="I17" i="59" s="1"/>
  <c r="J12" i="59"/>
  <c r="J31" i="59"/>
  <c r="H31" i="59"/>
  <c r="G49" i="60"/>
  <c r="I42" i="60" s="1"/>
  <c r="J9" i="60"/>
  <c r="H9" i="60"/>
  <c r="J25" i="60"/>
  <c r="H25" i="60"/>
  <c r="J22" i="62"/>
  <c r="H22" i="62"/>
  <c r="J36" i="67"/>
  <c r="H36" i="67"/>
  <c r="J41" i="63"/>
  <c r="H41" i="63"/>
  <c r="H11" i="65"/>
  <c r="J24" i="65"/>
  <c r="H24" i="65"/>
  <c r="J30" i="67"/>
  <c r="H30" i="67"/>
  <c r="J41" i="72"/>
  <c r="H41" i="72"/>
  <c r="J30" i="64"/>
  <c r="H30" i="64"/>
  <c r="J13" i="65"/>
  <c r="H13" i="65"/>
  <c r="J21" i="66"/>
  <c r="H21" i="66"/>
  <c r="J25" i="66"/>
  <c r="H25" i="66"/>
  <c r="J34" i="67"/>
  <c r="H34" i="67"/>
  <c r="H21" i="59"/>
  <c r="H23" i="59"/>
  <c r="H25" i="59"/>
  <c r="H38" i="60"/>
  <c r="H11" i="61"/>
  <c r="H26" i="61"/>
  <c r="H28" i="61"/>
  <c r="H30" i="61"/>
  <c r="H32" i="61"/>
  <c r="H34" i="61"/>
  <c r="H36" i="61"/>
  <c r="H38" i="61"/>
  <c r="H40" i="61"/>
  <c r="H31" i="62"/>
  <c r="H33" i="62"/>
  <c r="H35" i="62"/>
  <c r="H37" i="62"/>
  <c r="G49" i="63"/>
  <c r="I31" i="63" s="1"/>
  <c r="H20" i="63"/>
  <c r="H29" i="63"/>
  <c r="J39" i="63"/>
  <c r="H39" i="63"/>
  <c r="J22" i="65"/>
  <c r="H22" i="65"/>
  <c r="G49" i="67"/>
  <c r="I36" i="67" s="1"/>
  <c r="H9" i="67"/>
  <c r="J28" i="67"/>
  <c r="H28" i="67"/>
  <c r="H36" i="70"/>
  <c r="J29" i="63"/>
  <c r="J34" i="64"/>
  <c r="H34" i="64"/>
  <c r="G49" i="65"/>
  <c r="C50" i="65" s="1"/>
  <c r="H18" i="65"/>
  <c r="J35" i="66"/>
  <c r="H35" i="66"/>
  <c r="J38" i="67"/>
  <c r="H38" i="67"/>
  <c r="H31" i="68"/>
  <c r="J27" i="73"/>
  <c r="H27" i="73"/>
  <c r="J31" i="73"/>
  <c r="H31" i="73"/>
  <c r="J35" i="73"/>
  <c r="H35" i="73"/>
  <c r="J39" i="73"/>
  <c r="H39" i="73"/>
  <c r="H28" i="60"/>
  <c r="H30" i="60"/>
  <c r="H32" i="60"/>
  <c r="H34" i="60"/>
  <c r="H36" i="60"/>
  <c r="H43" i="60"/>
  <c r="H9" i="61"/>
  <c r="H14" i="61"/>
  <c r="H16" i="61"/>
  <c r="H18" i="61"/>
  <c r="H20" i="61"/>
  <c r="H22" i="61"/>
  <c r="H9" i="62"/>
  <c r="H11" i="62"/>
  <c r="H13" i="62"/>
  <c r="H15" i="62"/>
  <c r="G49" i="62"/>
  <c r="I9" i="62" s="1"/>
  <c r="H12" i="63"/>
  <c r="H25" i="63"/>
  <c r="J28" i="64"/>
  <c r="H28" i="64"/>
  <c r="J11" i="67"/>
  <c r="H11" i="67"/>
  <c r="J15" i="67"/>
  <c r="H15" i="67"/>
  <c r="J32" i="67"/>
  <c r="H32" i="67"/>
  <c r="J21" i="72"/>
  <c r="H21" i="72"/>
  <c r="G49" i="73"/>
  <c r="I31" i="73" s="1"/>
  <c r="H9" i="73"/>
  <c r="J25" i="63"/>
  <c r="J37" i="63"/>
  <c r="H37" i="63"/>
  <c r="J20" i="64"/>
  <c r="H20" i="64"/>
  <c r="J20" i="65"/>
  <c r="H20" i="65"/>
  <c r="J19" i="66"/>
  <c r="H19" i="66"/>
  <c r="J23" i="66"/>
  <c r="H23" i="66"/>
  <c r="J26" i="67"/>
  <c r="H26" i="67"/>
  <c r="J25" i="72"/>
  <c r="H25" i="72"/>
  <c r="J22" i="69"/>
  <c r="H22" i="69"/>
  <c r="J31" i="70"/>
  <c r="H31" i="70"/>
  <c r="G49" i="72"/>
  <c r="I10" i="72" s="1"/>
  <c r="J31" i="72"/>
  <c r="H31" i="72"/>
  <c r="J15" i="69"/>
  <c r="J26" i="69"/>
  <c r="H26" i="69"/>
  <c r="J30" i="69"/>
  <c r="H30" i="69"/>
  <c r="I18" i="71"/>
  <c r="I26" i="71"/>
  <c r="H34" i="71"/>
  <c r="H10" i="72"/>
  <c r="J35" i="72"/>
  <c r="H35" i="72"/>
  <c r="H10" i="64"/>
  <c r="H12" i="64"/>
  <c r="H14" i="64"/>
  <c r="H16" i="64"/>
  <c r="H16" i="65"/>
  <c r="H40" i="65"/>
  <c r="G49" i="66"/>
  <c r="I28" i="66" s="1"/>
  <c r="I29" i="71"/>
  <c r="C50" i="71"/>
  <c r="J29" i="72"/>
  <c r="H29" i="72"/>
  <c r="H38" i="65"/>
  <c r="H9" i="66"/>
  <c r="H20" i="66"/>
  <c r="H22" i="66"/>
  <c r="H24" i="66"/>
  <c r="H26" i="66"/>
  <c r="H34" i="66"/>
  <c r="H36" i="66"/>
  <c r="H12" i="67"/>
  <c r="H14" i="67"/>
  <c r="H16" i="67"/>
  <c r="H41" i="67"/>
  <c r="G49" i="68"/>
  <c r="I27" i="68" s="1"/>
  <c r="H27" i="68"/>
  <c r="G49" i="69"/>
  <c r="I39" i="69" s="1"/>
  <c r="J33" i="70"/>
  <c r="H33" i="70"/>
  <c r="J23" i="72"/>
  <c r="H23" i="72"/>
  <c r="J39" i="72"/>
  <c r="H39" i="72"/>
  <c r="J21" i="76"/>
  <c r="H21" i="76"/>
  <c r="H9" i="68"/>
  <c r="H11" i="68"/>
  <c r="H13" i="68"/>
  <c r="H15" i="68"/>
  <c r="H17" i="68"/>
  <c r="H19" i="68"/>
  <c r="H21" i="68"/>
  <c r="H23" i="68"/>
  <c r="H25" i="68"/>
  <c r="J24" i="69"/>
  <c r="H24" i="69"/>
  <c r="H29" i="70"/>
  <c r="J33" i="72"/>
  <c r="H33" i="72"/>
  <c r="J29" i="73"/>
  <c r="H29" i="73"/>
  <c r="J33" i="73"/>
  <c r="H33" i="73"/>
  <c r="J37" i="73"/>
  <c r="H37" i="73"/>
  <c r="H41" i="73"/>
  <c r="J28" i="69"/>
  <c r="H28" i="69"/>
  <c r="I14" i="71"/>
  <c r="J27" i="72"/>
  <c r="H27" i="72"/>
  <c r="J15" i="76"/>
  <c r="H15" i="76"/>
  <c r="H19" i="76"/>
  <c r="J25" i="76"/>
  <c r="J18" i="79"/>
  <c r="H18" i="79"/>
  <c r="J22" i="79"/>
  <c r="H22" i="79"/>
  <c r="J26" i="79"/>
  <c r="H26" i="79"/>
  <c r="J30" i="79"/>
  <c r="H30" i="79"/>
  <c r="J34" i="79"/>
  <c r="H34" i="79"/>
  <c r="G49" i="70"/>
  <c r="I18" i="70" s="1"/>
  <c r="J10" i="75"/>
  <c r="J18" i="75"/>
  <c r="J34" i="75"/>
  <c r="H34" i="75"/>
  <c r="J31" i="76"/>
  <c r="I26" i="77"/>
  <c r="I10" i="77"/>
  <c r="I21" i="77"/>
  <c r="I35" i="77"/>
  <c r="J12" i="74"/>
  <c r="J19" i="74"/>
  <c r="H19" i="74"/>
  <c r="J16" i="75"/>
  <c r="J27" i="76"/>
  <c r="H9" i="69"/>
  <c r="H14" i="69"/>
  <c r="H33" i="69"/>
  <c r="H35" i="69"/>
  <c r="H37" i="69"/>
  <c r="H39" i="69"/>
  <c r="H41" i="69"/>
  <c r="G49" i="75"/>
  <c r="D50" i="75" s="1"/>
  <c r="J17" i="76"/>
  <c r="H17" i="76"/>
  <c r="J33" i="76"/>
  <c r="J36" i="77"/>
  <c r="H36" i="77"/>
  <c r="I10" i="78"/>
  <c r="J20" i="79"/>
  <c r="H20" i="79"/>
  <c r="J24" i="79"/>
  <c r="H24" i="79"/>
  <c r="J28" i="79"/>
  <c r="H28" i="79"/>
  <c r="J32" i="79"/>
  <c r="H32" i="79"/>
  <c r="J36" i="79"/>
  <c r="H36" i="79"/>
  <c r="H44" i="72"/>
  <c r="H46" i="72"/>
  <c r="H21" i="73"/>
  <c r="H23" i="73"/>
  <c r="H44" i="73"/>
  <c r="G49" i="74"/>
  <c r="I14" i="74" s="1"/>
  <c r="J14" i="75"/>
  <c r="H36" i="75"/>
  <c r="G49" i="76"/>
  <c r="I21" i="76" s="1"/>
  <c r="J23" i="76"/>
  <c r="H33" i="76"/>
  <c r="G49" i="79"/>
  <c r="I22" i="79" s="1"/>
  <c r="J29" i="76"/>
  <c r="J10" i="74"/>
  <c r="J14" i="74"/>
  <c r="H29" i="75"/>
  <c r="J35" i="76"/>
  <c r="J32" i="78"/>
  <c r="H32" i="78"/>
  <c r="H9" i="74"/>
  <c r="H11" i="74"/>
  <c r="H13" i="74"/>
  <c r="H20" i="76"/>
  <c r="H22" i="76"/>
  <c r="H24" i="76"/>
  <c r="H26" i="76"/>
  <c r="H28" i="76"/>
  <c r="H30" i="76"/>
  <c r="H32" i="76"/>
  <c r="H34" i="76"/>
  <c r="H36" i="76"/>
  <c r="H38" i="76"/>
  <c r="H40" i="76"/>
  <c r="H42" i="76"/>
  <c r="H12" i="78"/>
  <c r="I18" i="78"/>
  <c r="H10" i="80"/>
  <c r="J9" i="74"/>
  <c r="H9" i="77"/>
  <c r="G49" i="80"/>
  <c r="I23" i="80" s="1"/>
  <c r="H9" i="80"/>
  <c r="H11" i="80"/>
  <c r="H32" i="80"/>
  <c r="I19" i="82" l="1"/>
  <c r="I25" i="82"/>
  <c r="I12" i="82"/>
  <c r="I22" i="82"/>
  <c r="I23" i="82"/>
  <c r="I18" i="82"/>
  <c r="I17" i="82"/>
  <c r="I24" i="82"/>
  <c r="I32" i="82"/>
  <c r="I13" i="82"/>
  <c r="I20" i="82"/>
  <c r="I11" i="82"/>
  <c r="I16" i="82"/>
  <c r="I9" i="82"/>
  <c r="I31" i="82"/>
  <c r="E50" i="82"/>
  <c r="F50" i="82"/>
  <c r="I27" i="82"/>
  <c r="H49" i="82"/>
  <c r="I10" i="82"/>
  <c r="I15" i="82"/>
  <c r="C50" i="82"/>
  <c r="I28" i="82"/>
  <c r="D50" i="82"/>
  <c r="I30" i="82"/>
  <c r="I21" i="82"/>
  <c r="I26" i="82"/>
  <c r="I29" i="82"/>
  <c r="I16" i="78"/>
  <c r="I25" i="78"/>
  <c r="I25" i="37"/>
  <c r="I11" i="37"/>
  <c r="I24" i="37"/>
  <c r="I20" i="21"/>
  <c r="I21" i="78"/>
  <c r="I27" i="78"/>
  <c r="I24" i="78"/>
  <c r="I28" i="18"/>
  <c r="I47" i="13"/>
  <c r="I26" i="37"/>
  <c r="C50" i="21"/>
  <c r="I26" i="18"/>
  <c r="I17" i="21"/>
  <c r="I30" i="78"/>
  <c r="E50" i="37"/>
  <c r="I38" i="21"/>
  <c r="I31" i="18"/>
  <c r="D50" i="21"/>
  <c r="D50" i="78"/>
  <c r="I20" i="78"/>
  <c r="I10" i="21"/>
  <c r="I34" i="21"/>
  <c r="I33" i="65"/>
  <c r="I32" i="61"/>
  <c r="I11" i="61"/>
  <c r="I41" i="39"/>
  <c r="I30" i="61"/>
  <c r="I13" i="38"/>
  <c r="F50" i="38"/>
  <c r="I9" i="13"/>
  <c r="I13" i="61"/>
  <c r="I14" i="47"/>
  <c r="I30" i="38"/>
  <c r="I36" i="38"/>
  <c r="I15" i="47"/>
  <c r="I40" i="38"/>
  <c r="I36" i="61"/>
  <c r="I18" i="44"/>
  <c r="I9" i="42"/>
  <c r="I26" i="27"/>
  <c r="I28" i="38"/>
  <c r="I37" i="44"/>
  <c r="I18" i="27"/>
  <c r="I15" i="50"/>
  <c r="I13" i="44"/>
  <c r="I24" i="43"/>
  <c r="C50" i="47"/>
  <c r="I39" i="27"/>
  <c r="I23" i="77"/>
  <c r="H49" i="13"/>
  <c r="I36" i="77"/>
  <c r="I13" i="77"/>
  <c r="I29" i="77"/>
  <c r="I34" i="77"/>
  <c r="E50" i="71"/>
  <c r="I17" i="77"/>
  <c r="I33" i="77"/>
  <c r="I22" i="77"/>
  <c r="D50" i="77"/>
  <c r="I30" i="71"/>
  <c r="I19" i="71"/>
  <c r="I12" i="71"/>
  <c r="I10" i="50"/>
  <c r="I28" i="47"/>
  <c r="I21" i="13"/>
  <c r="I19" i="77"/>
  <c r="E50" i="77"/>
  <c r="I24" i="77"/>
  <c r="I22" i="71"/>
  <c r="I11" i="71"/>
  <c r="I34" i="71"/>
  <c r="I37" i="34"/>
  <c r="I34" i="29"/>
  <c r="C50" i="77"/>
  <c r="I12" i="77"/>
  <c r="I9" i="71"/>
  <c r="I32" i="71"/>
  <c r="I21" i="71"/>
  <c r="I10" i="71"/>
  <c r="I25" i="71"/>
  <c r="I31" i="39"/>
  <c r="H49" i="27"/>
  <c r="I37" i="77"/>
  <c r="I28" i="77"/>
  <c r="F50" i="77"/>
  <c r="I9" i="77"/>
  <c r="I25" i="77"/>
  <c r="I14" i="77"/>
  <c r="I30" i="77"/>
  <c r="I11" i="77"/>
  <c r="I27" i="77"/>
  <c r="I16" i="77"/>
  <c r="I32" i="77"/>
  <c r="I24" i="71"/>
  <c r="I13" i="71"/>
  <c r="I31" i="71"/>
  <c r="I17" i="71"/>
  <c r="I28" i="39"/>
  <c r="I25" i="50"/>
  <c r="I26" i="34"/>
  <c r="I17" i="13"/>
  <c r="I23" i="71"/>
  <c r="I33" i="71"/>
  <c r="H49" i="47"/>
  <c r="I32" i="34"/>
  <c r="I32" i="27"/>
  <c r="I18" i="77"/>
  <c r="I16" i="71"/>
  <c r="I28" i="71"/>
  <c r="I15" i="77"/>
  <c r="I31" i="77"/>
  <c r="F50" i="71"/>
  <c r="I27" i="71"/>
  <c r="I20" i="71"/>
  <c r="I15" i="71"/>
  <c r="I17" i="47"/>
  <c r="I35" i="13"/>
  <c r="H49" i="79"/>
  <c r="C50" i="79"/>
  <c r="E50" i="79"/>
  <c r="I24" i="79"/>
  <c r="I26" i="79"/>
  <c r="I41" i="79"/>
  <c r="I38" i="79"/>
  <c r="I34" i="79"/>
  <c r="I11" i="79"/>
  <c r="I18" i="79"/>
  <c r="I32" i="79"/>
  <c r="I20" i="79"/>
  <c r="I29" i="78"/>
  <c r="E50" i="78"/>
  <c r="I12" i="78"/>
  <c r="I19" i="78"/>
  <c r="I14" i="78"/>
  <c r="I9" i="78"/>
  <c r="I13" i="78"/>
  <c r="I32" i="78"/>
  <c r="F50" i="78"/>
  <c r="I31" i="78"/>
  <c r="I26" i="78"/>
  <c r="I11" i="78"/>
  <c r="I22" i="78"/>
  <c r="I15" i="78"/>
  <c r="I33" i="78"/>
  <c r="I28" i="78"/>
  <c r="H49" i="78"/>
  <c r="I17" i="78"/>
  <c r="I23" i="78"/>
  <c r="H49" i="77"/>
  <c r="I35" i="76"/>
  <c r="I11" i="76"/>
  <c r="I16" i="76"/>
  <c r="I43" i="76"/>
  <c r="I39" i="76"/>
  <c r="I14" i="76"/>
  <c r="I10" i="76"/>
  <c r="I37" i="76"/>
  <c r="I18" i="76"/>
  <c r="I31" i="76"/>
  <c r="I25" i="76"/>
  <c r="I33" i="76"/>
  <c r="I9" i="76"/>
  <c r="I15" i="76"/>
  <c r="C50" i="76"/>
  <c r="H49" i="76"/>
  <c r="I33" i="75"/>
  <c r="I29" i="75"/>
  <c r="I36" i="75"/>
  <c r="F50" i="75"/>
  <c r="I10" i="75"/>
  <c r="I35" i="75"/>
  <c r="I10" i="74"/>
  <c r="I12" i="74"/>
  <c r="I19" i="74"/>
  <c r="D50" i="74"/>
  <c r="I23" i="73"/>
  <c r="F50" i="73"/>
  <c r="I44" i="73"/>
  <c r="I35" i="73"/>
  <c r="C50" i="72"/>
  <c r="I27" i="72"/>
  <c r="H49" i="72"/>
  <c r="H49" i="71"/>
  <c r="I29" i="70"/>
  <c r="I22" i="70"/>
  <c r="D50" i="70"/>
  <c r="I19" i="70"/>
  <c r="I16" i="70"/>
  <c r="H49" i="70"/>
  <c r="I37" i="69"/>
  <c r="I33" i="69"/>
  <c r="I38" i="69"/>
  <c r="I11" i="69"/>
  <c r="E50" i="69"/>
  <c r="I35" i="69"/>
  <c r="I41" i="69"/>
  <c r="I26" i="69"/>
  <c r="I16" i="68"/>
  <c r="I17" i="68"/>
  <c r="I15" i="67"/>
  <c r="E50" i="67"/>
  <c r="I38" i="67"/>
  <c r="I28" i="67"/>
  <c r="I26" i="67"/>
  <c r="I32" i="67"/>
  <c r="I11" i="67"/>
  <c r="I13" i="67"/>
  <c r="I14" i="67"/>
  <c r="I40" i="67"/>
  <c r="I16" i="67"/>
  <c r="I9" i="67"/>
  <c r="I30" i="67"/>
  <c r="I35" i="66"/>
  <c r="I17" i="66"/>
  <c r="I27" i="66"/>
  <c r="I25" i="66"/>
  <c r="C50" i="66"/>
  <c r="I24" i="66"/>
  <c r="I15" i="66"/>
  <c r="I20" i="66"/>
  <c r="I36" i="66"/>
  <c r="I22" i="66"/>
  <c r="I9" i="66"/>
  <c r="I10" i="66"/>
  <c r="I23" i="65"/>
  <c r="I13" i="65"/>
  <c r="I16" i="65"/>
  <c r="I41" i="65"/>
  <c r="I18" i="65"/>
  <c r="I17" i="65"/>
  <c r="I11" i="65"/>
  <c r="I9" i="65"/>
  <c r="I35" i="65"/>
  <c r="I10" i="65"/>
  <c r="I14" i="65"/>
  <c r="H49" i="65"/>
  <c r="I31" i="65"/>
  <c r="I29" i="65"/>
  <c r="I37" i="65"/>
  <c r="I40" i="65"/>
  <c r="I39" i="65"/>
  <c r="I38" i="65"/>
  <c r="I26" i="65"/>
  <c r="F50" i="65"/>
  <c r="I35" i="64"/>
  <c r="I14" i="64"/>
  <c r="I31" i="64"/>
  <c r="I10" i="64"/>
  <c r="I34" i="64"/>
  <c r="I32" i="64"/>
  <c r="I15" i="64"/>
  <c r="I9" i="64"/>
  <c r="D50" i="64"/>
  <c r="I18" i="64"/>
  <c r="I37" i="63"/>
  <c r="I41" i="63"/>
  <c r="I15" i="63"/>
  <c r="I33" i="63"/>
  <c r="H49" i="63"/>
  <c r="C50" i="63"/>
  <c r="I11" i="63"/>
  <c r="I45" i="63"/>
  <c r="I19" i="63"/>
  <c r="I43" i="63"/>
  <c r="D50" i="63"/>
  <c r="I39" i="63"/>
  <c r="I12" i="63"/>
  <c r="I26" i="63"/>
  <c r="I35" i="63"/>
  <c r="F50" i="63"/>
  <c r="I23" i="63"/>
  <c r="E50" i="63"/>
  <c r="I25" i="63"/>
  <c r="I20" i="63"/>
  <c r="I22" i="63"/>
  <c r="I33" i="62"/>
  <c r="I18" i="62"/>
  <c r="D50" i="62"/>
  <c r="I41" i="62"/>
  <c r="I15" i="62"/>
  <c r="I34" i="62"/>
  <c r="I13" i="62"/>
  <c r="I32" i="62"/>
  <c r="I37" i="62"/>
  <c r="I20" i="62"/>
  <c r="I23" i="61"/>
  <c r="C50" i="61"/>
  <c r="I24" i="61"/>
  <c r="I37" i="61"/>
  <c r="I34" i="61"/>
  <c r="E50" i="61"/>
  <c r="I41" i="61"/>
  <c r="F50" i="61"/>
  <c r="I20" i="61"/>
  <c r="I28" i="61"/>
  <c r="I39" i="61"/>
  <c r="I22" i="61"/>
  <c r="I15" i="61"/>
  <c r="I29" i="61"/>
  <c r="I16" i="61"/>
  <c r="I33" i="61"/>
  <c r="I26" i="61"/>
  <c r="I35" i="61"/>
  <c r="I18" i="61"/>
  <c r="I17" i="61"/>
  <c r="I25" i="61"/>
  <c r="I9" i="61"/>
  <c r="I40" i="61"/>
  <c r="I31" i="61"/>
  <c r="I14" i="61"/>
  <c r="I19" i="61"/>
  <c r="D50" i="61"/>
  <c r="I38" i="61"/>
  <c r="I27" i="61"/>
  <c r="I21" i="61"/>
  <c r="I12" i="61"/>
  <c r="I17" i="60"/>
  <c r="I30" i="60"/>
  <c r="I28" i="60"/>
  <c r="I9" i="60"/>
  <c r="I13" i="60"/>
  <c r="I23" i="60"/>
  <c r="I43" i="60"/>
  <c r="I32" i="60"/>
  <c r="C50" i="60"/>
  <c r="H49" i="59"/>
  <c r="H49" i="57"/>
  <c r="I33" i="56"/>
  <c r="I41" i="56"/>
  <c r="I14" i="56"/>
  <c r="I34" i="56"/>
  <c r="I9" i="56"/>
  <c r="I20" i="56"/>
  <c r="I27" i="56"/>
  <c r="I26" i="56"/>
  <c r="I16" i="56"/>
  <c r="I24" i="56"/>
  <c r="I32" i="56"/>
  <c r="I35" i="56"/>
  <c r="I37" i="56"/>
  <c r="I39" i="56"/>
  <c r="I18" i="56"/>
  <c r="I40" i="56"/>
  <c r="F50" i="56"/>
  <c r="E50" i="56"/>
  <c r="I31" i="56"/>
  <c r="I24" i="55"/>
  <c r="H49" i="54"/>
  <c r="I33" i="53"/>
  <c r="F50" i="53"/>
  <c r="D50" i="53"/>
  <c r="I27" i="53"/>
  <c r="I11" i="53"/>
  <c r="I19" i="53"/>
  <c r="I13" i="53"/>
  <c r="I18" i="53"/>
  <c r="I15" i="53"/>
  <c r="I22" i="53"/>
  <c r="C50" i="53"/>
  <c r="I9" i="53"/>
  <c r="I24" i="53"/>
  <c r="I28" i="53"/>
  <c r="I17" i="53"/>
  <c r="I25" i="53"/>
  <c r="I10" i="53"/>
  <c r="I26" i="53"/>
  <c r="I29" i="53"/>
  <c r="I12" i="53"/>
  <c r="I31" i="53"/>
  <c r="I14" i="53"/>
  <c r="E50" i="53"/>
  <c r="I23" i="53"/>
  <c r="I30" i="53"/>
  <c r="I16" i="53"/>
  <c r="I32" i="53"/>
  <c r="I21" i="53"/>
  <c r="H49" i="53"/>
  <c r="I21" i="52"/>
  <c r="I22" i="52"/>
  <c r="I30" i="52"/>
  <c r="I39" i="52"/>
  <c r="I31" i="52"/>
  <c r="H49" i="52"/>
  <c r="D50" i="52"/>
  <c r="I23" i="52"/>
  <c r="I29" i="52"/>
  <c r="I32" i="51"/>
  <c r="I11" i="51"/>
  <c r="D50" i="51"/>
  <c r="I21" i="51"/>
  <c r="I17" i="51"/>
  <c r="I12" i="51"/>
  <c r="I13" i="51"/>
  <c r="C50" i="51"/>
  <c r="I9" i="51"/>
  <c r="I20" i="51"/>
  <c r="I19" i="51"/>
  <c r="I18" i="51"/>
  <c r="I24" i="51"/>
  <c r="I14" i="51"/>
  <c r="I22" i="51"/>
  <c r="H49" i="51"/>
  <c r="I41" i="50"/>
  <c r="I33" i="50"/>
  <c r="I26" i="50"/>
  <c r="I40" i="50"/>
  <c r="I37" i="50"/>
  <c r="I27" i="50"/>
  <c r="I17" i="50"/>
  <c r="I13" i="50"/>
  <c r="E50" i="50"/>
  <c r="I38" i="50"/>
  <c r="I22" i="50"/>
  <c r="I11" i="50"/>
  <c r="I23" i="50"/>
  <c r="I29" i="50"/>
  <c r="I18" i="50"/>
  <c r="I31" i="50"/>
  <c r="I32" i="50"/>
  <c r="I35" i="50"/>
  <c r="I19" i="50"/>
  <c r="F50" i="50"/>
  <c r="I21" i="50"/>
  <c r="I9" i="50"/>
  <c r="I39" i="50"/>
  <c r="I38" i="48"/>
  <c r="I25" i="48"/>
  <c r="I42" i="48"/>
  <c r="I34" i="48"/>
  <c r="I26" i="48"/>
  <c r="I18" i="48"/>
  <c r="I22" i="48"/>
  <c r="I41" i="48"/>
  <c r="I33" i="48"/>
  <c r="I30" i="48"/>
  <c r="I37" i="48"/>
  <c r="I41" i="46"/>
  <c r="H49" i="46"/>
  <c r="C50" i="46"/>
  <c r="I42" i="46"/>
  <c r="I40" i="45"/>
  <c r="I18" i="45"/>
  <c r="I29" i="45"/>
  <c r="I21" i="45"/>
  <c r="I26" i="45"/>
  <c r="H49" i="45"/>
  <c r="I32" i="45"/>
  <c r="I32" i="44"/>
  <c r="I44" i="44"/>
  <c r="I28" i="44"/>
  <c r="I33" i="44"/>
  <c r="I31" i="44"/>
  <c r="I26" i="44"/>
  <c r="I45" i="44"/>
  <c r="I12" i="44"/>
  <c r="H49" i="44"/>
  <c r="I11" i="43"/>
  <c r="I21" i="43"/>
  <c r="I10" i="43"/>
  <c r="I31" i="43"/>
  <c r="I28" i="43"/>
  <c r="I9" i="43"/>
  <c r="I26" i="43"/>
  <c r="I13" i="43"/>
  <c r="I27" i="43"/>
  <c r="I14" i="43"/>
  <c r="C50" i="43"/>
  <c r="I32" i="43"/>
  <c r="I17" i="43"/>
  <c r="I19" i="43"/>
  <c r="F50" i="43"/>
  <c r="I30" i="43"/>
  <c r="I22" i="43"/>
  <c r="I16" i="43"/>
  <c r="E50" i="43"/>
  <c r="I23" i="43"/>
  <c r="I29" i="43"/>
  <c r="I12" i="43"/>
  <c r="I15" i="43"/>
  <c r="D50" i="43"/>
  <c r="I20" i="43"/>
  <c r="I25" i="43"/>
  <c r="I34" i="42"/>
  <c r="I10" i="42"/>
  <c r="I27" i="42"/>
  <c r="I17" i="42"/>
  <c r="I40" i="42"/>
  <c r="I14" i="42"/>
  <c r="I42" i="42"/>
  <c r="I36" i="42"/>
  <c r="I38" i="42"/>
  <c r="H49" i="42"/>
  <c r="I30" i="42"/>
  <c r="E50" i="42"/>
  <c r="I39" i="41"/>
  <c r="D50" i="41"/>
  <c r="I23" i="41"/>
  <c r="H49" i="41"/>
  <c r="I9" i="41"/>
  <c r="I38" i="40"/>
  <c r="H49" i="40"/>
  <c r="I18" i="39"/>
  <c r="I10" i="39"/>
  <c r="I33" i="39"/>
  <c r="I25" i="39"/>
  <c r="I32" i="39"/>
  <c r="I16" i="39"/>
  <c r="I11" i="39"/>
  <c r="I14" i="39"/>
  <c r="F50" i="39"/>
  <c r="I12" i="39"/>
  <c r="I26" i="39"/>
  <c r="I21" i="39"/>
  <c r="I9" i="39"/>
  <c r="D50" i="39"/>
  <c r="C50" i="39"/>
  <c r="I38" i="39"/>
  <c r="I34" i="39"/>
  <c r="I19" i="39"/>
  <c r="I29" i="39"/>
  <c r="I36" i="39"/>
  <c r="I20" i="39"/>
  <c r="I34" i="38"/>
  <c r="I20" i="38"/>
  <c r="I19" i="38"/>
  <c r="I15" i="38"/>
  <c r="I17" i="38"/>
  <c r="I44" i="38"/>
  <c r="H49" i="38"/>
  <c r="I40" i="37"/>
  <c r="I28" i="37"/>
  <c r="I35" i="37"/>
  <c r="I17" i="37"/>
  <c r="I31" i="37"/>
  <c r="I12" i="37"/>
  <c r="I9" i="37"/>
  <c r="I27" i="37"/>
  <c r="F50" i="37"/>
  <c r="I41" i="37"/>
  <c r="I30" i="37"/>
  <c r="I43" i="37"/>
  <c r="I36" i="37"/>
  <c r="I23" i="37"/>
  <c r="I14" i="37"/>
  <c r="I42" i="37"/>
  <c r="I32" i="37"/>
  <c r="I37" i="37"/>
  <c r="I21" i="37"/>
  <c r="I39" i="37"/>
  <c r="D50" i="37"/>
  <c r="I18" i="37"/>
  <c r="I34" i="37"/>
  <c r="I33" i="37"/>
  <c r="I15" i="37"/>
  <c r="I10" i="37"/>
  <c r="I22" i="37"/>
  <c r="I38" i="37"/>
  <c r="H49" i="37"/>
  <c r="I13" i="36"/>
  <c r="I9" i="36"/>
  <c r="I10" i="36"/>
  <c r="I11" i="36"/>
  <c r="I14" i="36"/>
  <c r="I30" i="36"/>
  <c r="I12" i="36"/>
  <c r="I26" i="36"/>
  <c r="I20" i="35"/>
  <c r="I23" i="35"/>
  <c r="I27" i="35"/>
  <c r="I21" i="35"/>
  <c r="D50" i="35"/>
  <c r="I19" i="35"/>
  <c r="I15" i="35"/>
  <c r="I11" i="35"/>
  <c r="I10" i="35"/>
  <c r="I31" i="35"/>
  <c r="I24" i="35"/>
  <c r="E50" i="35"/>
  <c r="I17" i="35"/>
  <c r="I13" i="35"/>
  <c r="I26" i="35"/>
  <c r="I25" i="35"/>
  <c r="I9" i="35"/>
  <c r="I29" i="35"/>
  <c r="F50" i="35"/>
  <c r="I33" i="35"/>
  <c r="I28" i="34"/>
  <c r="I22" i="34"/>
  <c r="I35" i="34"/>
  <c r="I14" i="34"/>
  <c r="I24" i="34"/>
  <c r="F50" i="34"/>
  <c r="H49" i="34"/>
  <c r="I9" i="33"/>
  <c r="I43" i="32"/>
  <c r="I32" i="32"/>
  <c r="D50" i="32"/>
  <c r="C50" i="32"/>
  <c r="I24" i="32"/>
  <c r="I14" i="32"/>
  <c r="I9" i="32"/>
  <c r="F50" i="32"/>
  <c r="I34" i="32"/>
  <c r="H49" i="31"/>
  <c r="I25" i="29"/>
  <c r="I27" i="29"/>
  <c r="I42" i="29"/>
  <c r="E50" i="29"/>
  <c r="D50" i="29"/>
  <c r="I31" i="28"/>
  <c r="I18" i="28"/>
  <c r="H49" i="28"/>
  <c r="I16" i="28"/>
  <c r="D50" i="26"/>
  <c r="I21" i="26"/>
  <c r="I9" i="26"/>
  <c r="I11" i="26"/>
  <c r="I21" i="25"/>
  <c r="I15" i="24"/>
  <c r="H49" i="24"/>
  <c r="I13" i="23"/>
  <c r="I30" i="23"/>
  <c r="I16" i="23"/>
  <c r="F50" i="23"/>
  <c r="H49" i="22"/>
  <c r="I40" i="21"/>
  <c r="I12" i="21"/>
  <c r="I30" i="21"/>
  <c r="I19" i="21"/>
  <c r="I16" i="21"/>
  <c r="I21" i="21"/>
  <c r="I23" i="21"/>
  <c r="I43" i="21"/>
  <c r="I44" i="21"/>
  <c r="F50" i="21"/>
  <c r="I28" i="21"/>
  <c r="I41" i="21"/>
  <c r="I36" i="21"/>
  <c r="I42" i="21"/>
  <c r="I22" i="21"/>
  <c r="I9" i="21"/>
  <c r="I25" i="21"/>
  <c r="I35" i="21"/>
  <c r="I14" i="21"/>
  <c r="I11" i="21"/>
  <c r="I27" i="21"/>
  <c r="I32" i="21"/>
  <c r="E50" i="21"/>
  <c r="I26" i="21"/>
  <c r="I13" i="21"/>
  <c r="I29" i="21"/>
  <c r="I24" i="21"/>
  <c r="I18" i="21"/>
  <c r="I15" i="21"/>
  <c r="H49" i="21"/>
  <c r="I33" i="21"/>
  <c r="I37" i="21"/>
  <c r="D50" i="20"/>
  <c r="I34" i="20"/>
  <c r="C50" i="20"/>
  <c r="I9" i="20"/>
  <c r="I23" i="20"/>
  <c r="I27" i="20"/>
  <c r="I41" i="20"/>
  <c r="I36" i="20"/>
  <c r="I10" i="20"/>
  <c r="I15" i="20"/>
  <c r="I11" i="20"/>
  <c r="E50" i="20"/>
  <c r="I20" i="19"/>
  <c r="E50" i="19"/>
  <c r="F50" i="19"/>
  <c r="C50" i="19"/>
  <c r="I17" i="19"/>
  <c r="I9" i="19"/>
  <c r="I27" i="18"/>
  <c r="I12" i="18"/>
  <c r="I22" i="18"/>
  <c r="I11" i="18"/>
  <c r="I14" i="18"/>
  <c r="I32" i="18"/>
  <c r="I15" i="18"/>
  <c r="I16" i="18"/>
  <c r="I21" i="18"/>
  <c r="I36" i="18"/>
  <c r="I23" i="18"/>
  <c r="I34" i="18"/>
  <c r="E50" i="18"/>
  <c r="I9" i="18"/>
  <c r="I20" i="18"/>
  <c r="D50" i="18"/>
  <c r="I24" i="18"/>
  <c r="I18" i="18"/>
  <c r="I25" i="18"/>
  <c r="I10" i="18"/>
  <c r="I13" i="18"/>
  <c r="I29" i="18"/>
  <c r="I17" i="18"/>
  <c r="I33" i="18"/>
  <c r="F50" i="18"/>
  <c r="I30" i="18"/>
  <c r="I19" i="18"/>
  <c r="I35" i="18"/>
  <c r="H49" i="18"/>
  <c r="I37" i="16"/>
  <c r="I39" i="16"/>
  <c r="I36" i="16"/>
  <c r="I21" i="16"/>
  <c r="I9" i="16"/>
  <c r="I38" i="16"/>
  <c r="I30" i="16"/>
  <c r="I26" i="16"/>
  <c r="I13" i="16"/>
  <c r="I19" i="16"/>
  <c r="D50" i="16"/>
  <c r="I24" i="16"/>
  <c r="I15" i="16"/>
  <c r="C50" i="16"/>
  <c r="I17" i="16"/>
  <c r="I22" i="16"/>
  <c r="I11" i="16"/>
  <c r="I28" i="16"/>
  <c r="I34" i="16"/>
  <c r="H49" i="15"/>
  <c r="I34" i="14"/>
  <c r="I17" i="14"/>
  <c r="I24" i="14"/>
  <c r="I20" i="14"/>
  <c r="I28" i="14"/>
  <c r="I30" i="14"/>
  <c r="H49" i="14"/>
  <c r="I10" i="12"/>
  <c r="I13" i="12"/>
  <c r="I25" i="12"/>
  <c r="I9" i="12"/>
  <c r="I15" i="12"/>
  <c r="I33" i="12"/>
  <c r="C50" i="12"/>
  <c r="I27" i="12"/>
  <c r="I23" i="12"/>
  <c r="F50" i="12"/>
  <c r="I30" i="12"/>
  <c r="I19" i="12"/>
  <c r="I21" i="12"/>
  <c r="I29" i="12"/>
  <c r="I21" i="11"/>
  <c r="I34" i="11"/>
  <c r="I33" i="11"/>
  <c r="I20" i="11"/>
  <c r="H49" i="11"/>
  <c r="I16" i="11"/>
  <c r="H49" i="10"/>
  <c r="I29" i="9"/>
  <c r="I19" i="9"/>
  <c r="H49" i="9"/>
  <c r="I10" i="9"/>
  <c r="I12" i="9"/>
  <c r="I37" i="8"/>
  <c r="I25" i="8"/>
  <c r="I33" i="8"/>
  <c r="I16" i="8"/>
  <c r="I21" i="8"/>
  <c r="I17" i="8"/>
  <c r="I9" i="8"/>
  <c r="I9" i="7"/>
  <c r="I12" i="7"/>
  <c r="H49" i="7"/>
  <c r="I21" i="7"/>
  <c r="I35" i="7"/>
  <c r="I11" i="7"/>
  <c r="F50" i="7"/>
  <c r="I16" i="7"/>
  <c r="I22" i="7"/>
  <c r="I28" i="6"/>
  <c r="I38" i="6"/>
  <c r="I36" i="6"/>
  <c r="I22" i="6"/>
  <c r="I26" i="6"/>
  <c r="I12" i="6"/>
  <c r="I9" i="6"/>
  <c r="I31" i="6"/>
  <c r="I14" i="6"/>
  <c r="I23" i="6"/>
  <c r="I35" i="6"/>
  <c r="I11" i="6"/>
  <c r="I27" i="6"/>
  <c r="I34" i="6"/>
  <c r="I19" i="5"/>
  <c r="I10" i="5"/>
  <c r="H49" i="5"/>
  <c r="C50" i="5"/>
  <c r="I23" i="5"/>
  <c r="I14" i="4"/>
  <c r="F50" i="4"/>
  <c r="I18" i="4"/>
  <c r="I17" i="4"/>
  <c r="I9" i="4"/>
  <c r="H49" i="3"/>
  <c r="I11" i="1"/>
  <c r="I26" i="1"/>
  <c r="I19" i="1"/>
  <c r="I14" i="1"/>
  <c r="I30" i="1"/>
  <c r="I28" i="1"/>
  <c r="I16" i="1"/>
  <c r="I18" i="1"/>
  <c r="C50" i="1"/>
  <c r="I45" i="10"/>
  <c r="I12" i="10"/>
  <c r="I42" i="10"/>
  <c r="I40" i="10"/>
  <c r="I38" i="10"/>
  <c r="I36" i="10"/>
  <c r="I34" i="10"/>
  <c r="D50" i="10"/>
  <c r="I43" i="10"/>
  <c r="I13" i="10"/>
  <c r="I17" i="10"/>
  <c r="I17" i="22"/>
  <c r="I32" i="10"/>
  <c r="I29" i="10"/>
  <c r="I27" i="15"/>
  <c r="I16" i="15"/>
  <c r="I14" i="15"/>
  <c r="I12" i="15"/>
  <c r="I10" i="15"/>
  <c r="I31" i="15"/>
  <c r="I29" i="15"/>
  <c r="I21" i="15"/>
  <c r="I28" i="15"/>
  <c r="I23" i="15"/>
  <c r="I19" i="15"/>
  <c r="E50" i="15"/>
  <c r="I26" i="15"/>
  <c r="I41" i="10"/>
  <c r="I13" i="72"/>
  <c r="I26" i="57"/>
  <c r="I13" i="57"/>
  <c r="I11" i="57"/>
  <c r="I9" i="57"/>
  <c r="I21" i="57"/>
  <c r="D50" i="57"/>
  <c r="I18" i="57"/>
  <c r="I24" i="57"/>
  <c r="F50" i="57"/>
  <c r="I22" i="57"/>
  <c r="E50" i="57"/>
  <c r="I14" i="57"/>
  <c r="F50" i="54"/>
  <c r="I32" i="54"/>
  <c r="I23" i="54"/>
  <c r="I15" i="54"/>
  <c r="I28" i="54"/>
  <c r="I20" i="54"/>
  <c r="I34" i="54"/>
  <c r="I22" i="54"/>
  <c r="I33" i="54"/>
  <c r="I24" i="54"/>
  <c r="I16" i="54"/>
  <c r="I27" i="54"/>
  <c r="I19" i="54"/>
  <c r="I9" i="54"/>
  <c r="I18" i="54"/>
  <c r="I26" i="54"/>
  <c r="I31" i="49"/>
  <c r="I22" i="49"/>
  <c r="I13" i="49"/>
  <c r="I24" i="49"/>
  <c r="I15" i="49"/>
  <c r="I17" i="49"/>
  <c r="I10" i="49"/>
  <c r="I19" i="49"/>
  <c r="I12" i="49"/>
  <c r="C50" i="49"/>
  <c r="I25" i="49"/>
  <c r="I18" i="49"/>
  <c r="I9" i="49"/>
  <c r="I11" i="49"/>
  <c r="I16" i="49"/>
  <c r="F50" i="49"/>
  <c r="I28" i="49"/>
  <c r="E50" i="49"/>
  <c r="I21" i="49"/>
  <c r="I20" i="49"/>
  <c r="I23" i="49"/>
  <c r="I29" i="49"/>
  <c r="I14" i="49"/>
  <c r="I39" i="31"/>
  <c r="I37" i="31"/>
  <c r="D50" i="31"/>
  <c r="I41" i="31"/>
  <c r="I14" i="31"/>
  <c r="I12" i="31"/>
  <c r="I10" i="31"/>
  <c r="I34" i="31"/>
  <c r="I32" i="31"/>
  <c r="I30" i="31"/>
  <c r="I28" i="31"/>
  <c r="I13" i="31"/>
  <c r="I11" i="31"/>
  <c r="I9" i="31"/>
  <c r="I17" i="31"/>
  <c r="I27" i="31"/>
  <c r="I21" i="31"/>
  <c r="I15" i="31"/>
  <c r="I25" i="31"/>
  <c r="I19" i="31"/>
  <c r="I23" i="31"/>
  <c r="I40" i="17"/>
  <c r="I27" i="17"/>
  <c r="I25" i="17"/>
  <c r="I23" i="17"/>
  <c r="I21" i="17"/>
  <c r="I19" i="17"/>
  <c r="I17" i="17"/>
  <c r="I15" i="17"/>
  <c r="I13" i="17"/>
  <c r="I11" i="17"/>
  <c r="I9" i="17"/>
  <c r="I41" i="17"/>
  <c r="I36" i="17"/>
  <c r="I34" i="17"/>
  <c r="I32" i="17"/>
  <c r="I30" i="17"/>
  <c r="I28" i="17"/>
  <c r="I39" i="17"/>
  <c r="I18" i="17"/>
  <c r="I43" i="17"/>
  <c r="F50" i="17"/>
  <c r="I22" i="17"/>
  <c r="D50" i="17"/>
  <c r="I10" i="17"/>
  <c r="I26" i="17"/>
  <c r="I20" i="31"/>
  <c r="I34" i="25"/>
  <c r="H49" i="8"/>
  <c r="F50" i="24"/>
  <c r="I28" i="24"/>
  <c r="D50" i="24"/>
  <c r="I19" i="24"/>
  <c r="I27" i="24"/>
  <c r="I24" i="24"/>
  <c r="I36" i="24"/>
  <c r="I26" i="24"/>
  <c r="I23" i="24"/>
  <c r="I34" i="24"/>
  <c r="I30" i="70"/>
  <c r="I34" i="70"/>
  <c r="I32" i="70"/>
  <c r="I13" i="70"/>
  <c r="I11" i="70"/>
  <c r="I28" i="70"/>
  <c r="I31" i="70"/>
  <c r="F50" i="70"/>
  <c r="I23" i="70"/>
  <c r="C50" i="70"/>
  <c r="I14" i="68"/>
  <c r="I13" i="68"/>
  <c r="E50" i="68"/>
  <c r="I27" i="64"/>
  <c r="I25" i="64"/>
  <c r="I23" i="64"/>
  <c r="F50" i="64"/>
  <c r="I26" i="64"/>
  <c r="I24" i="64"/>
  <c r="I22" i="64"/>
  <c r="I28" i="64"/>
  <c r="E50" i="64"/>
  <c r="I19" i="64"/>
  <c r="I21" i="64"/>
  <c r="I17" i="64"/>
  <c r="I33" i="59"/>
  <c r="I25" i="57"/>
  <c r="I36" i="54"/>
  <c r="F50" i="58"/>
  <c r="H49" i="56"/>
  <c r="H49" i="49"/>
  <c r="I34" i="52"/>
  <c r="I45" i="48"/>
  <c r="I28" i="48"/>
  <c r="C50" i="54"/>
  <c r="I36" i="40"/>
  <c r="I34" i="40"/>
  <c r="I31" i="40"/>
  <c r="I26" i="40"/>
  <c r="I23" i="40"/>
  <c r="I18" i="40"/>
  <c r="I15" i="40"/>
  <c r="I10" i="40"/>
  <c r="C50" i="40"/>
  <c r="I28" i="40"/>
  <c r="I25" i="40"/>
  <c r="I20" i="40"/>
  <c r="I17" i="40"/>
  <c r="I12" i="40"/>
  <c r="I9" i="40"/>
  <c r="I27" i="40"/>
  <c r="I24" i="40"/>
  <c r="I11" i="40"/>
  <c r="I30" i="40"/>
  <c r="I14" i="40"/>
  <c r="I33" i="40"/>
  <c r="I29" i="40"/>
  <c r="I13" i="40"/>
  <c r="I32" i="40"/>
  <c r="I19" i="40"/>
  <c r="I16" i="40"/>
  <c r="I21" i="40"/>
  <c r="I22" i="40"/>
  <c r="I35" i="40"/>
  <c r="I34" i="45"/>
  <c r="I22" i="45"/>
  <c r="I10" i="41"/>
  <c r="I25" i="54"/>
  <c r="C50" i="48"/>
  <c r="I47" i="47"/>
  <c r="I29" i="44"/>
  <c r="I27" i="51"/>
  <c r="I32" i="47"/>
  <c r="I17" i="45"/>
  <c r="I19" i="41"/>
  <c r="I20" i="45"/>
  <c r="I41" i="44"/>
  <c r="I12" i="47"/>
  <c r="I17" i="44"/>
  <c r="I21" i="41"/>
  <c r="I13" i="47"/>
  <c r="I28" i="42"/>
  <c r="I39" i="39"/>
  <c r="I22" i="39"/>
  <c r="I37" i="39"/>
  <c r="I15" i="39"/>
  <c r="I40" i="39"/>
  <c r="I23" i="39"/>
  <c r="I17" i="39"/>
  <c r="E50" i="39"/>
  <c r="I13" i="39"/>
  <c r="I26" i="47"/>
  <c r="I29" i="36"/>
  <c r="I33" i="36"/>
  <c r="I24" i="36"/>
  <c r="I22" i="36"/>
  <c r="I20" i="36"/>
  <c r="I18" i="36"/>
  <c r="D50" i="36"/>
  <c r="I34" i="36"/>
  <c r="I32" i="36"/>
  <c r="I25" i="36"/>
  <c r="I23" i="36"/>
  <c r="I21" i="36"/>
  <c r="I19" i="36"/>
  <c r="I17" i="36"/>
  <c r="I27" i="36"/>
  <c r="E50" i="36"/>
  <c r="I15" i="36"/>
  <c r="C50" i="36"/>
  <c r="I37" i="30"/>
  <c r="I14" i="27"/>
  <c r="I17" i="25"/>
  <c r="I22" i="31"/>
  <c r="I35" i="31"/>
  <c r="I26" i="26"/>
  <c r="I32" i="25"/>
  <c r="I16" i="24"/>
  <c r="H49" i="17"/>
  <c r="I27" i="39"/>
  <c r="D50" i="30"/>
  <c r="F50" i="25"/>
  <c r="I38" i="32"/>
  <c r="I28" i="27"/>
  <c r="C50" i="31"/>
  <c r="I21" i="14"/>
  <c r="I25" i="22"/>
  <c r="E50" i="17"/>
  <c r="I17" i="15"/>
  <c r="F50" i="13"/>
  <c r="I35" i="8"/>
  <c r="I19" i="8"/>
  <c r="I17" i="5"/>
  <c r="I20" i="34"/>
  <c r="I11" i="14"/>
  <c r="I36" i="47"/>
  <c r="C50" i="35"/>
  <c r="I32" i="35"/>
  <c r="I30" i="35"/>
  <c r="I14" i="35"/>
  <c r="I12" i="35"/>
  <c r="I16" i="35"/>
  <c r="I28" i="35"/>
  <c r="I35" i="17"/>
  <c r="H49" i="12"/>
  <c r="F50" i="14"/>
  <c r="I10" i="13"/>
  <c r="I35" i="10"/>
  <c r="I13" i="4"/>
  <c r="I13" i="9"/>
  <c r="I13" i="15"/>
  <c r="I24" i="10"/>
  <c r="I41" i="5"/>
  <c r="I21" i="10"/>
  <c r="I11" i="9"/>
  <c r="I28" i="4"/>
  <c r="I37" i="17"/>
  <c r="I28" i="11"/>
  <c r="I27" i="7"/>
  <c r="E50" i="4"/>
  <c r="I48" i="13"/>
  <c r="I14" i="3"/>
  <c r="I9" i="3"/>
  <c r="I38" i="3"/>
  <c r="I34" i="3"/>
  <c r="I26" i="3"/>
  <c r="I18" i="3"/>
  <c r="I36" i="3"/>
  <c r="I31" i="3"/>
  <c r="I42" i="3"/>
  <c r="I30" i="3"/>
  <c r="I22" i="3"/>
  <c r="I28" i="3"/>
  <c r="I19" i="3"/>
  <c r="I32" i="3"/>
  <c r="I16" i="3"/>
  <c r="I27" i="3"/>
  <c r="I41" i="3"/>
  <c r="I37" i="3"/>
  <c r="I33" i="3"/>
  <c r="I29" i="3"/>
  <c r="I25" i="3"/>
  <c r="I21" i="3"/>
  <c r="I17" i="3"/>
  <c r="I40" i="3"/>
  <c r="I20" i="3"/>
  <c r="I24" i="3"/>
  <c r="I35" i="3"/>
  <c r="I23" i="3"/>
  <c r="I15" i="3"/>
  <c r="I18" i="11"/>
  <c r="I39" i="8"/>
  <c r="I11" i="4"/>
  <c r="C50" i="4"/>
  <c r="I33" i="10"/>
  <c r="I21" i="9"/>
  <c r="I26" i="7"/>
  <c r="I15" i="7"/>
  <c r="I27" i="5"/>
  <c r="F50" i="3"/>
  <c r="I23" i="1"/>
  <c r="I21" i="1"/>
  <c r="I19" i="72"/>
  <c r="I19" i="55"/>
  <c r="F50" i="55"/>
  <c r="I12" i="55"/>
  <c r="D50" i="55"/>
  <c r="I13" i="55"/>
  <c r="I36" i="55"/>
  <c r="I20" i="55"/>
  <c r="I38" i="55"/>
  <c r="I22" i="55"/>
  <c r="I17" i="55"/>
  <c r="I30" i="55"/>
  <c r="I28" i="55"/>
  <c r="E50" i="58"/>
  <c r="I15" i="57"/>
  <c r="I35" i="59"/>
  <c r="I11" i="54"/>
  <c r="E50" i="54"/>
  <c r="H49" i="69"/>
  <c r="I29" i="72"/>
  <c r="I16" i="73"/>
  <c r="I33" i="73"/>
  <c r="I33" i="72"/>
  <c r="C50" i="69"/>
  <c r="I31" i="69"/>
  <c r="I29" i="69"/>
  <c r="I27" i="69"/>
  <c r="I25" i="69"/>
  <c r="I23" i="69"/>
  <c r="I21" i="69"/>
  <c r="I16" i="69"/>
  <c r="I14" i="69"/>
  <c r="I9" i="69"/>
  <c r="I20" i="69"/>
  <c r="I24" i="69"/>
  <c r="I17" i="69"/>
  <c r="I13" i="69"/>
  <c r="I44" i="69"/>
  <c r="F50" i="69"/>
  <c r="I19" i="69"/>
  <c r="D50" i="69"/>
  <c r="I28" i="69"/>
  <c r="I42" i="69"/>
  <c r="I10" i="69"/>
  <c r="I22" i="69"/>
  <c r="I15" i="70"/>
  <c r="I20" i="70"/>
  <c r="I12" i="68"/>
  <c r="H49" i="73"/>
  <c r="I31" i="68"/>
  <c r="I36" i="70"/>
  <c r="I37" i="64"/>
  <c r="I26" i="68"/>
  <c r="E50" i="60"/>
  <c r="I35" i="60"/>
  <c r="I33" i="60"/>
  <c r="I31" i="60"/>
  <c r="I29" i="60"/>
  <c r="I37" i="60"/>
  <c r="I12" i="60"/>
  <c r="I18" i="60"/>
  <c r="I44" i="60"/>
  <c r="I24" i="60"/>
  <c r="I14" i="60"/>
  <c r="D50" i="60"/>
  <c r="I39" i="60"/>
  <c r="I20" i="60"/>
  <c r="I16" i="60"/>
  <c r="I26" i="60"/>
  <c r="I22" i="60"/>
  <c r="I41" i="60"/>
  <c r="I10" i="60"/>
  <c r="I18" i="69"/>
  <c r="C50" i="64"/>
  <c r="I37" i="72"/>
  <c r="H49" i="58"/>
  <c r="E50" i="66"/>
  <c r="C50" i="59"/>
  <c r="I33" i="55"/>
  <c r="I12" i="57"/>
  <c r="I15" i="55"/>
  <c r="I18" i="55"/>
  <c r="F50" i="60"/>
  <c r="I37" i="55"/>
  <c r="I42" i="55"/>
  <c r="I30" i="54"/>
  <c r="I11" i="41"/>
  <c r="I38" i="41"/>
  <c r="I15" i="41"/>
  <c r="I13" i="41"/>
  <c r="I42" i="41"/>
  <c r="I26" i="41"/>
  <c r="I16" i="41"/>
  <c r="I32" i="41"/>
  <c r="C50" i="41"/>
  <c r="I22" i="41"/>
  <c r="I41" i="41"/>
  <c r="I28" i="41"/>
  <c r="I37" i="41"/>
  <c r="I34" i="41"/>
  <c r="I18" i="41"/>
  <c r="I30" i="41"/>
  <c r="I36" i="41"/>
  <c r="I20" i="41"/>
  <c r="I24" i="41"/>
  <c r="I38" i="60"/>
  <c r="I36" i="48"/>
  <c r="I13" i="45"/>
  <c r="I10" i="57"/>
  <c r="I44" i="48"/>
  <c r="I36" i="52"/>
  <c r="I24" i="52"/>
  <c r="I45" i="47"/>
  <c r="I40" i="27"/>
  <c r="E50" i="27"/>
  <c r="I44" i="27"/>
  <c r="I42" i="27"/>
  <c r="I48" i="27"/>
  <c r="I37" i="27"/>
  <c r="I35" i="27"/>
  <c r="I33" i="27"/>
  <c r="I31" i="27"/>
  <c r="I29" i="27"/>
  <c r="I27" i="27"/>
  <c r="I25" i="27"/>
  <c r="I23" i="27"/>
  <c r="I21" i="27"/>
  <c r="I19" i="27"/>
  <c r="I17" i="27"/>
  <c r="I15" i="27"/>
  <c r="I13" i="27"/>
  <c r="I11" i="27"/>
  <c r="I9" i="27"/>
  <c r="I47" i="27"/>
  <c r="I27" i="28"/>
  <c r="I14" i="28"/>
  <c r="I12" i="28"/>
  <c r="I10" i="28"/>
  <c r="I26" i="28"/>
  <c r="I28" i="28"/>
  <c r="F50" i="28"/>
  <c r="I21" i="28"/>
  <c r="D50" i="28"/>
  <c r="I30" i="28"/>
  <c r="I15" i="28"/>
  <c r="I25" i="28"/>
  <c r="I19" i="28"/>
  <c r="I17" i="28"/>
  <c r="I23" i="28"/>
  <c r="I10" i="27"/>
  <c r="I13" i="25"/>
  <c r="E50" i="23"/>
  <c r="I25" i="23"/>
  <c r="I34" i="23"/>
  <c r="I27" i="23"/>
  <c r="I29" i="23"/>
  <c r="C50" i="23"/>
  <c r="I31" i="23"/>
  <c r="I15" i="23"/>
  <c r="I33" i="23"/>
  <c r="I17" i="23"/>
  <c r="I21" i="23"/>
  <c r="I23" i="23"/>
  <c r="I10" i="23"/>
  <c r="I9" i="23"/>
  <c r="I19" i="23"/>
  <c r="I31" i="31"/>
  <c r="E50" i="28"/>
  <c r="C50" i="30"/>
  <c r="I24" i="27"/>
  <c r="I33" i="31"/>
  <c r="I19" i="26"/>
  <c r="I30" i="25"/>
  <c r="I24" i="23"/>
  <c r="I9" i="15"/>
  <c r="I10" i="24"/>
  <c r="I21" i="24"/>
  <c r="I27" i="10"/>
  <c r="I20" i="8"/>
  <c r="I36" i="4"/>
  <c r="C50" i="14"/>
  <c r="I25" i="5"/>
  <c r="I15" i="10"/>
  <c r="I24" i="4"/>
  <c r="I12" i="17"/>
  <c r="I10" i="10"/>
  <c r="I32" i="4"/>
  <c r="I23" i="13"/>
  <c r="E50" i="10"/>
  <c r="I40" i="69"/>
  <c r="I25" i="10"/>
  <c r="I9" i="9"/>
  <c r="I28" i="80"/>
  <c r="I30" i="80"/>
  <c r="I31" i="80"/>
  <c r="I29" i="80"/>
  <c r="I12" i="80"/>
  <c r="I10" i="80"/>
  <c r="I43" i="72"/>
  <c r="I27" i="58"/>
  <c r="I21" i="58"/>
  <c r="I18" i="58"/>
  <c r="I32" i="58"/>
  <c r="I20" i="58"/>
  <c r="I15" i="58"/>
  <c r="I13" i="58"/>
  <c r="I11" i="58"/>
  <c r="I9" i="58"/>
  <c r="C50" i="58"/>
  <c r="I29" i="58"/>
  <c r="I14" i="58"/>
  <c r="I16" i="58"/>
  <c r="I24" i="58"/>
  <c r="I12" i="58"/>
  <c r="I19" i="58"/>
  <c r="I31" i="58"/>
  <c r="I10" i="58"/>
  <c r="H49" i="39"/>
  <c r="I33" i="25"/>
  <c r="I22" i="25"/>
  <c r="I20" i="25"/>
  <c r="I18" i="25"/>
  <c r="I16" i="25"/>
  <c r="I14" i="25"/>
  <c r="I12" i="25"/>
  <c r="I10" i="25"/>
  <c r="E50" i="25"/>
  <c r="I36" i="25"/>
  <c r="I24" i="25"/>
  <c r="I31" i="25"/>
  <c r="I27" i="25"/>
  <c r="I29" i="25"/>
  <c r="I25" i="25"/>
  <c r="C50" i="22"/>
  <c r="I24" i="22"/>
  <c r="I22" i="22"/>
  <c r="I20" i="22"/>
  <c r="I18" i="22"/>
  <c r="I16" i="22"/>
  <c r="I14" i="22"/>
  <c r="I12" i="22"/>
  <c r="I10" i="22"/>
  <c r="F50" i="22"/>
  <c r="I9" i="22"/>
  <c r="I35" i="25"/>
  <c r="C50" i="17"/>
  <c r="I21" i="80"/>
  <c r="I32" i="80"/>
  <c r="I18" i="73"/>
  <c r="I14" i="72"/>
  <c r="I25" i="70"/>
  <c r="H49" i="67"/>
  <c r="I19" i="80"/>
  <c r="H49" i="74"/>
  <c r="I18" i="80"/>
  <c r="I32" i="75"/>
  <c r="I27" i="75"/>
  <c r="I25" i="75"/>
  <c r="I23" i="75"/>
  <c r="I21" i="75"/>
  <c r="I19" i="75"/>
  <c r="I17" i="75"/>
  <c r="I15" i="75"/>
  <c r="I13" i="75"/>
  <c r="I11" i="75"/>
  <c r="I9" i="75"/>
  <c r="E50" i="75"/>
  <c r="I30" i="75"/>
  <c r="I28" i="75"/>
  <c r="I20" i="75"/>
  <c r="I12" i="75"/>
  <c r="I22" i="75"/>
  <c r="I14" i="75"/>
  <c r="C50" i="75"/>
  <c r="I31" i="75"/>
  <c r="I26" i="75"/>
  <c r="I24" i="75"/>
  <c r="I16" i="75"/>
  <c r="F50" i="80"/>
  <c r="I18" i="72"/>
  <c r="I33" i="70"/>
  <c r="H49" i="68"/>
  <c r="I39" i="72"/>
  <c r="E50" i="70"/>
  <c r="I20" i="64"/>
  <c r="I17" i="70"/>
  <c r="I41" i="76"/>
  <c r="I17" i="80"/>
  <c r="I26" i="80"/>
  <c r="E50" i="80"/>
  <c r="E50" i="76"/>
  <c r="I29" i="76"/>
  <c r="I23" i="76"/>
  <c r="I17" i="74"/>
  <c r="I20" i="74"/>
  <c r="I18" i="74"/>
  <c r="I13" i="74"/>
  <c r="I9" i="74"/>
  <c r="I16" i="74"/>
  <c r="F50" i="74"/>
  <c r="E50" i="74"/>
  <c r="C50" i="74"/>
  <c r="I11" i="74"/>
  <c r="I15" i="74"/>
  <c r="F50" i="79"/>
  <c r="I28" i="79"/>
  <c r="I12" i="79"/>
  <c r="I14" i="73"/>
  <c r="I34" i="75"/>
  <c r="I18" i="75"/>
  <c r="I9" i="68"/>
  <c r="I16" i="64"/>
  <c r="I17" i="72"/>
  <c r="I30" i="69"/>
  <c r="I12" i="70"/>
  <c r="I12" i="69"/>
  <c r="I10" i="68"/>
  <c r="I43" i="73"/>
  <c r="I15" i="69"/>
  <c r="I12" i="66"/>
  <c r="I9" i="73"/>
  <c r="I9" i="70"/>
  <c r="I38" i="64"/>
  <c r="I44" i="62"/>
  <c r="I29" i="62"/>
  <c r="I27" i="62"/>
  <c r="I25" i="62"/>
  <c r="I23" i="62"/>
  <c r="I21" i="62"/>
  <c r="I19" i="62"/>
  <c r="I17" i="62"/>
  <c r="F50" i="62"/>
  <c r="I43" i="62"/>
  <c r="I16" i="62"/>
  <c r="I14" i="62"/>
  <c r="I12" i="62"/>
  <c r="I10" i="62"/>
  <c r="C50" i="62"/>
  <c r="I40" i="62"/>
  <c r="I28" i="62"/>
  <c r="I24" i="62"/>
  <c r="I42" i="62"/>
  <c r="I26" i="62"/>
  <c r="I22" i="62"/>
  <c r="E50" i="62"/>
  <c r="I36" i="65"/>
  <c r="I34" i="65"/>
  <c r="I32" i="65"/>
  <c r="I30" i="65"/>
  <c r="I19" i="65"/>
  <c r="I12" i="65"/>
  <c r="I27" i="65"/>
  <c r="D50" i="65"/>
  <c r="I22" i="65"/>
  <c r="I28" i="65"/>
  <c r="I20" i="65"/>
  <c r="E50" i="65"/>
  <c r="I24" i="65"/>
  <c r="I35" i="62"/>
  <c r="I27" i="70"/>
  <c r="I10" i="67"/>
  <c r="I43" i="67"/>
  <c r="I22" i="67"/>
  <c r="I20" i="67"/>
  <c r="I18" i="67"/>
  <c r="F50" i="67"/>
  <c r="C50" i="67"/>
  <c r="I44" i="67"/>
  <c r="I42" i="67"/>
  <c r="I23" i="67"/>
  <c r="I21" i="67"/>
  <c r="I19" i="67"/>
  <c r="I17" i="67"/>
  <c r="I29" i="67"/>
  <c r="I35" i="67"/>
  <c r="I25" i="67"/>
  <c r="I31" i="67"/>
  <c r="I37" i="67"/>
  <c r="D50" i="67"/>
  <c r="I33" i="67"/>
  <c r="I39" i="67"/>
  <c r="I27" i="67"/>
  <c r="I30" i="64"/>
  <c r="I27" i="63"/>
  <c r="I41" i="67"/>
  <c r="I29" i="63"/>
  <c r="I24" i="67"/>
  <c r="I11" i="62"/>
  <c r="I15" i="60"/>
  <c r="I21" i="60"/>
  <c r="I39" i="62"/>
  <c r="I27" i="60"/>
  <c r="I33" i="64"/>
  <c r="I25" i="55"/>
  <c r="I25" i="56"/>
  <c r="I23" i="56"/>
  <c r="I21" i="56"/>
  <c r="I43" i="56"/>
  <c r="I12" i="56"/>
  <c r="C50" i="56"/>
  <c r="I13" i="56"/>
  <c r="I19" i="56"/>
  <c r="I15" i="56"/>
  <c r="I17" i="56"/>
  <c r="D50" i="56"/>
  <c r="I30" i="56"/>
  <c r="I10" i="56"/>
  <c r="I42" i="56"/>
  <c r="I44" i="56"/>
  <c r="I11" i="56"/>
  <c r="I38" i="56"/>
  <c r="I19" i="60"/>
  <c r="I17" i="58"/>
  <c r="I43" i="55"/>
  <c r="I38" i="54"/>
  <c r="I34" i="60"/>
  <c r="I39" i="55"/>
  <c r="I21" i="55"/>
  <c r="I32" i="48"/>
  <c r="I23" i="57"/>
  <c r="I33" i="52"/>
  <c r="I16" i="51"/>
  <c r="I23" i="51"/>
  <c r="I32" i="49"/>
  <c r="I34" i="55"/>
  <c r="I21" i="54"/>
  <c r="I30" i="45"/>
  <c r="D50" i="48"/>
  <c r="I22" i="47"/>
  <c r="I42" i="44"/>
  <c r="I29" i="54"/>
  <c r="I15" i="44"/>
  <c r="C50" i="57"/>
  <c r="I31" i="48"/>
  <c r="I24" i="47"/>
  <c r="I14" i="44"/>
  <c r="I37" i="40"/>
  <c r="I40" i="48"/>
  <c r="I28" i="45"/>
  <c r="I25" i="44"/>
  <c r="F50" i="41"/>
  <c r="I28" i="56"/>
  <c r="I14" i="48"/>
  <c r="D50" i="40"/>
  <c r="I10" i="38"/>
  <c r="I19" i="34"/>
  <c r="I29" i="56"/>
  <c r="I31" i="41"/>
  <c r="I30" i="39"/>
  <c r="I47" i="44"/>
  <c r="H49" i="29"/>
  <c r="E50" i="38"/>
  <c r="I31" i="45"/>
  <c r="I36" i="32"/>
  <c r="I38" i="27"/>
  <c r="I31" i="26"/>
  <c r="I9" i="25"/>
  <c r="H49" i="23"/>
  <c r="D50" i="33"/>
  <c r="F50" i="30"/>
  <c r="C50" i="33"/>
  <c r="I17" i="26"/>
  <c r="I28" i="25"/>
  <c r="I12" i="24"/>
  <c r="I36" i="34"/>
  <c r="H49" i="32"/>
  <c r="E50" i="24"/>
  <c r="I20" i="23"/>
  <c r="I19" i="19"/>
  <c r="I12" i="19"/>
  <c r="I10" i="19"/>
  <c r="I16" i="19"/>
  <c r="I14" i="19"/>
  <c r="I30" i="32"/>
  <c r="I14" i="30"/>
  <c r="I20" i="27"/>
  <c r="I22" i="23"/>
  <c r="I29" i="31"/>
  <c r="I36" i="29"/>
  <c r="I40" i="29"/>
  <c r="I38" i="29"/>
  <c r="I21" i="29"/>
  <c r="I19" i="29"/>
  <c r="I17" i="29"/>
  <c r="I15" i="29"/>
  <c r="I13" i="29"/>
  <c r="I11" i="29"/>
  <c r="I9" i="29"/>
  <c r="I35" i="29"/>
  <c r="I33" i="29"/>
  <c r="I31" i="29"/>
  <c r="I29" i="29"/>
  <c r="I39" i="29"/>
  <c r="I37" i="29"/>
  <c r="I20" i="29"/>
  <c r="I18" i="29"/>
  <c r="I16" i="29"/>
  <c r="I14" i="29"/>
  <c r="I12" i="29"/>
  <c r="I10" i="29"/>
  <c r="I43" i="29"/>
  <c r="I26" i="29"/>
  <c r="F50" i="29"/>
  <c r="I41" i="29"/>
  <c r="I24" i="29"/>
  <c r="I22" i="29"/>
  <c r="D50" i="22"/>
  <c r="I12" i="14"/>
  <c r="I22" i="28"/>
  <c r="I29" i="14"/>
  <c r="I41" i="13"/>
  <c r="I31" i="8"/>
  <c r="I15" i="8"/>
  <c r="F50" i="45"/>
  <c r="I29" i="17"/>
  <c r="I18" i="31"/>
  <c r="I21" i="22"/>
  <c r="I11" i="15"/>
  <c r="I28" i="12"/>
  <c r="I26" i="12"/>
  <c r="I24" i="12"/>
  <c r="I22" i="12"/>
  <c r="I20" i="12"/>
  <c r="I18" i="12"/>
  <c r="I16" i="12"/>
  <c r="I14" i="12"/>
  <c r="E50" i="12"/>
  <c r="D50" i="12"/>
  <c r="I12" i="12"/>
  <c r="I31" i="12"/>
  <c r="I11" i="12"/>
  <c r="I23" i="25"/>
  <c r="I23" i="22"/>
  <c r="D50" i="6"/>
  <c r="C50" i="6"/>
  <c r="I21" i="6"/>
  <c r="I18" i="6"/>
  <c r="I20" i="6"/>
  <c r="I16" i="6"/>
  <c r="I39" i="3"/>
  <c r="I11" i="3"/>
  <c r="I13" i="7"/>
  <c r="I38" i="31"/>
  <c r="I11" i="10"/>
  <c r="I33" i="7"/>
  <c r="I37" i="5"/>
  <c r="E50" i="9"/>
  <c r="H49" i="6"/>
  <c r="I20" i="4"/>
  <c r="I18" i="9"/>
  <c r="I15" i="15"/>
  <c r="I14" i="11"/>
  <c r="I30" i="9"/>
  <c r="F50" i="6"/>
  <c r="I12" i="4"/>
  <c r="I27" i="11"/>
  <c r="I37" i="6"/>
  <c r="F50" i="16"/>
  <c r="I35" i="16"/>
  <c r="I33" i="16"/>
  <c r="I31" i="16"/>
  <c r="I29" i="16"/>
  <c r="I27" i="16"/>
  <c r="I25" i="16"/>
  <c r="I23" i="16"/>
  <c r="I20" i="16"/>
  <c r="I16" i="16"/>
  <c r="I12" i="16"/>
  <c r="I18" i="16"/>
  <c r="I14" i="16"/>
  <c r="I10" i="16"/>
  <c r="E50" i="16"/>
  <c r="I39" i="10"/>
  <c r="I30" i="6"/>
  <c r="I32" i="29"/>
  <c r="I35" i="5"/>
  <c r="I18" i="7"/>
  <c r="I43" i="4"/>
  <c r="I22" i="15"/>
  <c r="I44" i="10"/>
  <c r="I40" i="6"/>
  <c r="I9" i="1"/>
  <c r="I20" i="1"/>
  <c r="I35" i="1"/>
  <c r="D50" i="72"/>
  <c r="I11" i="72"/>
  <c r="F50" i="72"/>
  <c r="I42" i="72"/>
  <c r="I30" i="72"/>
  <c r="I12" i="72"/>
  <c r="I36" i="72"/>
  <c r="I20" i="72"/>
  <c r="I26" i="72"/>
  <c r="I32" i="72"/>
  <c r="I45" i="72"/>
  <c r="I38" i="72"/>
  <c r="I22" i="72"/>
  <c r="I34" i="72"/>
  <c r="I40" i="72"/>
  <c r="I28" i="72"/>
  <c r="I24" i="72"/>
  <c r="I36" i="59"/>
  <c r="I24" i="59"/>
  <c r="I22" i="59"/>
  <c r="I34" i="59"/>
  <c r="I20" i="59"/>
  <c r="I30" i="59"/>
  <c r="I11" i="59"/>
  <c r="I26" i="59"/>
  <c r="I18" i="59"/>
  <c r="I32" i="59"/>
  <c r="I9" i="59"/>
  <c r="I13" i="59"/>
  <c r="I28" i="59"/>
  <c r="E50" i="59"/>
  <c r="I15" i="80"/>
  <c r="I16" i="80"/>
  <c r="I27" i="80"/>
  <c r="I15" i="72"/>
  <c r="I32" i="68"/>
  <c r="F50" i="68"/>
  <c r="C50" i="68"/>
  <c r="I28" i="68"/>
  <c r="I30" i="68"/>
  <c r="I24" i="68"/>
  <c r="I42" i="73"/>
  <c r="I19" i="73"/>
  <c r="I17" i="73"/>
  <c r="I15" i="73"/>
  <c r="I10" i="73"/>
  <c r="D50" i="73"/>
  <c r="C50" i="73"/>
  <c r="I40" i="73"/>
  <c r="I38" i="73"/>
  <c r="I36" i="73"/>
  <c r="I34" i="73"/>
  <c r="I32" i="73"/>
  <c r="I30" i="73"/>
  <c r="I28" i="73"/>
  <c r="I26" i="73"/>
  <c r="I13" i="73"/>
  <c r="I22" i="73"/>
  <c r="I11" i="73"/>
  <c r="I24" i="73"/>
  <c r="I20" i="73"/>
  <c r="I23" i="68"/>
  <c r="I31" i="59"/>
  <c r="I14" i="59"/>
  <c r="I16" i="55"/>
  <c r="I40" i="55"/>
  <c r="I35" i="54"/>
  <c r="I35" i="70"/>
  <c r="I31" i="55"/>
  <c r="I26" i="55"/>
  <c r="I28" i="58"/>
  <c r="I14" i="54"/>
  <c r="I15" i="65"/>
  <c r="I11" i="48"/>
  <c r="I16" i="45"/>
  <c r="I25" i="41"/>
  <c r="I43" i="47"/>
  <c r="I44" i="47"/>
  <c r="I35" i="47"/>
  <c r="I27" i="47"/>
  <c r="I10" i="47"/>
  <c r="I37" i="47"/>
  <c r="I29" i="47"/>
  <c r="I21" i="47"/>
  <c r="I46" i="47"/>
  <c r="F50" i="47"/>
  <c r="I48" i="47"/>
  <c r="E50" i="47"/>
  <c r="I25" i="47"/>
  <c r="I41" i="47"/>
  <c r="I31" i="47"/>
  <c r="I23" i="47"/>
  <c r="I11" i="47"/>
  <c r="I33" i="47"/>
  <c r="I39" i="47"/>
  <c r="I31" i="54"/>
  <c r="I32" i="52"/>
  <c r="I20" i="52"/>
  <c r="I43" i="44"/>
  <c r="H49" i="30"/>
  <c r="I16" i="44"/>
  <c r="I27" i="45"/>
  <c r="I19" i="48"/>
  <c r="I34" i="27"/>
  <c r="I33" i="24"/>
  <c r="I28" i="22"/>
  <c r="D50" i="27"/>
  <c r="I38" i="23"/>
  <c r="I16" i="31"/>
  <c r="I9" i="24"/>
  <c r="I10" i="33"/>
  <c r="I44" i="32"/>
  <c r="I42" i="32"/>
  <c r="I40" i="32"/>
  <c r="I17" i="32"/>
  <c r="I15" i="32"/>
  <c r="I21" i="32"/>
  <c r="I19" i="32"/>
  <c r="I10" i="32"/>
  <c r="I37" i="32"/>
  <c r="I35" i="32"/>
  <c r="I33" i="32"/>
  <c r="I31" i="32"/>
  <c r="I29" i="32"/>
  <c r="I27" i="32"/>
  <c r="I25" i="32"/>
  <c r="I12" i="32"/>
  <c r="I22" i="32"/>
  <c r="I20" i="32"/>
  <c r="I18" i="32"/>
  <c r="I11" i="32"/>
  <c r="I29" i="28"/>
  <c r="I35" i="24"/>
  <c r="I40" i="44"/>
  <c r="I26" i="32"/>
  <c r="I16" i="27"/>
  <c r="I13" i="28"/>
  <c r="I15" i="26"/>
  <c r="I26" i="25"/>
  <c r="I39" i="45"/>
  <c r="I19" i="22"/>
  <c r="I33" i="17"/>
  <c r="I14" i="17"/>
  <c r="I25" i="14"/>
  <c r="I33" i="13"/>
  <c r="I18" i="10"/>
  <c r="I29" i="8"/>
  <c r="I13" i="8"/>
  <c r="I24" i="17"/>
  <c r="C50" i="15"/>
  <c r="I32" i="38"/>
  <c r="I38" i="25"/>
  <c r="I16" i="14"/>
  <c r="I16" i="32"/>
  <c r="I28" i="23"/>
  <c r="I15" i="14"/>
  <c r="I41" i="32"/>
  <c r="H49" i="20"/>
  <c r="I43" i="5"/>
  <c r="I13" i="19"/>
  <c r="I29" i="11"/>
  <c r="I28" i="9"/>
  <c r="I25" i="7"/>
  <c r="I29" i="5"/>
  <c r="I34" i="9"/>
  <c r="I24" i="8"/>
  <c r="I17" i="6"/>
  <c r="I16" i="4"/>
  <c r="I10" i="6"/>
  <c r="I26" i="22"/>
  <c r="I22" i="9"/>
  <c r="I33" i="6"/>
  <c r="I18" i="24"/>
  <c r="H49" i="16"/>
  <c r="I31" i="10"/>
  <c r="I13" i="6"/>
  <c r="I28" i="29"/>
  <c r="I31" i="14"/>
  <c r="I10" i="7"/>
  <c r="I30" i="4"/>
  <c r="I30" i="10"/>
  <c r="I29" i="6"/>
  <c r="I37" i="1"/>
  <c r="D50" i="3"/>
  <c r="D50" i="9"/>
  <c r="I15" i="4"/>
  <c r="I36" i="79"/>
  <c r="I20" i="80"/>
  <c r="E50" i="73"/>
  <c r="I41" i="73"/>
  <c r="I29" i="73"/>
  <c r="I21" i="70"/>
  <c r="I23" i="72"/>
  <c r="I26" i="70"/>
  <c r="I12" i="64"/>
  <c r="D50" i="66"/>
  <c r="I29" i="66"/>
  <c r="I18" i="66"/>
  <c r="I31" i="66"/>
  <c r="I13" i="66"/>
  <c r="I11" i="66"/>
  <c r="F50" i="66"/>
  <c r="I14" i="66"/>
  <c r="I16" i="66"/>
  <c r="I19" i="66"/>
  <c r="I23" i="66"/>
  <c r="I32" i="66"/>
  <c r="I21" i="73"/>
  <c r="I34" i="69"/>
  <c r="I22" i="68"/>
  <c r="I31" i="72"/>
  <c r="E50" i="72"/>
  <c r="I36" i="69"/>
  <c r="H49" i="61"/>
  <c r="I39" i="73"/>
  <c r="I19" i="68"/>
  <c r="I26" i="66"/>
  <c r="I31" i="62"/>
  <c r="I21" i="66"/>
  <c r="I11" i="64"/>
  <c r="I40" i="63"/>
  <c r="I32" i="63"/>
  <c r="I34" i="63"/>
  <c r="I18" i="63"/>
  <c r="I16" i="63"/>
  <c r="I14" i="63"/>
  <c r="I9" i="63"/>
  <c r="I36" i="63"/>
  <c r="I42" i="63"/>
  <c r="I24" i="63"/>
  <c r="I28" i="63"/>
  <c r="I10" i="63"/>
  <c r="I13" i="63"/>
  <c r="I44" i="63"/>
  <c r="I30" i="63"/>
  <c r="I21" i="63"/>
  <c r="I17" i="63"/>
  <c r="I38" i="63"/>
  <c r="I34" i="67"/>
  <c r="I25" i="65"/>
  <c r="D50" i="68"/>
  <c r="I21" i="65"/>
  <c r="I25" i="60"/>
  <c r="I12" i="67"/>
  <c r="I36" i="62"/>
  <c r="F50" i="59"/>
  <c r="I29" i="68"/>
  <c r="I40" i="60"/>
  <c r="I30" i="66"/>
  <c r="I11" i="60"/>
  <c r="I26" i="58"/>
  <c r="I19" i="59"/>
  <c r="I36" i="64"/>
  <c r="I32" i="55"/>
  <c r="I38" i="62"/>
  <c r="I35" i="55"/>
  <c r="I25" i="59"/>
  <c r="I16" i="57"/>
  <c r="I23" i="55"/>
  <c r="I12" i="54"/>
  <c r="I36" i="56"/>
  <c r="I19" i="57"/>
  <c r="I25" i="52"/>
  <c r="I30" i="49"/>
  <c r="I15" i="51"/>
  <c r="I35" i="52"/>
  <c r="I43" i="48"/>
  <c r="I17" i="48"/>
  <c r="I19" i="47"/>
  <c r="I20" i="48"/>
  <c r="D50" i="46"/>
  <c r="I39" i="46"/>
  <c r="I37" i="46"/>
  <c r="I35" i="46"/>
  <c r="I33" i="46"/>
  <c r="I31" i="46"/>
  <c r="I29" i="46"/>
  <c r="I27" i="46"/>
  <c r="I25" i="46"/>
  <c r="I23" i="46"/>
  <c r="I21" i="46"/>
  <c r="I19" i="46"/>
  <c r="I17" i="46"/>
  <c r="I15" i="46"/>
  <c r="I13" i="46"/>
  <c r="I11" i="46"/>
  <c r="I28" i="46"/>
  <c r="I12" i="46"/>
  <c r="I9" i="46"/>
  <c r="I34" i="46"/>
  <c r="I18" i="46"/>
  <c r="I40" i="46"/>
  <c r="I24" i="46"/>
  <c r="I30" i="46"/>
  <c r="I14" i="46"/>
  <c r="I36" i="46"/>
  <c r="I20" i="46"/>
  <c r="E50" i="46"/>
  <c r="I32" i="46"/>
  <c r="I16" i="46"/>
  <c r="I38" i="46"/>
  <c r="I26" i="46"/>
  <c r="I22" i="46"/>
  <c r="C50" i="42"/>
  <c r="I45" i="42"/>
  <c r="I43" i="42"/>
  <c r="I20" i="42"/>
  <c r="I18" i="42"/>
  <c r="I11" i="42"/>
  <c r="I26" i="42"/>
  <c r="I24" i="42"/>
  <c r="I22" i="42"/>
  <c r="I21" i="42"/>
  <c r="I33" i="42"/>
  <c r="I39" i="42"/>
  <c r="I29" i="42"/>
  <c r="I23" i="42"/>
  <c r="F50" i="42"/>
  <c r="I35" i="42"/>
  <c r="I16" i="42"/>
  <c r="I31" i="42"/>
  <c r="I25" i="42"/>
  <c r="D50" i="42"/>
  <c r="I44" i="42"/>
  <c r="I41" i="42"/>
  <c r="I37" i="42"/>
  <c r="I19" i="42"/>
  <c r="I10" i="54"/>
  <c r="D50" i="50"/>
  <c r="I30" i="50"/>
  <c r="I14" i="50"/>
  <c r="I36" i="50"/>
  <c r="I20" i="50"/>
  <c r="C50" i="50"/>
  <c r="I28" i="50"/>
  <c r="I24" i="50"/>
  <c r="I12" i="50"/>
  <c r="I33" i="45"/>
  <c r="I13" i="42"/>
  <c r="I43" i="46"/>
  <c r="I16" i="50"/>
  <c r="I10" i="48"/>
  <c r="I10" i="46"/>
  <c r="I27" i="44"/>
  <c r="F50" i="36"/>
  <c r="I12" i="34"/>
  <c r="I40" i="41"/>
  <c r="I26" i="49"/>
  <c r="I14" i="41"/>
  <c r="I24" i="39"/>
  <c r="I31" i="36"/>
  <c r="I18" i="34"/>
  <c r="I16" i="36"/>
  <c r="I32" i="42"/>
  <c r="I28" i="32"/>
  <c r="I30" i="27"/>
  <c r="I27" i="26"/>
  <c r="I20" i="24"/>
  <c r="I9" i="14"/>
  <c r="I23" i="32"/>
  <c r="I45" i="27"/>
  <c r="I32" i="23"/>
  <c r="I39" i="32"/>
  <c r="I20" i="28"/>
  <c r="I13" i="26"/>
  <c r="I32" i="24"/>
  <c r="I37" i="23"/>
  <c r="F50" i="31"/>
  <c r="H49" i="19"/>
  <c r="H49" i="33"/>
  <c r="I13" i="32"/>
  <c r="I24" i="28"/>
  <c r="I12" i="27"/>
  <c r="I11" i="23"/>
  <c r="I24" i="31"/>
  <c r="I9" i="28"/>
  <c r="D50" i="23"/>
  <c r="F50" i="44"/>
  <c r="I18" i="19"/>
  <c r="I22" i="13"/>
  <c r="I25" i="13"/>
  <c r="I16" i="10"/>
  <c r="I27" i="8"/>
  <c r="I11" i="8"/>
  <c r="I11" i="24"/>
  <c r="I24" i="15"/>
  <c r="I16" i="30"/>
  <c r="C50" i="24"/>
  <c r="I43" i="13"/>
  <c r="I11" i="22"/>
  <c r="I15" i="19"/>
  <c r="C50" i="13"/>
  <c r="I17" i="24"/>
  <c r="I39" i="20"/>
  <c r="I32" i="20"/>
  <c r="I30" i="20"/>
  <c r="I28" i="20"/>
  <c r="I26" i="20"/>
  <c r="I24" i="20"/>
  <c r="I22" i="20"/>
  <c r="I20" i="20"/>
  <c r="I18" i="20"/>
  <c r="I16" i="20"/>
  <c r="I14" i="20"/>
  <c r="I12" i="20"/>
  <c r="I38" i="20"/>
  <c r="I35" i="20"/>
  <c r="I37" i="20"/>
  <c r="I33" i="20"/>
  <c r="I17" i="20"/>
  <c r="I21" i="20"/>
  <c r="I29" i="20"/>
  <c r="F50" i="20"/>
  <c r="I13" i="20"/>
  <c r="I25" i="20"/>
  <c r="I17" i="12"/>
  <c r="I31" i="20"/>
  <c r="I31" i="9"/>
  <c r="I28" i="7"/>
  <c r="I16" i="5"/>
  <c r="D50" i="1"/>
  <c r="I31" i="1"/>
  <c r="I29" i="1"/>
  <c r="I27" i="1"/>
  <c r="I33" i="1"/>
  <c r="I24" i="1"/>
  <c r="I22" i="1"/>
  <c r="I36" i="1"/>
  <c r="I13" i="1"/>
  <c r="E50" i="1"/>
  <c r="I25" i="1"/>
  <c r="I33" i="5"/>
  <c r="I19" i="11"/>
  <c r="I20" i="9"/>
  <c r="I17" i="7"/>
  <c r="I21" i="5"/>
  <c r="I24" i="9"/>
  <c r="I22" i="35"/>
  <c r="I13" i="22"/>
  <c r="F50" i="15"/>
  <c r="F50" i="10"/>
  <c r="I25" i="6"/>
  <c r="I14" i="24"/>
  <c r="I23" i="10"/>
  <c r="I31" i="13"/>
  <c r="I9" i="10"/>
  <c r="I32" i="8"/>
  <c r="I32" i="6"/>
  <c r="I22" i="4"/>
  <c r="I12" i="3"/>
  <c r="I22" i="10"/>
  <c r="I15" i="1"/>
  <c r="I28" i="8"/>
  <c r="I29" i="59"/>
  <c r="D50" i="58"/>
  <c r="I43" i="69"/>
  <c r="I20" i="57"/>
  <c r="I11" i="55"/>
  <c r="D50" i="49"/>
  <c r="I37" i="54"/>
  <c r="I27" i="49"/>
  <c r="C50" i="55"/>
  <c r="I14" i="55"/>
  <c r="E50" i="55"/>
  <c r="H49" i="50"/>
  <c r="I37" i="45"/>
  <c r="I10" i="45"/>
  <c r="I9" i="45"/>
  <c r="D50" i="45"/>
  <c r="I36" i="45"/>
  <c r="C50" i="45"/>
  <c r="I35" i="45"/>
  <c r="I11" i="45"/>
  <c r="I38" i="45"/>
  <c r="I24" i="45"/>
  <c r="H49" i="43"/>
  <c r="I13" i="54"/>
  <c r="E50" i="45"/>
  <c r="I29" i="55"/>
  <c r="I34" i="47"/>
  <c r="E50" i="44"/>
  <c r="I21" i="44"/>
  <c r="I10" i="44"/>
  <c r="I36" i="44"/>
  <c r="I11" i="44"/>
  <c r="I38" i="44"/>
  <c r="I22" i="44"/>
  <c r="I9" i="44"/>
  <c r="I34" i="44"/>
  <c r="I30" i="44"/>
  <c r="I17" i="41"/>
  <c r="I19" i="45"/>
  <c r="I13" i="24"/>
  <c r="H49" i="25"/>
  <c r="H49" i="26"/>
  <c r="I25" i="24"/>
  <c r="I18" i="23"/>
  <c r="I41" i="27"/>
  <c r="I31" i="24"/>
  <c r="E50" i="31"/>
  <c r="I43" i="27"/>
  <c r="I36" i="23"/>
  <c r="I14" i="10"/>
  <c r="I15" i="22"/>
  <c r="I20" i="15"/>
  <c r="I35" i="9"/>
  <c r="I33" i="9"/>
  <c r="I16" i="9"/>
  <c r="I14" i="9"/>
  <c r="F50" i="9"/>
  <c r="I9" i="38"/>
  <c r="D50" i="38"/>
  <c r="I26" i="38"/>
  <c r="I24" i="38"/>
  <c r="I22" i="38"/>
  <c r="I11" i="38"/>
  <c r="C50" i="38"/>
  <c r="I27" i="38"/>
  <c r="I25" i="38"/>
  <c r="I23" i="38"/>
  <c r="I21" i="38"/>
  <c r="I37" i="38"/>
  <c r="I43" i="38"/>
  <c r="I16" i="38"/>
  <c r="I33" i="38"/>
  <c r="I39" i="38"/>
  <c r="I12" i="38"/>
  <c r="I29" i="38"/>
  <c r="I18" i="38"/>
  <c r="I41" i="38"/>
  <c r="I14" i="38"/>
  <c r="I35" i="38"/>
  <c r="I31" i="38"/>
  <c r="I32" i="28"/>
  <c r="I29" i="24"/>
  <c r="I46" i="13"/>
  <c r="E50" i="14"/>
  <c r="I32" i="14"/>
  <c r="I22" i="14"/>
  <c r="I26" i="14"/>
  <c r="I19" i="14"/>
  <c r="D50" i="14"/>
  <c r="I33" i="14"/>
  <c r="I10" i="14"/>
  <c r="I23" i="14"/>
  <c r="I18" i="14"/>
  <c r="I14" i="14"/>
  <c r="I44" i="4"/>
  <c r="I39" i="4"/>
  <c r="I37" i="4"/>
  <c r="I35" i="4"/>
  <c r="I33" i="4"/>
  <c r="I41" i="4"/>
  <c r="D50" i="4"/>
  <c r="I29" i="4"/>
  <c r="I25" i="4"/>
  <c r="I21" i="4"/>
  <c r="I40" i="4"/>
  <c r="I31" i="4"/>
  <c r="I27" i="4"/>
  <c r="I23" i="4"/>
  <c r="I19" i="4"/>
  <c r="I42" i="4"/>
  <c r="I23" i="9"/>
  <c r="I46" i="5"/>
  <c r="I44" i="5"/>
  <c r="I13" i="5"/>
  <c r="I42" i="5"/>
  <c r="I40" i="5"/>
  <c r="I38" i="5"/>
  <c r="I36" i="5"/>
  <c r="I34" i="5"/>
  <c r="I32" i="5"/>
  <c r="I30" i="5"/>
  <c r="I28" i="5"/>
  <c r="I26" i="5"/>
  <c r="I24" i="5"/>
  <c r="I22" i="5"/>
  <c r="I9" i="5"/>
  <c r="F50" i="5"/>
  <c r="I11" i="5"/>
  <c r="I14" i="5"/>
  <c r="I18" i="5"/>
  <c r="I39" i="13"/>
  <c r="I34" i="4"/>
  <c r="I31" i="17"/>
  <c r="F50" i="11"/>
  <c r="I31" i="11"/>
  <c r="I12" i="11"/>
  <c r="I10" i="11"/>
  <c r="C50" i="11"/>
  <c r="I32" i="11"/>
  <c r="I30" i="11"/>
  <c r="I11" i="11"/>
  <c r="I9" i="11"/>
  <c r="I15" i="11"/>
  <c r="I13" i="11"/>
  <c r="I39" i="7"/>
  <c r="I37" i="7"/>
  <c r="I20" i="7"/>
  <c r="I41" i="7"/>
  <c r="I34" i="7"/>
  <c r="I32" i="7"/>
  <c r="I30" i="7"/>
  <c r="I36" i="7"/>
  <c r="I19" i="7"/>
  <c r="E50" i="7"/>
  <c r="I12" i="5"/>
  <c r="I22" i="11"/>
  <c r="H49" i="1"/>
  <c r="I40" i="20"/>
  <c r="I30" i="15"/>
  <c r="I37" i="13"/>
  <c r="I26" i="10"/>
  <c r="I39" i="5"/>
  <c r="I29" i="7"/>
  <c r="E50" i="22"/>
  <c r="C50" i="9"/>
  <c r="I38" i="7"/>
  <c r="I45" i="5"/>
  <c r="I14" i="80"/>
  <c r="I24" i="11"/>
  <c r="H49" i="4"/>
  <c r="I17" i="11"/>
  <c r="I24" i="6"/>
  <c r="E50" i="3"/>
  <c r="I26" i="9"/>
  <c r="I31" i="7"/>
  <c r="I19" i="6"/>
  <c r="C50" i="7"/>
  <c r="I12" i="1"/>
  <c r="I19" i="10"/>
  <c r="I34" i="1"/>
  <c r="I24" i="80"/>
  <c r="I13" i="80"/>
  <c r="I11" i="80"/>
  <c r="D50" i="80"/>
  <c r="C50" i="80"/>
  <c r="I44" i="72"/>
  <c r="I20" i="68"/>
  <c r="I25" i="72"/>
  <c r="I27" i="73"/>
  <c r="I15" i="68"/>
  <c r="I23" i="59"/>
  <c r="I41" i="72"/>
  <c r="I25" i="68"/>
  <c r="I12" i="59"/>
  <c r="I15" i="59"/>
  <c r="I27" i="59"/>
  <c r="I23" i="58"/>
  <c r="I16" i="59"/>
  <c r="H49" i="55"/>
  <c r="I9" i="80"/>
  <c r="I25" i="80"/>
  <c r="H49" i="80"/>
  <c r="H49" i="75"/>
  <c r="I22" i="80"/>
  <c r="I16" i="79"/>
  <c r="I14" i="79"/>
  <c r="I9" i="79"/>
  <c r="I17" i="79"/>
  <c r="I15" i="79"/>
  <c r="I13" i="79"/>
  <c r="I37" i="79"/>
  <c r="I35" i="79"/>
  <c r="I33" i="79"/>
  <c r="I31" i="79"/>
  <c r="I29" i="79"/>
  <c r="I27" i="79"/>
  <c r="I25" i="79"/>
  <c r="I23" i="79"/>
  <c r="I21" i="79"/>
  <c r="I19" i="79"/>
  <c r="I10" i="79"/>
  <c r="I40" i="79"/>
  <c r="I13" i="76"/>
  <c r="D50" i="76"/>
  <c r="I42" i="76"/>
  <c r="I40" i="76"/>
  <c r="I38" i="76"/>
  <c r="I36" i="76"/>
  <c r="I34" i="76"/>
  <c r="I32" i="76"/>
  <c r="I30" i="76"/>
  <c r="I28" i="76"/>
  <c r="I26" i="76"/>
  <c r="I24" i="76"/>
  <c r="I22" i="76"/>
  <c r="I20" i="76"/>
  <c r="F50" i="76"/>
  <c r="I12" i="76"/>
  <c r="I17" i="76"/>
  <c r="I27" i="76"/>
  <c r="I39" i="79"/>
  <c r="I9" i="72"/>
  <c r="I30" i="79"/>
  <c r="I19" i="76"/>
  <c r="I24" i="70"/>
  <c r="I37" i="73"/>
  <c r="I12" i="73"/>
  <c r="I32" i="69"/>
  <c r="I25" i="73"/>
  <c r="I10" i="70"/>
  <c r="H49" i="66"/>
  <c r="I46" i="72"/>
  <c r="I35" i="72"/>
  <c r="I18" i="68"/>
  <c r="I16" i="72"/>
  <c r="I14" i="70"/>
  <c r="I21" i="72"/>
  <c r="H49" i="62"/>
  <c r="I11" i="68"/>
  <c r="I21" i="59"/>
  <c r="I34" i="66"/>
  <c r="I21" i="68"/>
  <c r="I33" i="66"/>
  <c r="H49" i="60"/>
  <c r="H49" i="64"/>
  <c r="I30" i="58"/>
  <c r="I13" i="64"/>
  <c r="I36" i="60"/>
  <c r="D50" i="59"/>
  <c r="I9" i="55"/>
  <c r="I30" i="62"/>
  <c r="I27" i="55"/>
  <c r="I25" i="58"/>
  <c r="I17" i="57"/>
  <c r="E50" i="52"/>
  <c r="I18" i="52"/>
  <c r="I16" i="52"/>
  <c r="I14" i="52"/>
  <c r="I12" i="52"/>
  <c r="I10" i="52"/>
  <c r="I37" i="52"/>
  <c r="I15" i="52"/>
  <c r="I17" i="52"/>
  <c r="I9" i="52"/>
  <c r="I38" i="52"/>
  <c r="F50" i="52"/>
  <c r="I11" i="52"/>
  <c r="I19" i="52"/>
  <c r="I13" i="52"/>
  <c r="I26" i="52"/>
  <c r="I10" i="55"/>
  <c r="H49" i="48"/>
  <c r="E50" i="48"/>
  <c r="I29" i="48"/>
  <c r="I23" i="48"/>
  <c r="I12" i="48"/>
  <c r="I35" i="48"/>
  <c r="I24" i="48"/>
  <c r="I27" i="48"/>
  <c r="F50" i="48"/>
  <c r="I21" i="48"/>
  <c r="I13" i="48"/>
  <c r="I39" i="48"/>
  <c r="I27" i="52"/>
  <c r="I14" i="45"/>
  <c r="I33" i="41"/>
  <c r="D50" i="54"/>
  <c r="I16" i="48"/>
  <c r="I29" i="41"/>
  <c r="H49" i="35"/>
  <c r="E50" i="51"/>
  <c r="I30" i="51"/>
  <c r="I25" i="51"/>
  <c r="I26" i="51"/>
  <c r="I29" i="51"/>
  <c r="I31" i="51"/>
  <c r="I28" i="51"/>
  <c r="F50" i="51"/>
  <c r="I40" i="47"/>
  <c r="I25" i="45"/>
  <c r="I35" i="41"/>
  <c r="I10" i="59"/>
  <c r="I12" i="45"/>
  <c r="I45" i="62"/>
  <c r="I16" i="47"/>
  <c r="C50" i="44"/>
  <c r="I27" i="41"/>
  <c r="I9" i="48"/>
  <c r="I17" i="54"/>
  <c r="I28" i="52"/>
  <c r="E50" i="40"/>
  <c r="I15" i="45"/>
  <c r="I12" i="41"/>
  <c r="I30" i="30"/>
  <c r="I28" i="30"/>
  <c r="I26" i="30"/>
  <c r="I24" i="30"/>
  <c r="I22" i="30"/>
  <c r="I20" i="30"/>
  <c r="I18" i="30"/>
  <c r="E50" i="30"/>
  <c r="I32" i="30"/>
  <c r="I11" i="30"/>
  <c r="I9" i="30"/>
  <c r="I38" i="30"/>
  <c r="I36" i="30"/>
  <c r="I15" i="30"/>
  <c r="I33" i="30"/>
  <c r="I12" i="30"/>
  <c r="I10" i="30"/>
  <c r="I31" i="30"/>
  <c r="I27" i="30"/>
  <c r="I23" i="30"/>
  <c r="I19" i="30"/>
  <c r="I35" i="30"/>
  <c r="I17" i="30"/>
  <c r="I21" i="30"/>
  <c r="I25" i="30"/>
  <c r="I29" i="30"/>
  <c r="H49" i="36"/>
  <c r="I40" i="31"/>
  <c r="I22" i="27"/>
  <c r="I37" i="25"/>
  <c r="I35" i="23"/>
  <c r="I11" i="28"/>
  <c r="I32" i="26"/>
  <c r="I30" i="26"/>
  <c r="I25" i="26"/>
  <c r="C50" i="26"/>
  <c r="I24" i="26"/>
  <c r="F50" i="26"/>
  <c r="I22" i="26"/>
  <c r="I16" i="26"/>
  <c r="I12" i="26"/>
  <c r="I23" i="26"/>
  <c r="I14" i="26"/>
  <c r="I10" i="26"/>
  <c r="I18" i="26"/>
  <c r="I29" i="26"/>
  <c r="I12" i="23"/>
  <c r="I26" i="31"/>
  <c r="E50" i="26"/>
  <c r="I22" i="24"/>
  <c r="I42" i="33"/>
  <c r="I40" i="33"/>
  <c r="I38" i="33"/>
  <c r="I36" i="33"/>
  <c r="I34" i="33"/>
  <c r="I32" i="33"/>
  <c r="I30" i="33"/>
  <c r="I28" i="33"/>
  <c r="I26" i="33"/>
  <c r="I24" i="33"/>
  <c r="I22" i="33"/>
  <c r="I20" i="33"/>
  <c r="I18" i="33"/>
  <c r="I16" i="33"/>
  <c r="I14" i="33"/>
  <c r="I12" i="33"/>
  <c r="I39" i="33"/>
  <c r="I35" i="33"/>
  <c r="I31" i="33"/>
  <c r="I27" i="33"/>
  <c r="I23" i="33"/>
  <c r="I19" i="33"/>
  <c r="I15" i="33"/>
  <c r="I11" i="33"/>
  <c r="E50" i="33"/>
  <c r="I13" i="33"/>
  <c r="I17" i="33"/>
  <c r="I21" i="33"/>
  <c r="I25" i="33"/>
  <c r="I29" i="33"/>
  <c r="I37" i="33"/>
  <c r="I41" i="33"/>
  <c r="I33" i="33"/>
  <c r="I36" i="27"/>
  <c r="I33" i="34"/>
  <c r="I31" i="34"/>
  <c r="I29" i="34"/>
  <c r="I27" i="34"/>
  <c r="I25" i="34"/>
  <c r="I38" i="34"/>
  <c r="I34" i="34"/>
  <c r="E50" i="34"/>
  <c r="I16" i="34"/>
  <c r="D50" i="34"/>
  <c r="I21" i="34"/>
  <c r="I11" i="34"/>
  <c r="I9" i="34"/>
  <c r="C50" i="34"/>
  <c r="I13" i="34"/>
  <c r="I17" i="34"/>
  <c r="I10" i="34"/>
  <c r="I23" i="34"/>
  <c r="I15" i="34"/>
  <c r="C50" i="25"/>
  <c r="I26" i="23"/>
  <c r="I15" i="25"/>
  <c r="I20" i="17"/>
  <c r="I13" i="30"/>
  <c r="D50" i="25"/>
  <c r="D50" i="15"/>
  <c r="E50" i="13"/>
  <c r="I44" i="13"/>
  <c r="I42" i="13"/>
  <c r="I40" i="13"/>
  <c r="I38" i="13"/>
  <c r="I36" i="13"/>
  <c r="I34" i="13"/>
  <c r="I32" i="13"/>
  <c r="I30" i="13"/>
  <c r="I28" i="13"/>
  <c r="I26" i="13"/>
  <c r="I24" i="13"/>
  <c r="I13" i="13"/>
  <c r="I20" i="13"/>
  <c r="I16" i="13"/>
  <c r="I12" i="13"/>
  <c r="I15" i="13"/>
  <c r="I19" i="13"/>
  <c r="I14" i="13"/>
  <c r="I45" i="13"/>
  <c r="I18" i="13"/>
  <c r="D50" i="13"/>
  <c r="F50" i="8"/>
  <c r="D50" i="8"/>
  <c r="I40" i="8"/>
  <c r="C50" i="8"/>
  <c r="I30" i="8"/>
  <c r="I14" i="8"/>
  <c r="I34" i="8"/>
  <c r="I18" i="8"/>
  <c r="I38" i="8"/>
  <c r="I22" i="8"/>
  <c r="E50" i="8"/>
  <c r="I26" i="8"/>
  <c r="I10" i="8"/>
  <c r="I23" i="8"/>
  <c r="I11" i="19"/>
  <c r="I32" i="15"/>
  <c r="I27" i="13"/>
  <c r="F50" i="27"/>
  <c r="I11" i="25"/>
  <c r="I42" i="17"/>
  <c r="I13" i="14"/>
  <c r="I26" i="11"/>
  <c r="I36" i="8"/>
  <c r="I45" i="4"/>
  <c r="D50" i="11"/>
  <c r="I20" i="26"/>
  <c r="I46" i="10"/>
  <c r="I39" i="6"/>
  <c r="I38" i="4"/>
  <c r="I37" i="10"/>
  <c r="I15" i="9"/>
  <c r="I14" i="7"/>
  <c r="I20" i="5"/>
  <c r="I10" i="3"/>
  <c r="I32" i="1"/>
  <c r="I18" i="15"/>
  <c r="I29" i="13"/>
  <c r="I20" i="10"/>
  <c r="D50" i="7"/>
  <c r="I31" i="5"/>
  <c r="I23" i="7"/>
  <c r="E50" i="11"/>
  <c r="I27" i="9"/>
  <c r="I24" i="7"/>
  <c r="D50" i="79"/>
  <c r="I28" i="10"/>
  <c r="C50" i="10"/>
  <c r="I32" i="9"/>
  <c r="I15" i="6"/>
  <c r="I16" i="17"/>
  <c r="I23" i="11"/>
  <c r="I17" i="9"/>
  <c r="D50" i="5"/>
  <c r="F50" i="1"/>
  <c r="I26" i="4"/>
  <c r="I17" i="1"/>
</calcChain>
</file>

<file path=xl/sharedStrings.xml><?xml version="1.0" encoding="utf-8"?>
<sst xmlns="http://schemas.openxmlformats.org/spreadsheetml/2006/main" count="8358" uniqueCount="275">
  <si>
    <t>PRODUTTORE</t>
  </si>
  <si>
    <t>COMUNE DI AMARO</t>
  </si>
  <si>
    <t>PERIODO</t>
  </si>
  <si>
    <t>01/01/2023 - 31/12/2023</t>
  </si>
  <si>
    <t>ABITANTI</t>
  </si>
  <si>
    <t>KG/PERIODO</t>
  </si>
  <si>
    <t>GRUPPO RIFIUTI</t>
  </si>
  <si>
    <t>RIFIUTO</t>
  </si>
  <si>
    <t>DOMICILIARE</t>
  </si>
  <si>
    <t>STRADALE</t>
  </si>
  <si>
    <t>CDR</t>
  </si>
  <si>
    <t>ALTRO</t>
  </si>
  <si>
    <t>TOTALE</t>
  </si>
  <si>
    <t>KG/AB/PERIODO</t>
  </si>
  <si>
    <t>% TOTALE</t>
  </si>
  <si>
    <t>% SU 2022</t>
  </si>
  <si>
    <t>Altri rifiuti urbani</t>
  </si>
  <si>
    <t>170603 - * Altri materiali isolanti</t>
  </si>
  <si>
    <t>170802 - Mater. da costruz. a base di gesso</t>
  </si>
  <si>
    <t>160216 - Toner</t>
  </si>
  <si>
    <t>Rifiuti urbani differenziati</t>
  </si>
  <si>
    <t>150106 - Multimateriale Plastica + lattine</t>
  </si>
  <si>
    <t>150107 - Imballaggi in vetro</t>
  </si>
  <si>
    <t>160103 - Pneumatici</t>
  </si>
  <si>
    <t>170904 - Inerti</t>
  </si>
  <si>
    <t>200101 - Carta e cartone</t>
  </si>
  <si>
    <t>200108 - Umido</t>
  </si>
  <si>
    <t>200110 - Abbigliamento</t>
  </si>
  <si>
    <t>200111 - Prodotti tessili</t>
  </si>
  <si>
    <t>200121 - * RAEE R5 (Lampade fluorescenti)</t>
  </si>
  <si>
    <t>200123 - * RAEE R1 (Frigoriferi)</t>
  </si>
  <si>
    <t>200125 - Oli vegetali</t>
  </si>
  <si>
    <t>200126 - * Oli pericolosi</t>
  </si>
  <si>
    <t>200127 - * Pitture e vernici pericolose</t>
  </si>
  <si>
    <t>200133 - * Pile portatili</t>
  </si>
  <si>
    <t>200135 - * RAEE R3 (TV e monitor)</t>
  </si>
  <si>
    <t>200136 - RAEE R2 (Lavatrici)</t>
  </si>
  <si>
    <t>200138 - Legno</t>
  </si>
  <si>
    <t>200139 - Plastiche dure</t>
  </si>
  <si>
    <t>200140 - Metallo</t>
  </si>
  <si>
    <t>200201 - Verde</t>
  </si>
  <si>
    <t>200136 - RAEE R4 (Piccoli elettrodomestici)</t>
  </si>
  <si>
    <t>150111 - * Bombolette spray</t>
  </si>
  <si>
    <t>200132 - Medicinali scaduti</t>
  </si>
  <si>
    <t>Rifiuti urbani non differenziati</t>
  </si>
  <si>
    <t>200301 - R.S.U. Secco residuo</t>
  </si>
  <si>
    <t>200307 - Ingombranti</t>
  </si>
  <si>
    <t>200303 - Residui della pulizia stradale</t>
  </si>
  <si>
    <t>* rifiuti pericolosi</t>
  </si>
  <si>
    <t>RIFIUTI URBANI DIFFERENZIATI</t>
  </si>
  <si>
    <t>RIFIUTI URBANI NON DIFFERENZIATI</t>
  </si>
  <si>
    <t>ALTRI RIFIUTI URBANI</t>
  </si>
  <si>
    <t>PERCENTUALE RACCOLTA DIFFERENZIATA (ARPA)</t>
  </si>
  <si>
    <t>2022 A&amp;T 2000</t>
  </si>
  <si>
    <t>PERCENTUALE RACCOLTA DIFFERENZIATA (A&amp;T 2000)</t>
  </si>
  <si>
    <t>DIFFERENZIALI PRINCIPALI PARAMETRI</t>
  </si>
  <si>
    <t>COMUNE DI AMARO**</t>
  </si>
  <si>
    <t>A&amp;T 2000 **</t>
  </si>
  <si>
    <t>TIAC **</t>
  </si>
  <si>
    <t>SECCO RESIDUO</t>
  </si>
  <si>
    <t>ORGANICO</t>
  </si>
  <si>
    <t>RIF. DIFF.</t>
  </si>
  <si>
    <t>RIF. NON DIFF.</t>
  </si>
  <si>
    <t>COMUNE DI AMPEZZO</t>
  </si>
  <si>
    <t>COMUNE DI AMPEZZO**</t>
  </si>
  <si>
    <t>COMUNE DI ARTA TERME</t>
  </si>
  <si>
    <t>170604 - Materiali isolanti</t>
  </si>
  <si>
    <t>080318 - Toner</t>
  </si>
  <si>
    <t>150101 - imballaggi in carta e cartone</t>
  </si>
  <si>
    <t>200102 - Lastre di vetro</t>
  </si>
  <si>
    <t>200133 - * Batterie al piombo</t>
  </si>
  <si>
    <t>COMUNE DI ARTA TERME**</t>
  </si>
  <si>
    <t>COMUNE DI ARTEGNA</t>
  </si>
  <si>
    <t>150102 - Imballaggi in plastica</t>
  </si>
  <si>
    <t>200304 - fanghi</t>
  </si>
  <si>
    <t>170302 - Miscele bituminose</t>
  </si>
  <si>
    <t>COMUNE DI ARTEGNA**</t>
  </si>
  <si>
    <t>COMUNE DI BASILIANO</t>
  </si>
  <si>
    <t>170204 - Vetro, plastica e legno pericolosi</t>
  </si>
  <si>
    <t>150110 - * Imballaggi per pitture e vernici</t>
  </si>
  <si>
    <t>170301 - Miscele bituminose contenenti catrame di carbone</t>
  </si>
  <si>
    <t>170101 - Cemento</t>
  </si>
  <si>
    <t>130802 - Olio minerale</t>
  </si>
  <si>
    <t>COMUNE DI BASILIANO**</t>
  </si>
  <si>
    <t>COMUNE DI BERTIOLO</t>
  </si>
  <si>
    <t>COMUNE DI BERTIOLO**</t>
  </si>
  <si>
    <t>COMUNE DI BORDANO</t>
  </si>
  <si>
    <t>COMUNE DI BORDANO**</t>
  </si>
  <si>
    <t>COMUNE DI BUTTRIO</t>
  </si>
  <si>
    <t>COMUNE DI BUTTRIO**</t>
  </si>
  <si>
    <t>COMUNE DI CAMINO AL TAGLIAMENTO</t>
  </si>
  <si>
    <t>COMUNE DI CAMINO AL TAGLIAMENTO**</t>
  </si>
  <si>
    <t>COMUNE DI CAMPOFORMIDO</t>
  </si>
  <si>
    <t>200306 - Pulizia fognature</t>
  </si>
  <si>
    <t>170201 - LEgno</t>
  </si>
  <si>
    <t>COMUNE DI CAMPOFORMIDO**</t>
  </si>
  <si>
    <t>COMUNE DI CAVAZZO CARNICO</t>
  </si>
  <si>
    <t>COMUNE DI CAVAZZO CARNICO**</t>
  </si>
  <si>
    <t>COMUNE DI CERCIVENTO</t>
  </si>
  <si>
    <t>COMUNE DI CERCIVENTO**</t>
  </si>
  <si>
    <t>COMUNE DI CODROIPO</t>
  </si>
  <si>
    <t>160708 - rifiuti contenenti olio</t>
  </si>
  <si>
    <t>170503 - Terre e rocce, contenenti sostanze pericolose</t>
  </si>
  <si>
    <t>160305 - * Rifiuti organici pericolosi</t>
  </si>
  <si>
    <t>COMUNE DI CODROIPO**</t>
  </si>
  <si>
    <t>COMUNE DI COLLOREDO DI MONTE ALBANO</t>
  </si>
  <si>
    <t>150104 - Imballaggi metallici (lattine)</t>
  </si>
  <si>
    <t>COMUNE DI COLLOREDO DI MONTE ALBANO**</t>
  </si>
  <si>
    <t>COMUNE DI COMEGLIANS</t>
  </si>
  <si>
    <t>COMUNE DI COMEGLIANS**</t>
  </si>
  <si>
    <t>COMUNE DI CORNO DI ROSAZZO</t>
  </si>
  <si>
    <t>COMUNE DI CORNO DI ROSAZZO**</t>
  </si>
  <si>
    <t>COMUNE DI COSEANO</t>
  </si>
  <si>
    <t>200203 - Altri rifiuti non compostabili</t>
  </si>
  <si>
    <t>200134 - * Pile portatili</t>
  </si>
  <si>
    <t>170903 - * Altri rifiuti inerti</t>
  </si>
  <si>
    <t>COMUNE DI COSEANO**</t>
  </si>
  <si>
    <t>COMUNE DI DIGNANO</t>
  </si>
  <si>
    <t>COMUNE DI DIGNANO**</t>
  </si>
  <si>
    <t>COMUNE DI DOGNA</t>
  </si>
  <si>
    <t>COMUNE DI DOGNA**</t>
  </si>
  <si>
    <t>COMUNE DI ENEMONZO</t>
  </si>
  <si>
    <t>190802 - Rifiuti dell'eliminazione della sabbia</t>
  </si>
  <si>
    <t>COMUNE DI ENEMONZO**</t>
  </si>
  <si>
    <t>COMUNE DI FAGAGNA</t>
  </si>
  <si>
    <t>200137 - legno, contenente sostanze pericolose</t>
  </si>
  <si>
    <t>170203 - Plastica</t>
  </si>
  <si>
    <t>170107 - Inerti</t>
  </si>
  <si>
    <t>COMUNE DI FAGAGNA**</t>
  </si>
  <si>
    <t>COMUNE DI FLAIBANO</t>
  </si>
  <si>
    <t>COMUNE DI FLAIBANO**</t>
  </si>
  <si>
    <t>COMUNE DI FORGARIA NEL FRIULI</t>
  </si>
  <si>
    <t>170405 - Ferro e acciaio</t>
  </si>
  <si>
    <t>COMUNE DI FORGARIA NEL FRIULI**</t>
  </si>
  <si>
    <t>COMUNE DI FORNI AVOLTRI</t>
  </si>
  <si>
    <t xml:space="preserve">160211 - Apparecchiature fuori uso, contenenti clorofluorocarburi, HCFC, HFC   </t>
  </si>
  <si>
    <t>130205 - scarti olio minerale</t>
  </si>
  <si>
    <t>160104 - Veicoli fuori uso</t>
  </si>
  <si>
    <t>COMUNE DI FORNI AVOLTRI**</t>
  </si>
  <si>
    <t>COMUNE DI FORNI DI SOPRA</t>
  </si>
  <si>
    <t>COMUNE DI FORNI DI SOPRA**</t>
  </si>
  <si>
    <t>COMUNE DI FORNI DI SOTTO</t>
  </si>
  <si>
    <t>COMUNE DI FORNI DI SOTTO**</t>
  </si>
  <si>
    <t>COMUNE DI GEMONA DEL FRIULI</t>
  </si>
  <si>
    <t>170406 - Stagno</t>
  </si>
  <si>
    <t>COMUNE DI GEMONA DEL FRIULI**</t>
  </si>
  <si>
    <t>COMUNE DI LAUCO</t>
  </si>
  <si>
    <t>COMUNE DI LAUCO**</t>
  </si>
  <si>
    <t>COMUNE DI LESTIZZA</t>
  </si>
  <si>
    <t>COMUNE DI LESTIZZA**</t>
  </si>
  <si>
    <t>COMUNE DI LUSEVERA</t>
  </si>
  <si>
    <t xml:space="preserve">170605 - Materiali costruzione con amianto       </t>
  </si>
  <si>
    <t>COMUNE DI LUSEVERA**</t>
  </si>
  <si>
    <t>COMUNE DI MAGNANO IN RIVIERA</t>
  </si>
  <si>
    <t>160213 - apparecchiature fuori uso, contenenti componenti pericolosi (2) diversi da quelli di cui alle voci 16 02 09 e 16 02 12</t>
  </si>
  <si>
    <t>COMUNE DI MAGNANO IN RIVIERA**</t>
  </si>
  <si>
    <t>COMUNE DI MAJANO</t>
  </si>
  <si>
    <t>200129 - Detergenti contenenti sostanze pericolose</t>
  </si>
  <si>
    <t>COMUNE DI MAJANO**</t>
  </si>
  <si>
    <t>COMUNE DI MARTIGNACCO</t>
  </si>
  <si>
    <t>COMUNE DI MARTIGNACCO**</t>
  </si>
  <si>
    <t>COMUNE DI MOGGIO UDINESE</t>
  </si>
  <si>
    <t>COMUNE DI MOGGIO UDINESE**</t>
  </si>
  <si>
    <t>COMUNE DI MOIMACCO</t>
  </si>
  <si>
    <t>COMUNE DI MOIMACCO**</t>
  </si>
  <si>
    <t>COMUNE DI MONTENARS</t>
  </si>
  <si>
    <t>COMUNE DI MONTENARS**</t>
  </si>
  <si>
    <t>COMUNE DI MORTEGLIANO</t>
  </si>
  <si>
    <t>170504 - Terre e rocce</t>
  </si>
  <si>
    <t>150203 - assorbenti,mat.filtranti,stracci</t>
  </si>
  <si>
    <t>COMUNE DI MORTEGLIANO**</t>
  </si>
  <si>
    <t>COMUNE DI MORUZZO</t>
  </si>
  <si>
    <t xml:space="preserve">160214 - APPARECCHIATURE FUORI USO, DIVERSE      </t>
  </si>
  <si>
    <t>COMUNE DI MORUZZO**</t>
  </si>
  <si>
    <t>COMUNE DI NIMIS</t>
  </si>
  <si>
    <t>COMUNE DI NIMIS**</t>
  </si>
  <si>
    <t>COMUNE DI OSOPPO</t>
  </si>
  <si>
    <t>COMUNE DI OSOPPO**</t>
  </si>
  <si>
    <t>COMUNE DI OVARO</t>
  </si>
  <si>
    <t>COMUNE DI OVARO**</t>
  </si>
  <si>
    <t>COMUNE DI PAGNACCO</t>
  </si>
  <si>
    <t>COMUNE DI PAGNACCO**</t>
  </si>
  <si>
    <t>COMUNE DI PALUZZA</t>
  </si>
  <si>
    <t>COMUNE DI PALUZZA**</t>
  </si>
  <si>
    <t>COMUNE DI PASIAN DI PRATO</t>
  </si>
  <si>
    <t>160304 - Rifiuti inorganici</t>
  </si>
  <si>
    <t>160306 - Rifiuti organici diversi da quelli di cui alla voce 160305</t>
  </si>
  <si>
    <t>COMUNE DI PASIAN DI PRATO**</t>
  </si>
  <si>
    <t>COMUNE DI PAULARO</t>
  </si>
  <si>
    <t>COMUNE DI PAULARO**</t>
  </si>
  <si>
    <t>COMUNE DI PAVIA DI UDINE</t>
  </si>
  <si>
    <t>COMUNE DI PAVIA DI UDINE**</t>
  </si>
  <si>
    <t>COMUNE DI POZZUOLO DEL FRIULI</t>
  </si>
  <si>
    <t>COMUNE DI POZZUOLO DEL FRIULI**</t>
  </si>
  <si>
    <t>COMUNE DI PRADAMANO</t>
  </si>
  <si>
    <t>COMUNE DI PRADAMANO**</t>
  </si>
  <si>
    <t>COMUNE DI PRATO CARNICO</t>
  </si>
  <si>
    <t>COMUNE DI PRATO CARNICO**</t>
  </si>
  <si>
    <t>COMUNE DI PREMARIACCO</t>
  </si>
  <si>
    <t>COMUNE DI PREMARIACCO**</t>
  </si>
  <si>
    <t>COMUNE DI PREONE</t>
  </si>
  <si>
    <t>COMUNE DI PREONE**</t>
  </si>
  <si>
    <t>COMUNE DI RAGOGNA</t>
  </si>
  <si>
    <t>COMUNE DI RAGOGNA**</t>
  </si>
  <si>
    <t>COMUNE DI RAVASCLETTO</t>
  </si>
  <si>
    <t>COMUNE DI RAVASCLETTO**</t>
  </si>
  <si>
    <t>COMUNE DI RAVEO</t>
  </si>
  <si>
    <t>COMUNE DI RAVEO**</t>
  </si>
  <si>
    <t>COMUNE DI REANA DEL ROJALE</t>
  </si>
  <si>
    <t>COMUNE DI REANA DEL ROJALE**</t>
  </si>
  <si>
    <t>COMUNE DI REMANZACCO</t>
  </si>
  <si>
    <t>COMUNE DI REMANZACCO**</t>
  </si>
  <si>
    <t>COMUNE DI RESIUTTA</t>
  </si>
  <si>
    <t>COMUNE DI RESIUTTA**</t>
  </si>
  <si>
    <t>COMUNE DI RIGOLATO</t>
  </si>
  <si>
    <t>COMUNE DI RIGOLATO**</t>
  </si>
  <si>
    <t>COMUNE DI RIVE D'ARCANO</t>
  </si>
  <si>
    <t>COMUNE DI RIVE D'ARCANO**</t>
  </si>
  <si>
    <t>COMUNE DI RIVIGNANO TEOR</t>
  </si>
  <si>
    <t>COMUNE DI RIVIGNANO TEOR**</t>
  </si>
  <si>
    <t>COMUNE DI SAN DANIELE DEL FRIULI</t>
  </si>
  <si>
    <t>COMUNE DI SAN DANIELE DEL FRIULI**</t>
  </si>
  <si>
    <t>COMUNE DI SAN DORLIGO DELLA VALLE</t>
  </si>
  <si>
    <t>COMUNE DI SAN DORLIGO DELLA VALLE**</t>
  </si>
  <si>
    <t>COMUNE DI SAN GIOVANNI AL NATISONE</t>
  </si>
  <si>
    <t>160505 - Gas in contenitori a pressione</t>
  </si>
  <si>
    <t>161002 - soluzioni acquose di scarto, diverse da quelle di cui alla voce 16 10 01</t>
  </si>
  <si>
    <t>COMUNE DI SAN GIOVANNI AL NATISONE**</t>
  </si>
  <si>
    <t>COMUNE DI SAN VITO DI FAGAGNA</t>
  </si>
  <si>
    <t>COMUNE DI SAN VITO DI FAGAGNA**</t>
  </si>
  <si>
    <t>COMUNE DI SAPPADA</t>
  </si>
  <si>
    <t>COMUNE DI SAPPADA**</t>
  </si>
  <si>
    <t>COMUNE DI SAURIS</t>
  </si>
  <si>
    <t>COMUNE DI SAURIS**</t>
  </si>
  <si>
    <t>COMUNE DI SEDEGLIANO</t>
  </si>
  <si>
    <t>COMUNE DI SEDEGLIANO**</t>
  </si>
  <si>
    <t>COMUNE DI SOCCHIEVE</t>
  </si>
  <si>
    <t>COMUNE DI SOCCHIEVE**</t>
  </si>
  <si>
    <t>COMUNE DI SUTRIO</t>
  </si>
  <si>
    <t>COMUNE DI SUTRIO**</t>
  </si>
  <si>
    <t>COMUNE DI TAIPANA</t>
  </si>
  <si>
    <t>COMUNE DI TAIPANA**</t>
  </si>
  <si>
    <t>COMUNE DI TARCENTO</t>
  </si>
  <si>
    <t>COMUNE DI TARCENTO**</t>
  </si>
  <si>
    <t>COMUNE DI TOLMEZZO</t>
  </si>
  <si>
    <t>COMUNE DI TOLMEZZO**</t>
  </si>
  <si>
    <t>COMUNE DI TRASAGHIS</t>
  </si>
  <si>
    <t>COMUNE DI TRASAGHIS**</t>
  </si>
  <si>
    <t>COMUNE DI TREPPO GRANDE</t>
  </si>
  <si>
    <t>COMUNE DI TREPPO GRANDE**</t>
  </si>
  <si>
    <t>COMUNE DI TREPPO LIGOSULLO</t>
  </si>
  <si>
    <t>COMUNE DI TREPPO LIGOSULLO**</t>
  </si>
  <si>
    <t>COMUNE DI VARMO</t>
  </si>
  <si>
    <t>COMUNE DI VARMO**</t>
  </si>
  <si>
    <t>COMUNE DI VENZONE</t>
  </si>
  <si>
    <t>COMUNE DI VENZONE**</t>
  </si>
  <si>
    <t>COMUNE DI VERZEGNIS</t>
  </si>
  <si>
    <t>COMUNE DI VERZEGNIS**</t>
  </si>
  <si>
    <t>COMUNE DI VILLA SANTINA</t>
  </si>
  <si>
    <t>COMUNE DI VILLA SANTINA**</t>
  </si>
  <si>
    <t>COMUNE DI ZUGLIO</t>
  </si>
  <si>
    <t>COMUNE DI ZUGLIO**</t>
  </si>
  <si>
    <t>LEGENDA</t>
  </si>
  <si>
    <t>DIFFERENZIALI PRINCIPALI PARAMETRI (KG/ABITANTI/PERIODO) INDICATI IN BASSO NEL FOGLIO DI CIASCUN COMUNE</t>
  </si>
  <si>
    <t>COMUNE DI ________**</t>
  </si>
  <si>
    <t>media degli ultimi 5 anni del Comune</t>
  </si>
  <si>
    <t>media degli ultimi 5 annidi tutti i Comuni del bacino di A&amp;T 2000</t>
  </si>
  <si>
    <t>TARIC **</t>
  </si>
  <si>
    <t>media degli ultimi 5 anni dei Comuni dove si applica la TARIC</t>
  </si>
  <si>
    <t>PERCENTUALE RACCOLTA DIFFERENZIATA</t>
  </si>
  <si>
    <t>calcolo secondo i criteri ARPA</t>
  </si>
  <si>
    <t>calcolo A&amp;T 2000</t>
  </si>
  <si>
    <t>% del Comune nel periodo di riferimento</t>
  </si>
  <si>
    <t>% del Comune nel 2022</t>
  </si>
  <si>
    <t>% media di A&amp;T 2000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</si>
</sst>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0" fontId="4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5" fillId="0" borderId="0" xfId="2"/>
    <xf numFmtId="0" fontId="8" fillId="0" borderId="0" xfId="2" applyFont="1"/>
    <xf numFmtId="0" fontId="4" fillId="2" borderId="0" xfId="2" applyFont="1" applyFill="1" applyAlignment="1">
      <alignment vertical="center"/>
    </xf>
    <xf numFmtId="0" fontId="4" fillId="0" borderId="0" xfId="2" applyFont="1"/>
    <xf numFmtId="0" fontId="4" fillId="0" borderId="2" xfId="2" applyFont="1" applyBorder="1"/>
    <xf numFmtId="0" fontId="5" fillId="0" borderId="2" xfId="2" applyBorder="1"/>
    <xf numFmtId="0" fontId="7" fillId="0" borderId="1" xfId="0" applyFont="1" applyBorder="1"/>
    <xf numFmtId="0" fontId="6" fillId="0" borderId="1" xfId="0" applyFont="1" applyBorder="1"/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164" fontId="5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/>
    <xf numFmtId="0" fontId="7" fillId="3" borderId="1" xfId="0" applyFont="1" applyFill="1" applyBorder="1"/>
    <xf numFmtId="0" fontId="4" fillId="0" borderId="1" xfId="0" applyFont="1" applyBorder="1"/>
    <xf numFmtId="0" fontId="5" fillId="0" borderId="1" xfId="0" applyFont="1" applyBorder="1"/>
  </cellXfs>
  <cellStyles count="3">
    <cellStyle name="Normale" xfId="0" builtinId="0"/>
    <cellStyle name="Normale 2" xfId="2" xr:uid="{1596A6D2-F480-492F-8269-5406415C2076}"/>
    <cellStyle name="Percentual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2038350</xdr:colOff>
      <xdr:row>0</xdr:row>
      <xdr:rowOff>793863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07E7074-23FA-4052-BC9A-971BCD3F1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8350" cy="793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588AE-A5E4-44EC-8962-0EB1433C1D1C}">
  <dimension ref="A1:E12"/>
  <sheetViews>
    <sheetView tabSelected="1" workbookViewId="0">
      <selection activeCell="A22" sqref="A22"/>
    </sheetView>
  </sheetViews>
  <sheetFormatPr defaultRowHeight="15" x14ac:dyDescent="0.25"/>
  <cols>
    <col min="1" max="1" width="56.85546875" style="20" customWidth="1"/>
    <col min="2" max="2" width="59.140625" style="20" bestFit="1" customWidth="1"/>
    <col min="3" max="3" width="21.140625" style="20" customWidth="1"/>
    <col min="4" max="4" width="14.7109375" style="20" customWidth="1"/>
    <col min="5" max="5" width="16.28515625" style="20" customWidth="1"/>
    <col min="6" max="16384" width="9.140625" style="20"/>
  </cols>
  <sheetData>
    <row r="1" spans="1:5" ht="63" customHeight="1" x14ac:dyDescent="0.25"/>
    <row r="2" spans="1:5" ht="20.25" customHeight="1" x14ac:dyDescent="0.25"/>
    <row r="3" spans="1:5" ht="18.75" x14ac:dyDescent="0.3">
      <c r="A3" s="21" t="s">
        <v>262</v>
      </c>
    </row>
    <row r="4" spans="1:5" ht="18.75" x14ac:dyDescent="0.3">
      <c r="A4" s="21"/>
    </row>
    <row r="5" spans="1:5" x14ac:dyDescent="0.25">
      <c r="A5" s="28" t="s">
        <v>269</v>
      </c>
      <c r="B5" s="29"/>
      <c r="C5" s="5" t="s">
        <v>2</v>
      </c>
      <c r="D5" s="5">
        <v>2022</v>
      </c>
      <c r="E5" s="5" t="s">
        <v>53</v>
      </c>
    </row>
    <row r="6" spans="1:5" x14ac:dyDescent="0.25">
      <c r="A6" s="26" t="s">
        <v>52</v>
      </c>
      <c r="B6" s="27" t="s">
        <v>270</v>
      </c>
      <c r="C6" s="30" t="s">
        <v>272</v>
      </c>
      <c r="D6" s="30" t="s">
        <v>273</v>
      </c>
      <c r="E6" s="30" t="s">
        <v>274</v>
      </c>
    </row>
    <row r="7" spans="1:5" x14ac:dyDescent="0.25">
      <c r="A7" s="26" t="s">
        <v>54</v>
      </c>
      <c r="B7" s="27" t="s">
        <v>271</v>
      </c>
      <c r="C7" s="31"/>
      <c r="D7" s="31"/>
      <c r="E7" s="31"/>
    </row>
    <row r="8" spans="1:5" ht="18.75" x14ac:dyDescent="0.3">
      <c r="A8" s="21"/>
    </row>
    <row r="9" spans="1:5" ht="23.25" customHeight="1" x14ac:dyDescent="0.25">
      <c r="A9" s="22" t="s">
        <v>263</v>
      </c>
      <c r="B9" s="22"/>
      <c r="C9" s="23"/>
    </row>
    <row r="10" spans="1:5" x14ac:dyDescent="0.25">
      <c r="A10" s="24" t="s">
        <v>264</v>
      </c>
      <c r="B10" s="25" t="s">
        <v>265</v>
      </c>
    </row>
    <row r="11" spans="1:5" x14ac:dyDescent="0.25">
      <c r="A11" s="24" t="s">
        <v>57</v>
      </c>
      <c r="B11" s="25" t="s">
        <v>266</v>
      </c>
    </row>
    <row r="12" spans="1:5" x14ac:dyDescent="0.25">
      <c r="A12" s="24" t="s">
        <v>267</v>
      </c>
      <c r="B12" s="25" t="s">
        <v>268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5:B5"/>
    <mergeCell ref="C6:C7"/>
    <mergeCell ref="D6:D7"/>
    <mergeCell ref="E6:E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78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40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90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1544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50</v>
      </c>
      <c r="F9" s="9"/>
      <c r="G9" s="9">
        <f t="shared" ref="G9:G35" si="0">SUM(C9:F9)</f>
        <v>50</v>
      </c>
      <c r="H9">
        <f t="shared" ref="H9:H35" si="1">ROUND(G9/1544,2)</f>
        <v>0.03</v>
      </c>
      <c r="I9" s="10">
        <f t="shared" ref="I9:I35" si="2">ROUND(G9/$G$49,3)</f>
        <v>0</v>
      </c>
      <c r="P9">
        <v>0</v>
      </c>
    </row>
    <row r="10" spans="1:16" x14ac:dyDescent="0.25">
      <c r="A10" t="s">
        <v>20</v>
      </c>
      <c r="B10" t="s">
        <v>21</v>
      </c>
      <c r="C10" s="9">
        <v>51520</v>
      </c>
      <c r="D10" s="9"/>
      <c r="E10" s="9"/>
      <c r="F10" s="9"/>
      <c r="G10" s="9">
        <f t="shared" si="0"/>
        <v>51520</v>
      </c>
      <c r="H10">
        <f t="shared" si="1"/>
        <v>33.369999999999997</v>
      </c>
      <c r="I10" s="10">
        <f t="shared" si="2"/>
        <v>8.5000000000000006E-2</v>
      </c>
      <c r="J10">
        <f>ROUND(G10/P10-1,2)</f>
        <v>0.08</v>
      </c>
      <c r="P10">
        <v>47800</v>
      </c>
    </row>
    <row r="11" spans="1:16" x14ac:dyDescent="0.25">
      <c r="A11" t="s">
        <v>20</v>
      </c>
      <c r="B11" t="s">
        <v>22</v>
      </c>
      <c r="C11" s="9">
        <v>63350</v>
      </c>
      <c r="D11" s="9"/>
      <c r="E11" s="9"/>
      <c r="F11" s="9"/>
      <c r="G11" s="9">
        <f t="shared" si="0"/>
        <v>63350</v>
      </c>
      <c r="H11">
        <f t="shared" si="1"/>
        <v>41.03</v>
      </c>
      <c r="I11" s="10">
        <f t="shared" si="2"/>
        <v>0.104</v>
      </c>
      <c r="J11">
        <f>ROUND(G11/P11-1,2)</f>
        <v>-0.2</v>
      </c>
      <c r="P11">
        <v>79250</v>
      </c>
    </row>
    <row r="12" spans="1:16" x14ac:dyDescent="0.25">
      <c r="A12" t="s">
        <v>20</v>
      </c>
      <c r="B12" t="s">
        <v>24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25</v>
      </c>
      <c r="C13" s="9">
        <v>66440</v>
      </c>
      <c r="D13" s="9"/>
      <c r="E13" s="9"/>
      <c r="F13" s="9"/>
      <c r="G13" s="9">
        <f t="shared" si="0"/>
        <v>66440</v>
      </c>
      <c r="H13">
        <f t="shared" si="1"/>
        <v>43.03</v>
      </c>
      <c r="I13" s="10">
        <f t="shared" si="2"/>
        <v>0.109</v>
      </c>
      <c r="J13">
        <f>ROUND(G13/P13-1,2)</f>
        <v>0.09</v>
      </c>
      <c r="P13">
        <v>60980</v>
      </c>
    </row>
    <row r="14" spans="1:16" x14ac:dyDescent="0.25">
      <c r="A14" t="s">
        <v>20</v>
      </c>
      <c r="B14" t="s">
        <v>69</v>
      </c>
      <c r="C14" s="9"/>
      <c r="D14" s="9"/>
      <c r="E14" s="9">
        <v>1835</v>
      </c>
      <c r="F14" s="9"/>
      <c r="G14" s="9">
        <f t="shared" si="0"/>
        <v>1835</v>
      </c>
      <c r="H14">
        <f t="shared" si="1"/>
        <v>1.19</v>
      </c>
      <c r="I14" s="10">
        <f t="shared" si="2"/>
        <v>3.0000000000000001E-3</v>
      </c>
      <c r="J14">
        <f>ROUND(G14/P14-1,2)</f>
        <v>-0.01</v>
      </c>
      <c r="P14">
        <v>1850</v>
      </c>
    </row>
    <row r="15" spans="1:16" x14ac:dyDescent="0.25">
      <c r="A15" t="s">
        <v>20</v>
      </c>
      <c r="B15" t="s">
        <v>26</v>
      </c>
      <c r="C15" s="9">
        <v>140920</v>
      </c>
      <c r="D15" s="9"/>
      <c r="E15" s="9"/>
      <c r="F15" s="9">
        <v>300</v>
      </c>
      <c r="G15" s="9">
        <f t="shared" si="0"/>
        <v>141220</v>
      </c>
      <c r="H15">
        <f t="shared" si="1"/>
        <v>91.46</v>
      </c>
      <c r="I15" s="10">
        <f t="shared" si="2"/>
        <v>0.23300000000000001</v>
      </c>
      <c r="J15">
        <f>ROUND(G15/P15-1,2)</f>
        <v>0</v>
      </c>
      <c r="P15">
        <v>141740</v>
      </c>
    </row>
    <row r="16" spans="1:16" x14ac:dyDescent="0.25">
      <c r="A16" t="s">
        <v>20</v>
      </c>
      <c r="B16" t="s">
        <v>27</v>
      </c>
      <c r="C16" s="9"/>
      <c r="D16" s="9"/>
      <c r="E16" s="9">
        <v>411</v>
      </c>
      <c r="F16" s="9"/>
      <c r="G16" s="9">
        <f t="shared" si="0"/>
        <v>411</v>
      </c>
      <c r="H16">
        <f t="shared" si="1"/>
        <v>0.27</v>
      </c>
      <c r="I16" s="10">
        <f t="shared" si="2"/>
        <v>1E-3</v>
      </c>
      <c r="P16">
        <v>0</v>
      </c>
    </row>
    <row r="17" spans="1:16" x14ac:dyDescent="0.25">
      <c r="A17" t="s">
        <v>20</v>
      </c>
      <c r="B17" t="s">
        <v>28</v>
      </c>
      <c r="C17" s="9"/>
      <c r="D17" s="9"/>
      <c r="E17" s="9">
        <v>110</v>
      </c>
      <c r="F17" s="9"/>
      <c r="G17" s="9">
        <f t="shared" si="0"/>
        <v>110</v>
      </c>
      <c r="H17">
        <f t="shared" si="1"/>
        <v>7.0000000000000007E-2</v>
      </c>
      <c r="I17" s="10">
        <f t="shared" si="2"/>
        <v>0</v>
      </c>
      <c r="P17">
        <v>0</v>
      </c>
    </row>
    <row r="18" spans="1:16" x14ac:dyDescent="0.25">
      <c r="A18" t="s">
        <v>20</v>
      </c>
      <c r="B18" t="s">
        <v>29</v>
      </c>
      <c r="C18" s="9"/>
      <c r="D18" s="9"/>
      <c r="E18" s="9">
        <v>68</v>
      </c>
      <c r="F18" s="9"/>
      <c r="G18" s="9">
        <f t="shared" si="0"/>
        <v>68</v>
      </c>
      <c r="H18">
        <f t="shared" si="1"/>
        <v>0.04</v>
      </c>
      <c r="I18" s="10">
        <f t="shared" si="2"/>
        <v>0</v>
      </c>
      <c r="P18">
        <v>0</v>
      </c>
    </row>
    <row r="19" spans="1:16" x14ac:dyDescent="0.25">
      <c r="A19" t="s">
        <v>20</v>
      </c>
      <c r="B19" t="s">
        <v>30</v>
      </c>
      <c r="C19" s="9"/>
      <c r="D19" s="9"/>
      <c r="E19" s="9">
        <v>2200</v>
      </c>
      <c r="F19" s="9"/>
      <c r="G19" s="9">
        <f t="shared" si="0"/>
        <v>2200</v>
      </c>
      <c r="H19">
        <f t="shared" si="1"/>
        <v>1.42</v>
      </c>
      <c r="I19" s="10">
        <f t="shared" si="2"/>
        <v>4.0000000000000001E-3</v>
      </c>
      <c r="J19">
        <f t="shared" ref="J19:J30" si="3">ROUND(G19/P19-1,2)</f>
        <v>-0.11</v>
      </c>
      <c r="P19">
        <v>2480</v>
      </c>
    </row>
    <row r="20" spans="1:16" x14ac:dyDescent="0.25">
      <c r="A20" t="s">
        <v>20</v>
      </c>
      <c r="B20" t="s">
        <v>31</v>
      </c>
      <c r="C20" s="9"/>
      <c r="D20" s="9"/>
      <c r="E20" s="9">
        <v>880</v>
      </c>
      <c r="F20" s="9"/>
      <c r="G20" s="9">
        <f t="shared" si="0"/>
        <v>880</v>
      </c>
      <c r="H20">
        <f t="shared" si="1"/>
        <v>0.56999999999999995</v>
      </c>
      <c r="I20" s="10">
        <f t="shared" si="2"/>
        <v>1E-3</v>
      </c>
      <c r="J20">
        <f t="shared" si="3"/>
        <v>0.09</v>
      </c>
      <c r="P20">
        <v>810</v>
      </c>
    </row>
    <row r="21" spans="1:16" x14ac:dyDescent="0.25">
      <c r="A21" t="s">
        <v>20</v>
      </c>
      <c r="B21" t="s">
        <v>43</v>
      </c>
      <c r="C21" s="9"/>
      <c r="D21" s="9">
        <v>192</v>
      </c>
      <c r="E21" s="9"/>
      <c r="F21" s="9"/>
      <c r="G21" s="9">
        <f t="shared" si="0"/>
        <v>192</v>
      </c>
      <c r="H21">
        <f t="shared" si="1"/>
        <v>0.12</v>
      </c>
      <c r="I21" s="10">
        <f t="shared" si="2"/>
        <v>0</v>
      </c>
      <c r="J21">
        <f t="shared" si="3"/>
        <v>-0.27</v>
      </c>
      <c r="P21">
        <v>263</v>
      </c>
    </row>
    <row r="22" spans="1:16" x14ac:dyDescent="0.25">
      <c r="A22" t="s">
        <v>20</v>
      </c>
      <c r="B22" t="s">
        <v>70</v>
      </c>
      <c r="C22" s="9"/>
      <c r="D22" s="9"/>
      <c r="E22" s="9">
        <v>700</v>
      </c>
      <c r="F22" s="9"/>
      <c r="G22" s="9">
        <f t="shared" si="0"/>
        <v>700</v>
      </c>
      <c r="H22">
        <f t="shared" si="1"/>
        <v>0.45</v>
      </c>
      <c r="I22" s="10">
        <f t="shared" si="2"/>
        <v>1E-3</v>
      </c>
      <c r="J22">
        <f t="shared" si="3"/>
        <v>-0.5</v>
      </c>
      <c r="P22">
        <v>1400</v>
      </c>
    </row>
    <row r="23" spans="1:16" x14ac:dyDescent="0.25">
      <c r="A23" t="s">
        <v>20</v>
      </c>
      <c r="B23" t="s">
        <v>35</v>
      </c>
      <c r="C23" s="9"/>
      <c r="D23" s="9"/>
      <c r="E23" s="9">
        <v>1560</v>
      </c>
      <c r="F23" s="9"/>
      <c r="G23" s="9">
        <f t="shared" si="0"/>
        <v>1560</v>
      </c>
      <c r="H23">
        <f t="shared" si="1"/>
        <v>1.01</v>
      </c>
      <c r="I23" s="10">
        <f t="shared" si="2"/>
        <v>3.0000000000000001E-3</v>
      </c>
      <c r="J23">
        <f t="shared" si="3"/>
        <v>0.24</v>
      </c>
      <c r="P23">
        <v>1256</v>
      </c>
    </row>
    <row r="24" spans="1:16" x14ac:dyDescent="0.25">
      <c r="A24" t="s">
        <v>20</v>
      </c>
      <c r="B24" t="s">
        <v>36</v>
      </c>
      <c r="C24" s="9"/>
      <c r="D24" s="9"/>
      <c r="E24" s="9">
        <v>1800</v>
      </c>
      <c r="F24" s="9"/>
      <c r="G24" s="9">
        <f t="shared" si="0"/>
        <v>1800</v>
      </c>
      <c r="H24">
        <f t="shared" si="1"/>
        <v>1.17</v>
      </c>
      <c r="I24" s="10">
        <f t="shared" si="2"/>
        <v>3.0000000000000001E-3</v>
      </c>
      <c r="J24">
        <f t="shared" si="3"/>
        <v>-0.39</v>
      </c>
      <c r="P24">
        <v>2940</v>
      </c>
    </row>
    <row r="25" spans="1:16" x14ac:dyDescent="0.25">
      <c r="A25" t="s">
        <v>20</v>
      </c>
      <c r="B25" t="s">
        <v>41</v>
      </c>
      <c r="C25" s="9"/>
      <c r="D25" s="9"/>
      <c r="E25" s="9">
        <v>3670</v>
      </c>
      <c r="F25" s="9"/>
      <c r="G25" s="9">
        <f t="shared" si="0"/>
        <v>3670</v>
      </c>
      <c r="H25">
        <f t="shared" si="1"/>
        <v>2.38</v>
      </c>
      <c r="I25" s="10">
        <f t="shared" si="2"/>
        <v>6.0000000000000001E-3</v>
      </c>
      <c r="J25">
        <f t="shared" si="3"/>
        <v>0.66</v>
      </c>
      <c r="P25">
        <v>2217</v>
      </c>
    </row>
    <row r="26" spans="1:16" x14ac:dyDescent="0.25">
      <c r="A26" t="s">
        <v>20</v>
      </c>
      <c r="B26" t="s">
        <v>37</v>
      </c>
      <c r="C26" s="9"/>
      <c r="D26" s="9"/>
      <c r="E26" s="9">
        <v>28430</v>
      </c>
      <c r="F26" s="9"/>
      <c r="G26" s="9">
        <f t="shared" si="0"/>
        <v>28430</v>
      </c>
      <c r="H26">
        <f t="shared" si="1"/>
        <v>18.41</v>
      </c>
      <c r="I26" s="10">
        <f t="shared" si="2"/>
        <v>4.7E-2</v>
      </c>
      <c r="J26">
        <f t="shared" si="3"/>
        <v>0.12</v>
      </c>
      <c r="P26">
        <v>25290</v>
      </c>
    </row>
    <row r="27" spans="1:16" x14ac:dyDescent="0.25">
      <c r="A27" t="s">
        <v>20</v>
      </c>
      <c r="B27" t="s">
        <v>38</v>
      </c>
      <c r="C27" s="9"/>
      <c r="D27" s="9"/>
      <c r="E27" s="9">
        <v>2135</v>
      </c>
      <c r="F27" s="9"/>
      <c r="G27" s="9">
        <f t="shared" si="0"/>
        <v>2135</v>
      </c>
      <c r="H27">
        <f t="shared" si="1"/>
        <v>1.38</v>
      </c>
      <c r="I27" s="10">
        <f t="shared" si="2"/>
        <v>4.0000000000000001E-3</v>
      </c>
      <c r="J27">
        <f t="shared" si="3"/>
        <v>0.14000000000000001</v>
      </c>
      <c r="P27">
        <v>1880</v>
      </c>
    </row>
    <row r="28" spans="1:16" x14ac:dyDescent="0.25">
      <c r="A28" t="s">
        <v>20</v>
      </c>
      <c r="B28" t="s">
        <v>39</v>
      </c>
      <c r="C28" s="9"/>
      <c r="D28" s="9"/>
      <c r="E28" s="9">
        <v>7830</v>
      </c>
      <c r="F28" s="9"/>
      <c r="G28" s="9">
        <f t="shared" si="0"/>
        <v>7830</v>
      </c>
      <c r="H28">
        <f t="shared" si="1"/>
        <v>5.07</v>
      </c>
      <c r="I28" s="10">
        <f t="shared" si="2"/>
        <v>1.2999999999999999E-2</v>
      </c>
      <c r="J28">
        <f t="shared" si="3"/>
        <v>-0.02</v>
      </c>
      <c r="P28">
        <v>8000</v>
      </c>
    </row>
    <row r="29" spans="1:16" x14ac:dyDescent="0.25">
      <c r="A29" t="s">
        <v>20</v>
      </c>
      <c r="B29" t="s">
        <v>40</v>
      </c>
      <c r="C29" s="9"/>
      <c r="D29" s="9"/>
      <c r="E29" s="9">
        <v>34840</v>
      </c>
      <c r="F29" s="9"/>
      <c r="G29" s="9">
        <f t="shared" si="0"/>
        <v>34840</v>
      </c>
      <c r="H29">
        <f t="shared" si="1"/>
        <v>22.56</v>
      </c>
      <c r="I29" s="10">
        <f t="shared" si="2"/>
        <v>5.7000000000000002E-2</v>
      </c>
      <c r="J29">
        <f t="shared" si="3"/>
        <v>0.13</v>
      </c>
      <c r="P29">
        <v>30780</v>
      </c>
    </row>
    <row r="30" spans="1:16" x14ac:dyDescent="0.25">
      <c r="A30" t="s">
        <v>20</v>
      </c>
      <c r="B30" t="s">
        <v>34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J30">
        <f t="shared" si="3"/>
        <v>-1</v>
      </c>
      <c r="P30">
        <v>120</v>
      </c>
    </row>
    <row r="31" spans="1:16" x14ac:dyDescent="0.25">
      <c r="A31" t="s">
        <v>20</v>
      </c>
      <c r="B31" t="s">
        <v>79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23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44</v>
      </c>
      <c r="B33" t="s">
        <v>45</v>
      </c>
      <c r="C33" s="9">
        <v>151450</v>
      </c>
      <c r="D33" s="9"/>
      <c r="E33" s="9"/>
      <c r="F33" s="9"/>
      <c r="G33" s="9">
        <f t="shared" si="0"/>
        <v>151450</v>
      </c>
      <c r="H33">
        <f t="shared" si="1"/>
        <v>98.09</v>
      </c>
      <c r="I33" s="10">
        <f t="shared" si="2"/>
        <v>0.25</v>
      </c>
      <c r="J33">
        <f>ROUND(G33/P33-1,2)</f>
        <v>-0.04</v>
      </c>
      <c r="P33">
        <v>158230</v>
      </c>
    </row>
    <row r="34" spans="1:16" x14ac:dyDescent="0.25">
      <c r="A34" t="s">
        <v>44</v>
      </c>
      <c r="B34" t="s">
        <v>47</v>
      </c>
      <c r="C34" s="9"/>
      <c r="D34" s="9"/>
      <c r="E34" s="9"/>
      <c r="F34" s="9">
        <v>28020</v>
      </c>
      <c r="G34" s="9">
        <f t="shared" si="0"/>
        <v>28020</v>
      </c>
      <c r="H34">
        <f t="shared" si="1"/>
        <v>18.149999999999999</v>
      </c>
      <c r="I34" s="10">
        <f t="shared" si="2"/>
        <v>4.5999999999999999E-2</v>
      </c>
      <c r="J34">
        <f>ROUND(G34/P34-1,2)</f>
        <v>2.2400000000000002</v>
      </c>
      <c r="P34">
        <v>8640</v>
      </c>
    </row>
    <row r="35" spans="1:16" x14ac:dyDescent="0.25">
      <c r="A35" t="s">
        <v>44</v>
      </c>
      <c r="B35" t="s">
        <v>46</v>
      </c>
      <c r="C35" s="9"/>
      <c r="D35" s="9"/>
      <c r="E35" s="9">
        <v>18220</v>
      </c>
      <c r="F35" s="9"/>
      <c r="G35" s="9">
        <f t="shared" si="0"/>
        <v>18220</v>
      </c>
      <c r="H35">
        <f t="shared" si="1"/>
        <v>11.8</v>
      </c>
      <c r="I35" s="10">
        <f t="shared" si="2"/>
        <v>0.03</v>
      </c>
      <c r="J35">
        <f>ROUND(G35/P35-1,2)</f>
        <v>-0.39</v>
      </c>
      <c r="P35">
        <v>29940</v>
      </c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SUM(C8:C35)</f>
        <v>473680</v>
      </c>
      <c r="D49" s="12">
        <f t="shared" si="4"/>
        <v>192</v>
      </c>
      <c r="E49" s="12">
        <f t="shared" si="4"/>
        <v>104739</v>
      </c>
      <c r="F49" s="12">
        <f t="shared" si="4"/>
        <v>28320</v>
      </c>
      <c r="G49" s="12">
        <f t="shared" si="4"/>
        <v>606931</v>
      </c>
      <c r="H49" s="11">
        <f t="shared" si="4"/>
        <v>393.06999999999988</v>
      </c>
      <c r="I49" s="4"/>
    </row>
    <row r="50" spans="1:10" x14ac:dyDescent="0.25">
      <c r="A50" s="11" t="s">
        <v>14</v>
      </c>
      <c r="C50" s="13">
        <f>ROUND(C49/G49,2)</f>
        <v>0.78</v>
      </c>
      <c r="D50" s="13">
        <f>ROUND(D49/G49,2)</f>
        <v>0</v>
      </c>
      <c r="E50" s="13">
        <f>ROUND(E49/G49,2)</f>
        <v>0.17</v>
      </c>
      <c r="F50" s="13">
        <f>ROUND(F49/G49,2)</f>
        <v>0.05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322230</v>
      </c>
      <c r="D54" s="15">
        <v>192</v>
      </c>
      <c r="E54" s="15">
        <v>86519</v>
      </c>
      <c r="F54" s="15">
        <v>300</v>
      </c>
      <c r="G54" s="15">
        <f>SUM(C54:F54)</f>
        <v>409241</v>
      </c>
      <c r="H54" s="17">
        <f>ROUND(G54/1544,2)</f>
        <v>265.05</v>
      </c>
      <c r="I54" s="4"/>
      <c r="J54" s="4"/>
    </row>
    <row r="55" spans="1:10" x14ac:dyDescent="0.25">
      <c r="A55" s="33" t="s">
        <v>50</v>
      </c>
      <c r="B55" s="33"/>
      <c r="C55" s="15">
        <v>151450</v>
      </c>
      <c r="D55" s="15">
        <v>0</v>
      </c>
      <c r="E55" s="15">
        <v>18220</v>
      </c>
      <c r="F55" s="15">
        <v>28020</v>
      </c>
      <c r="G55" s="15">
        <f>SUM(C55:F55)</f>
        <v>197690</v>
      </c>
      <c r="H55" s="17">
        <f>ROUND(G55/1544,2)</f>
        <v>128.04</v>
      </c>
      <c r="I55" s="4"/>
      <c r="J55" s="4"/>
    </row>
    <row r="56" spans="1:10" x14ac:dyDescent="0.25">
      <c r="A56" s="33" t="s">
        <v>51</v>
      </c>
      <c r="B56" s="33"/>
      <c r="C56" s="15"/>
      <c r="D56" s="15"/>
      <c r="E56" s="15"/>
      <c r="F56" s="15"/>
      <c r="G56" s="15">
        <f>SUM(C56:F56)</f>
        <v>0</v>
      </c>
      <c r="H56" s="17">
        <f>ROUND(G56/1544,2)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ROUND(0.7467, 4)</f>
        <v>0.74670000000000003</v>
      </c>
      <c r="D60" s="19">
        <f>ROUND(0.7315, 4)</f>
        <v>0.73150000000000004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ROUND(0.7361, 4)</f>
        <v>0.73609999999999998</v>
      </c>
      <c r="D61" s="19">
        <f>ROUND(0.7213, 4)</f>
        <v>0.72130000000000005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91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98.09</v>
      </c>
      <c r="D64" s="17">
        <v>97.08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91.46</v>
      </c>
      <c r="D65" s="17">
        <v>102.8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275.88</v>
      </c>
      <c r="D66" s="17">
        <v>286.68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132.52000000000001</v>
      </c>
      <c r="D67" s="17">
        <v>121.09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9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92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7862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29</v>
      </c>
      <c r="G9" s="9">
        <f t="shared" ref="G9:G46" si="0">SUM(C9:F9)</f>
        <v>29</v>
      </c>
      <c r="H9">
        <f t="shared" ref="H9:H46" si="1">ROUND(G9/7862,2)</f>
        <v>0</v>
      </c>
      <c r="I9" s="10">
        <f t="shared" ref="I9:I46" si="2">ROUND(G9/$G$49,3)</f>
        <v>0</v>
      </c>
      <c r="J9">
        <f>ROUND(G9/P9-1,2)</f>
        <v>-0.28000000000000003</v>
      </c>
      <c r="P9">
        <v>40</v>
      </c>
    </row>
    <row r="10" spans="1:16" x14ac:dyDescent="0.25">
      <c r="A10" t="s">
        <v>16</v>
      </c>
      <c r="B10" t="s">
        <v>17</v>
      </c>
      <c r="C10" s="9"/>
      <c r="D10" s="9"/>
      <c r="E10" s="9"/>
      <c r="F10" s="9">
        <v>20</v>
      </c>
      <c r="G10" s="9">
        <f t="shared" si="0"/>
        <v>20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1130</v>
      </c>
      <c r="G11" s="9">
        <f t="shared" si="0"/>
        <v>1130</v>
      </c>
      <c r="H11">
        <f t="shared" si="1"/>
        <v>0.14000000000000001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155</v>
      </c>
      <c r="F13" s="9"/>
      <c r="G13" s="9">
        <f t="shared" si="0"/>
        <v>155</v>
      </c>
      <c r="H13">
        <f t="shared" si="1"/>
        <v>0.02</v>
      </c>
      <c r="I13" s="10">
        <f t="shared" si="2"/>
        <v>0</v>
      </c>
      <c r="J13">
        <f t="shared" ref="J13:J19" si="3">ROUND(G13/P13-1,2)</f>
        <v>0.09</v>
      </c>
      <c r="P13">
        <v>142</v>
      </c>
    </row>
    <row r="14" spans="1:16" x14ac:dyDescent="0.25">
      <c r="A14" t="s">
        <v>20</v>
      </c>
      <c r="B14" t="s">
        <v>73</v>
      </c>
      <c r="C14" s="9"/>
      <c r="D14" s="9"/>
      <c r="E14" s="9"/>
      <c r="F14" s="9">
        <v>23240</v>
      </c>
      <c r="G14" s="9">
        <f t="shared" si="0"/>
        <v>23240</v>
      </c>
      <c r="H14">
        <f t="shared" si="1"/>
        <v>2.96</v>
      </c>
      <c r="I14" s="10">
        <f t="shared" si="2"/>
        <v>8.9999999999999993E-3</v>
      </c>
      <c r="J14">
        <f t="shared" si="3"/>
        <v>-0.21</v>
      </c>
      <c r="P14">
        <v>29500</v>
      </c>
    </row>
    <row r="15" spans="1:16" x14ac:dyDescent="0.25">
      <c r="A15" t="s">
        <v>20</v>
      </c>
      <c r="B15" t="s">
        <v>21</v>
      </c>
      <c r="C15" s="9">
        <v>240330</v>
      </c>
      <c r="D15" s="9"/>
      <c r="E15" s="9">
        <v>7830</v>
      </c>
      <c r="F15" s="9">
        <v>220</v>
      </c>
      <c r="G15" s="9">
        <f t="shared" si="0"/>
        <v>248380</v>
      </c>
      <c r="H15">
        <f t="shared" si="1"/>
        <v>31.59</v>
      </c>
      <c r="I15" s="10">
        <f t="shared" si="2"/>
        <v>9.1999999999999998E-2</v>
      </c>
      <c r="J15">
        <f t="shared" si="3"/>
        <v>-0.01</v>
      </c>
      <c r="P15">
        <v>251380</v>
      </c>
    </row>
    <row r="16" spans="1:16" x14ac:dyDescent="0.25">
      <c r="A16" t="s">
        <v>20</v>
      </c>
      <c r="B16" t="s">
        <v>22</v>
      </c>
      <c r="C16" s="9">
        <v>268340</v>
      </c>
      <c r="D16" s="9"/>
      <c r="E16" s="9"/>
      <c r="F16" s="9"/>
      <c r="G16" s="9">
        <f t="shared" si="0"/>
        <v>268340</v>
      </c>
      <c r="H16">
        <f t="shared" si="1"/>
        <v>34.130000000000003</v>
      </c>
      <c r="I16" s="10">
        <f t="shared" si="2"/>
        <v>0.1</v>
      </c>
      <c r="J16">
        <f t="shared" si="3"/>
        <v>-0.08</v>
      </c>
      <c r="P16">
        <v>291830</v>
      </c>
    </row>
    <row r="17" spans="1:16" x14ac:dyDescent="0.25">
      <c r="A17" t="s">
        <v>20</v>
      </c>
      <c r="B17" t="s">
        <v>79</v>
      </c>
      <c r="C17" s="9"/>
      <c r="D17" s="9"/>
      <c r="E17" s="9">
        <v>57</v>
      </c>
      <c r="F17" s="9"/>
      <c r="G17" s="9">
        <f t="shared" si="0"/>
        <v>57</v>
      </c>
      <c r="H17">
        <f t="shared" si="1"/>
        <v>0.01</v>
      </c>
      <c r="I17" s="10">
        <f t="shared" si="2"/>
        <v>0</v>
      </c>
      <c r="J17">
        <f t="shared" si="3"/>
        <v>0.36</v>
      </c>
      <c r="P17">
        <v>42</v>
      </c>
    </row>
    <row r="18" spans="1:16" x14ac:dyDescent="0.25">
      <c r="A18" t="s">
        <v>20</v>
      </c>
      <c r="B18" t="s">
        <v>42</v>
      </c>
      <c r="C18" s="9"/>
      <c r="D18" s="9"/>
      <c r="E18" s="9">
        <v>330</v>
      </c>
      <c r="F18" s="9"/>
      <c r="G18" s="9">
        <f t="shared" si="0"/>
        <v>330</v>
      </c>
      <c r="H18">
        <f t="shared" si="1"/>
        <v>0.04</v>
      </c>
      <c r="I18" s="10">
        <f t="shared" si="2"/>
        <v>0</v>
      </c>
      <c r="J18">
        <f t="shared" si="3"/>
        <v>0.16</v>
      </c>
      <c r="P18">
        <v>284</v>
      </c>
    </row>
    <row r="19" spans="1:16" x14ac:dyDescent="0.25">
      <c r="A19" t="s">
        <v>20</v>
      </c>
      <c r="B19" t="s">
        <v>23</v>
      </c>
      <c r="C19" s="9"/>
      <c r="D19" s="9"/>
      <c r="E19" s="9">
        <v>3000</v>
      </c>
      <c r="F19" s="9"/>
      <c r="G19" s="9">
        <f t="shared" si="0"/>
        <v>3000</v>
      </c>
      <c r="H19">
        <f t="shared" si="1"/>
        <v>0.38</v>
      </c>
      <c r="I19" s="10">
        <f t="shared" si="2"/>
        <v>1E-3</v>
      </c>
      <c r="J19">
        <f t="shared" si="3"/>
        <v>0.52</v>
      </c>
      <c r="P19">
        <v>1970</v>
      </c>
    </row>
    <row r="20" spans="1:16" x14ac:dyDescent="0.25">
      <c r="A20" t="s">
        <v>20</v>
      </c>
      <c r="B20" t="s">
        <v>80</v>
      </c>
      <c r="C20" s="9"/>
      <c r="D20" s="9"/>
      <c r="E20" s="9"/>
      <c r="F20" s="9">
        <v>160</v>
      </c>
      <c r="G20" s="9">
        <f t="shared" si="0"/>
        <v>160</v>
      </c>
      <c r="H20">
        <f t="shared" si="1"/>
        <v>0.02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77080</v>
      </c>
      <c r="F21" s="9"/>
      <c r="G21" s="9">
        <f t="shared" si="0"/>
        <v>77080</v>
      </c>
      <c r="H21">
        <f t="shared" si="1"/>
        <v>9.8000000000000007</v>
      </c>
      <c r="I21" s="10">
        <f t="shared" si="2"/>
        <v>2.9000000000000001E-2</v>
      </c>
      <c r="J21">
        <f t="shared" ref="J21:J41" si="4">ROUND(G21/P21-1,2)</f>
        <v>-0.17</v>
      </c>
      <c r="P21">
        <v>92810</v>
      </c>
    </row>
    <row r="22" spans="1:16" x14ac:dyDescent="0.25">
      <c r="A22" t="s">
        <v>20</v>
      </c>
      <c r="B22" t="s">
        <v>25</v>
      </c>
      <c r="C22" s="9">
        <v>359510</v>
      </c>
      <c r="D22" s="9"/>
      <c r="E22" s="9">
        <v>25020</v>
      </c>
      <c r="F22" s="9">
        <v>150</v>
      </c>
      <c r="G22" s="9">
        <f t="shared" si="0"/>
        <v>384680</v>
      </c>
      <c r="H22">
        <f t="shared" si="1"/>
        <v>48.93</v>
      </c>
      <c r="I22" s="10">
        <f t="shared" si="2"/>
        <v>0.14299999999999999</v>
      </c>
      <c r="J22">
        <f t="shared" si="4"/>
        <v>-0.01</v>
      </c>
      <c r="P22">
        <v>387240</v>
      </c>
    </row>
    <row r="23" spans="1:16" x14ac:dyDescent="0.25">
      <c r="A23" t="s">
        <v>20</v>
      </c>
      <c r="B23" t="s">
        <v>69</v>
      </c>
      <c r="C23" s="9"/>
      <c r="D23" s="9"/>
      <c r="E23" s="9">
        <v>6020</v>
      </c>
      <c r="F23" s="9"/>
      <c r="G23" s="9">
        <f t="shared" si="0"/>
        <v>6020</v>
      </c>
      <c r="H23">
        <f t="shared" si="1"/>
        <v>0.77</v>
      </c>
      <c r="I23" s="10">
        <f t="shared" si="2"/>
        <v>2E-3</v>
      </c>
      <c r="J23">
        <f t="shared" si="4"/>
        <v>-0.08</v>
      </c>
      <c r="P23">
        <v>6510</v>
      </c>
    </row>
    <row r="24" spans="1:16" x14ac:dyDescent="0.25">
      <c r="A24" t="s">
        <v>20</v>
      </c>
      <c r="B24" t="s">
        <v>26</v>
      </c>
      <c r="C24" s="9">
        <v>519000</v>
      </c>
      <c r="D24" s="9"/>
      <c r="E24" s="9"/>
      <c r="F24" s="9">
        <v>180</v>
      </c>
      <c r="G24" s="9">
        <f t="shared" si="0"/>
        <v>519180</v>
      </c>
      <c r="H24">
        <f t="shared" si="1"/>
        <v>66.040000000000006</v>
      </c>
      <c r="I24" s="10">
        <f t="shared" si="2"/>
        <v>0.193</v>
      </c>
      <c r="J24">
        <f t="shared" si="4"/>
        <v>0</v>
      </c>
      <c r="P24">
        <v>518960</v>
      </c>
    </row>
    <row r="25" spans="1:16" x14ac:dyDescent="0.25">
      <c r="A25" t="s">
        <v>20</v>
      </c>
      <c r="B25" t="s">
        <v>27</v>
      </c>
      <c r="C25" s="9"/>
      <c r="D25" s="9"/>
      <c r="E25" s="9">
        <v>2534</v>
      </c>
      <c r="F25" s="9"/>
      <c r="G25" s="9">
        <f t="shared" si="0"/>
        <v>2534</v>
      </c>
      <c r="H25">
        <f t="shared" si="1"/>
        <v>0.32</v>
      </c>
      <c r="I25" s="10">
        <f t="shared" si="2"/>
        <v>1E-3</v>
      </c>
      <c r="J25">
        <f t="shared" si="4"/>
        <v>-0.16</v>
      </c>
      <c r="P25">
        <v>3001</v>
      </c>
    </row>
    <row r="26" spans="1:16" x14ac:dyDescent="0.25">
      <c r="A26" t="s">
        <v>20</v>
      </c>
      <c r="B26" t="s">
        <v>28</v>
      </c>
      <c r="C26" s="9"/>
      <c r="D26" s="9"/>
      <c r="E26" s="9">
        <v>2144</v>
      </c>
      <c r="F26" s="9"/>
      <c r="G26" s="9">
        <f t="shared" si="0"/>
        <v>2144</v>
      </c>
      <c r="H26">
        <f t="shared" si="1"/>
        <v>0.27</v>
      </c>
      <c r="I26" s="10">
        <f t="shared" si="2"/>
        <v>1E-3</v>
      </c>
      <c r="J26">
        <f t="shared" si="4"/>
        <v>1.1599999999999999</v>
      </c>
      <c r="P26">
        <v>992</v>
      </c>
    </row>
    <row r="27" spans="1:16" x14ac:dyDescent="0.25">
      <c r="A27" t="s">
        <v>20</v>
      </c>
      <c r="B27" t="s">
        <v>29</v>
      </c>
      <c r="C27" s="9"/>
      <c r="D27" s="9"/>
      <c r="E27" s="9">
        <v>271</v>
      </c>
      <c r="F27" s="9"/>
      <c r="G27" s="9">
        <f t="shared" si="0"/>
        <v>271</v>
      </c>
      <c r="H27">
        <f t="shared" si="1"/>
        <v>0.03</v>
      </c>
      <c r="I27" s="10">
        <f t="shared" si="2"/>
        <v>0</v>
      </c>
      <c r="J27">
        <f t="shared" si="4"/>
        <v>1.3</v>
      </c>
      <c r="P27">
        <v>118</v>
      </c>
    </row>
    <row r="28" spans="1:16" x14ac:dyDescent="0.25">
      <c r="A28" t="s">
        <v>20</v>
      </c>
      <c r="B28" t="s">
        <v>30</v>
      </c>
      <c r="C28" s="9"/>
      <c r="D28" s="9"/>
      <c r="E28" s="9">
        <v>7440</v>
      </c>
      <c r="F28" s="9"/>
      <c r="G28" s="9">
        <f t="shared" si="0"/>
        <v>7440</v>
      </c>
      <c r="H28">
        <f t="shared" si="1"/>
        <v>0.95</v>
      </c>
      <c r="I28" s="10">
        <f t="shared" si="2"/>
        <v>3.0000000000000001E-3</v>
      </c>
      <c r="J28">
        <f t="shared" si="4"/>
        <v>-0.22</v>
      </c>
      <c r="P28">
        <v>9500</v>
      </c>
    </row>
    <row r="29" spans="1:16" x14ac:dyDescent="0.25">
      <c r="A29" t="s">
        <v>20</v>
      </c>
      <c r="B29" t="s">
        <v>31</v>
      </c>
      <c r="C29" s="9"/>
      <c r="D29" s="9"/>
      <c r="E29" s="9">
        <v>2460</v>
      </c>
      <c r="F29" s="9"/>
      <c r="G29" s="9">
        <f t="shared" si="0"/>
        <v>2460</v>
      </c>
      <c r="H29">
        <f t="shared" si="1"/>
        <v>0.31</v>
      </c>
      <c r="I29" s="10">
        <f t="shared" si="2"/>
        <v>1E-3</v>
      </c>
      <c r="J29">
        <f t="shared" si="4"/>
        <v>-0.12</v>
      </c>
      <c r="P29">
        <v>2810</v>
      </c>
    </row>
    <row r="30" spans="1:16" x14ac:dyDescent="0.25">
      <c r="A30" t="s">
        <v>20</v>
      </c>
      <c r="B30" t="s">
        <v>32</v>
      </c>
      <c r="C30" s="9"/>
      <c r="D30" s="9"/>
      <c r="E30" s="9">
        <v>720</v>
      </c>
      <c r="F30" s="9"/>
      <c r="G30" s="9">
        <f t="shared" si="0"/>
        <v>720</v>
      </c>
      <c r="H30">
        <f t="shared" si="1"/>
        <v>0.09</v>
      </c>
      <c r="I30" s="10">
        <f t="shared" si="2"/>
        <v>0</v>
      </c>
      <c r="J30">
        <f t="shared" si="4"/>
        <v>-0.15</v>
      </c>
      <c r="P30">
        <v>850</v>
      </c>
    </row>
    <row r="31" spans="1:16" x14ac:dyDescent="0.25">
      <c r="A31" t="s">
        <v>20</v>
      </c>
      <c r="B31" t="s">
        <v>33</v>
      </c>
      <c r="C31" s="9"/>
      <c r="D31" s="9"/>
      <c r="E31" s="9">
        <v>1995</v>
      </c>
      <c r="F31" s="9"/>
      <c r="G31" s="9">
        <f t="shared" si="0"/>
        <v>1995</v>
      </c>
      <c r="H31">
        <f t="shared" si="1"/>
        <v>0.25</v>
      </c>
      <c r="I31" s="10">
        <f t="shared" si="2"/>
        <v>1E-3</v>
      </c>
      <c r="J31">
        <f t="shared" si="4"/>
        <v>0.77</v>
      </c>
      <c r="P31">
        <v>1125</v>
      </c>
    </row>
    <row r="32" spans="1:16" x14ac:dyDescent="0.25">
      <c r="A32" t="s">
        <v>20</v>
      </c>
      <c r="B32" t="s">
        <v>43</v>
      </c>
      <c r="C32" s="9"/>
      <c r="D32" s="9">
        <v>835</v>
      </c>
      <c r="E32" s="9"/>
      <c r="F32" s="9"/>
      <c r="G32" s="9">
        <f t="shared" si="0"/>
        <v>835</v>
      </c>
      <c r="H32">
        <f t="shared" si="1"/>
        <v>0.11</v>
      </c>
      <c r="I32" s="10">
        <f t="shared" si="2"/>
        <v>0</v>
      </c>
      <c r="J32">
        <f t="shared" si="4"/>
        <v>0.08</v>
      </c>
      <c r="P32">
        <v>774</v>
      </c>
    </row>
    <row r="33" spans="1:16" x14ac:dyDescent="0.25">
      <c r="A33" t="s">
        <v>20</v>
      </c>
      <c r="B33" t="s">
        <v>70</v>
      </c>
      <c r="C33" s="9"/>
      <c r="D33" s="9"/>
      <c r="E33" s="9">
        <v>670</v>
      </c>
      <c r="F33" s="9"/>
      <c r="G33" s="9">
        <f t="shared" si="0"/>
        <v>670</v>
      </c>
      <c r="H33">
        <f t="shared" si="1"/>
        <v>0.09</v>
      </c>
      <c r="I33" s="10">
        <f t="shared" si="2"/>
        <v>0</v>
      </c>
      <c r="J33">
        <f t="shared" si="4"/>
        <v>-0.48</v>
      </c>
      <c r="P33">
        <v>1300</v>
      </c>
    </row>
    <row r="34" spans="1:16" x14ac:dyDescent="0.25">
      <c r="A34" t="s">
        <v>20</v>
      </c>
      <c r="B34" t="s">
        <v>34</v>
      </c>
      <c r="C34" s="9"/>
      <c r="D34" s="9"/>
      <c r="E34" s="9">
        <v>1045</v>
      </c>
      <c r="F34" s="9"/>
      <c r="G34" s="9">
        <f t="shared" si="0"/>
        <v>1045</v>
      </c>
      <c r="H34">
        <f t="shared" si="1"/>
        <v>0.13</v>
      </c>
      <c r="I34" s="10">
        <f t="shared" si="2"/>
        <v>0</v>
      </c>
      <c r="J34">
        <f t="shared" si="4"/>
        <v>1.99</v>
      </c>
      <c r="P34">
        <v>350</v>
      </c>
    </row>
    <row r="35" spans="1:16" x14ac:dyDescent="0.25">
      <c r="A35" t="s">
        <v>20</v>
      </c>
      <c r="B35" t="s">
        <v>35</v>
      </c>
      <c r="C35" s="9"/>
      <c r="D35" s="9"/>
      <c r="E35" s="9">
        <v>4730</v>
      </c>
      <c r="F35" s="9"/>
      <c r="G35" s="9">
        <f t="shared" si="0"/>
        <v>4730</v>
      </c>
      <c r="H35">
        <f t="shared" si="1"/>
        <v>0.6</v>
      </c>
      <c r="I35" s="10">
        <f t="shared" si="2"/>
        <v>2E-3</v>
      </c>
      <c r="J35">
        <f t="shared" si="4"/>
        <v>0.05</v>
      </c>
      <c r="P35">
        <v>4500</v>
      </c>
    </row>
    <row r="36" spans="1:16" x14ac:dyDescent="0.25">
      <c r="A36" t="s">
        <v>20</v>
      </c>
      <c r="B36" t="s">
        <v>36</v>
      </c>
      <c r="C36" s="9"/>
      <c r="D36" s="9"/>
      <c r="E36" s="9">
        <v>7310</v>
      </c>
      <c r="F36" s="9"/>
      <c r="G36" s="9">
        <f t="shared" si="0"/>
        <v>7310</v>
      </c>
      <c r="H36">
        <f t="shared" si="1"/>
        <v>0.93</v>
      </c>
      <c r="I36" s="10">
        <f t="shared" si="2"/>
        <v>3.0000000000000001E-3</v>
      </c>
      <c r="J36">
        <f t="shared" si="4"/>
        <v>-0.35</v>
      </c>
      <c r="P36">
        <v>11205</v>
      </c>
    </row>
    <row r="37" spans="1:16" x14ac:dyDescent="0.25">
      <c r="A37" t="s">
        <v>20</v>
      </c>
      <c r="B37" t="s">
        <v>41</v>
      </c>
      <c r="C37" s="9"/>
      <c r="D37" s="9"/>
      <c r="E37" s="9">
        <v>20482</v>
      </c>
      <c r="F37" s="9"/>
      <c r="G37" s="9">
        <f t="shared" si="0"/>
        <v>20482</v>
      </c>
      <c r="H37">
        <f t="shared" si="1"/>
        <v>2.61</v>
      </c>
      <c r="I37" s="10">
        <f t="shared" si="2"/>
        <v>8.0000000000000002E-3</v>
      </c>
      <c r="J37">
        <f t="shared" si="4"/>
        <v>1.05</v>
      </c>
      <c r="P37">
        <v>10006</v>
      </c>
    </row>
    <row r="38" spans="1:16" x14ac:dyDescent="0.25">
      <c r="A38" t="s">
        <v>20</v>
      </c>
      <c r="B38" t="s">
        <v>37</v>
      </c>
      <c r="C38" s="9"/>
      <c r="D38" s="9"/>
      <c r="E38" s="9">
        <v>134290</v>
      </c>
      <c r="F38" s="9">
        <v>30</v>
      </c>
      <c r="G38" s="9">
        <f t="shared" si="0"/>
        <v>134320</v>
      </c>
      <c r="H38">
        <f t="shared" si="1"/>
        <v>17.079999999999998</v>
      </c>
      <c r="I38" s="10">
        <f t="shared" si="2"/>
        <v>0.05</v>
      </c>
      <c r="J38">
        <f t="shared" si="4"/>
        <v>7.0000000000000007E-2</v>
      </c>
      <c r="P38">
        <v>125410</v>
      </c>
    </row>
    <row r="39" spans="1:16" x14ac:dyDescent="0.25">
      <c r="A39" t="s">
        <v>20</v>
      </c>
      <c r="B39" t="s">
        <v>38</v>
      </c>
      <c r="C39" s="9"/>
      <c r="D39" s="9"/>
      <c r="E39" s="9">
        <v>10265</v>
      </c>
      <c r="F39" s="9"/>
      <c r="G39" s="9">
        <f t="shared" si="0"/>
        <v>10265</v>
      </c>
      <c r="H39">
        <f t="shared" si="1"/>
        <v>1.31</v>
      </c>
      <c r="I39" s="10">
        <f t="shared" si="2"/>
        <v>4.0000000000000001E-3</v>
      </c>
      <c r="J39">
        <f t="shared" si="4"/>
        <v>0.22</v>
      </c>
      <c r="P39">
        <v>8435</v>
      </c>
    </row>
    <row r="40" spans="1:16" x14ac:dyDescent="0.25">
      <c r="A40" t="s">
        <v>20</v>
      </c>
      <c r="B40" t="s">
        <v>39</v>
      </c>
      <c r="C40" s="9"/>
      <c r="D40" s="9"/>
      <c r="E40" s="9">
        <v>32690</v>
      </c>
      <c r="F40" s="9">
        <v>10</v>
      </c>
      <c r="G40" s="9">
        <f t="shared" si="0"/>
        <v>32700</v>
      </c>
      <c r="H40">
        <f t="shared" si="1"/>
        <v>4.16</v>
      </c>
      <c r="I40" s="10">
        <f t="shared" si="2"/>
        <v>1.2E-2</v>
      </c>
      <c r="J40">
        <f t="shared" si="4"/>
        <v>0.21</v>
      </c>
      <c r="P40">
        <v>27090</v>
      </c>
    </row>
    <row r="41" spans="1:16" x14ac:dyDescent="0.25">
      <c r="A41" t="s">
        <v>20</v>
      </c>
      <c r="B41" t="s">
        <v>40</v>
      </c>
      <c r="C41" s="9"/>
      <c r="D41" s="9"/>
      <c r="E41" s="9">
        <v>381790</v>
      </c>
      <c r="F41" s="9">
        <v>5620</v>
      </c>
      <c r="G41" s="9">
        <f t="shared" si="0"/>
        <v>387410</v>
      </c>
      <c r="H41">
        <f t="shared" si="1"/>
        <v>49.28</v>
      </c>
      <c r="I41" s="10">
        <f t="shared" si="2"/>
        <v>0.14399999999999999</v>
      </c>
      <c r="J41">
        <f t="shared" si="4"/>
        <v>0.8</v>
      </c>
      <c r="P41">
        <v>215230</v>
      </c>
    </row>
    <row r="42" spans="1:16" x14ac:dyDescent="0.25">
      <c r="A42" t="s">
        <v>20</v>
      </c>
      <c r="B42" t="s">
        <v>93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20</v>
      </c>
      <c r="B43" t="s">
        <v>94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44</v>
      </c>
      <c r="B44" t="s">
        <v>45</v>
      </c>
      <c r="C44" s="9">
        <v>385020</v>
      </c>
      <c r="D44" s="9"/>
      <c r="E44" s="9"/>
      <c r="F44" s="9">
        <v>1860</v>
      </c>
      <c r="G44" s="9">
        <f t="shared" si="0"/>
        <v>386880</v>
      </c>
      <c r="H44">
        <f t="shared" si="1"/>
        <v>49.21</v>
      </c>
      <c r="I44" s="10">
        <f t="shared" si="2"/>
        <v>0.14399999999999999</v>
      </c>
      <c r="J44">
        <f>ROUND(G44/P44-1,2)</f>
        <v>-0.01</v>
      </c>
      <c r="P44">
        <v>389510</v>
      </c>
    </row>
    <row r="45" spans="1:16" x14ac:dyDescent="0.25">
      <c r="A45" t="s">
        <v>44</v>
      </c>
      <c r="B45" t="s">
        <v>47</v>
      </c>
      <c r="C45" s="9"/>
      <c r="D45" s="9"/>
      <c r="E45" s="9"/>
      <c r="F45" s="9">
        <v>69705</v>
      </c>
      <c r="G45" s="9">
        <f t="shared" si="0"/>
        <v>69705</v>
      </c>
      <c r="H45">
        <f t="shared" si="1"/>
        <v>8.8699999999999992</v>
      </c>
      <c r="I45" s="10">
        <f t="shared" si="2"/>
        <v>2.5999999999999999E-2</v>
      </c>
      <c r="J45">
        <f>ROUND(G45/P45-1,2)</f>
        <v>0.97</v>
      </c>
      <c r="P45">
        <v>35440</v>
      </c>
    </row>
    <row r="46" spans="1:16" x14ac:dyDescent="0.25">
      <c r="A46" t="s">
        <v>44</v>
      </c>
      <c r="B46" t="s">
        <v>46</v>
      </c>
      <c r="C46" s="9"/>
      <c r="D46" s="9"/>
      <c r="E46" s="9">
        <v>86560</v>
      </c>
      <c r="F46" s="9"/>
      <c r="G46" s="9">
        <f t="shared" si="0"/>
        <v>86560</v>
      </c>
      <c r="H46">
        <f t="shared" si="1"/>
        <v>11.01</v>
      </c>
      <c r="I46" s="10">
        <f t="shared" si="2"/>
        <v>3.2000000000000001E-2</v>
      </c>
      <c r="J46">
        <f>ROUND(G46/P46-1,2)</f>
        <v>0.04</v>
      </c>
      <c r="P46">
        <v>83200</v>
      </c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SUM(C8:C46)</f>
        <v>1772200</v>
      </c>
      <c r="D49" s="12">
        <f t="shared" si="5"/>
        <v>835</v>
      </c>
      <c r="E49" s="12">
        <f t="shared" si="5"/>
        <v>816888</v>
      </c>
      <c r="F49" s="12">
        <f t="shared" si="5"/>
        <v>102354</v>
      </c>
      <c r="G49" s="12">
        <f t="shared" si="5"/>
        <v>2692277</v>
      </c>
      <c r="H49" s="11">
        <f t="shared" si="5"/>
        <v>342.44000000000005</v>
      </c>
      <c r="I49" s="4"/>
    </row>
    <row r="50" spans="1:10" x14ac:dyDescent="0.25">
      <c r="A50" s="11" t="s">
        <v>14</v>
      </c>
      <c r="C50" s="13">
        <f>ROUND(C49/G49,2)</f>
        <v>0.66</v>
      </c>
      <c r="D50" s="13">
        <f>ROUND(D49/G49,2)</f>
        <v>0</v>
      </c>
      <c r="E50" s="13">
        <f>ROUND(E49/G49,2)</f>
        <v>0.3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1387180</v>
      </c>
      <c r="D54" s="15">
        <v>835</v>
      </c>
      <c r="E54" s="15">
        <v>730328</v>
      </c>
      <c r="F54" s="15">
        <v>29610</v>
      </c>
      <c r="G54" s="15">
        <f>SUM(C54:F54)</f>
        <v>2147953</v>
      </c>
      <c r="H54" s="17">
        <f>ROUND(G54/7862,2)</f>
        <v>273.20999999999998</v>
      </c>
      <c r="I54" s="4"/>
      <c r="J54" s="4"/>
    </row>
    <row r="55" spans="1:10" x14ac:dyDescent="0.25">
      <c r="A55" s="33" t="s">
        <v>50</v>
      </c>
      <c r="B55" s="33"/>
      <c r="C55" s="15">
        <v>385020</v>
      </c>
      <c r="D55" s="15">
        <v>0</v>
      </c>
      <c r="E55" s="15">
        <v>86560</v>
      </c>
      <c r="F55" s="15">
        <v>71565</v>
      </c>
      <c r="G55" s="15">
        <f>SUM(C55:F55)</f>
        <v>543145</v>
      </c>
      <c r="H55" s="17">
        <f>ROUND(G55/7862,2)</f>
        <v>69.08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1179</v>
      </c>
      <c r="G56" s="15">
        <f>SUM(C56:F56)</f>
        <v>1179</v>
      </c>
      <c r="H56" s="17">
        <f>ROUND(G56/7862,2)</f>
        <v>0.15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ROUND(0.8444, 4)</f>
        <v>0.84440000000000004</v>
      </c>
      <c r="D60" s="18">
        <f>ROUND(0.833, 4)</f>
        <v>0.83299999999999996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ROUND(0.8321, 4)</f>
        <v>0.83209999999999995</v>
      </c>
      <c r="D61" s="18">
        <f>ROUND(0.8195, 4)</f>
        <v>0.81950000000000001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95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49.21</v>
      </c>
      <c r="D64" s="16">
        <v>48.44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66.040000000000006</v>
      </c>
      <c r="D65" s="16">
        <v>65.510000000000005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273.20999999999998</v>
      </c>
      <c r="D66" s="16">
        <v>251.78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69.08</v>
      </c>
      <c r="D67" s="16">
        <v>66.87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33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96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942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31930</v>
      </c>
      <c r="D9" s="9"/>
      <c r="E9" s="9">
        <v>1436.85</v>
      </c>
      <c r="F9" s="9"/>
      <c r="G9" s="9">
        <f t="shared" ref="G9:G34" si="0">SUM(C9:F9)</f>
        <v>33366.85</v>
      </c>
      <c r="H9">
        <f t="shared" ref="H9:H34" si="1">ROUND(G9/942,2)</f>
        <v>35.42</v>
      </c>
      <c r="I9" s="10">
        <f t="shared" ref="I9:I34" si="2">ROUND(G9/$G$49,3)</f>
        <v>0.112</v>
      </c>
      <c r="J9">
        <f>ROUND(G9/P9-1,2)</f>
        <v>-0.04</v>
      </c>
      <c r="P9">
        <v>34778.71</v>
      </c>
    </row>
    <row r="10" spans="1:16" x14ac:dyDescent="0.25">
      <c r="A10" t="s">
        <v>20</v>
      </c>
      <c r="B10" t="s">
        <v>22</v>
      </c>
      <c r="C10" s="9">
        <v>46940</v>
      </c>
      <c r="D10" s="9"/>
      <c r="E10" s="9">
        <v>616.11</v>
      </c>
      <c r="F10" s="9"/>
      <c r="G10" s="9">
        <f t="shared" si="0"/>
        <v>47556.11</v>
      </c>
      <c r="H10">
        <f t="shared" si="1"/>
        <v>50.48</v>
      </c>
      <c r="I10" s="10">
        <f t="shared" si="2"/>
        <v>0.159</v>
      </c>
      <c r="J10">
        <f>ROUND(G10/P10-1,2)</f>
        <v>0.2</v>
      </c>
      <c r="P10">
        <v>39675</v>
      </c>
    </row>
    <row r="11" spans="1:16" x14ac:dyDescent="0.25">
      <c r="A11" t="s">
        <v>20</v>
      </c>
      <c r="B11" t="s">
        <v>42</v>
      </c>
      <c r="C11" s="9"/>
      <c r="D11" s="9"/>
      <c r="E11" s="9">
        <v>10.38</v>
      </c>
      <c r="F11" s="9"/>
      <c r="G11" s="9">
        <f t="shared" si="0"/>
        <v>10.38</v>
      </c>
      <c r="H11">
        <f t="shared" si="1"/>
        <v>0.01</v>
      </c>
      <c r="I11" s="10">
        <f t="shared" si="2"/>
        <v>0</v>
      </c>
      <c r="J11">
        <f>ROUND(G11/P11-1,2)</f>
        <v>-0.84</v>
      </c>
      <c r="P11">
        <v>64.94</v>
      </c>
    </row>
    <row r="12" spans="1:16" x14ac:dyDescent="0.25">
      <c r="A12" t="s">
        <v>20</v>
      </c>
      <c r="B12" t="s">
        <v>23</v>
      </c>
      <c r="C12" s="9"/>
      <c r="D12" s="9"/>
      <c r="E12" s="9">
        <v>156.25</v>
      </c>
      <c r="F12" s="9"/>
      <c r="G12" s="9">
        <f t="shared" si="0"/>
        <v>156.25</v>
      </c>
      <c r="H12">
        <f t="shared" si="1"/>
        <v>0.17</v>
      </c>
      <c r="I12" s="10">
        <f t="shared" si="2"/>
        <v>1E-3</v>
      </c>
      <c r="P12">
        <v>0</v>
      </c>
    </row>
    <row r="13" spans="1:16" x14ac:dyDescent="0.25">
      <c r="A13" t="s">
        <v>20</v>
      </c>
      <c r="B13" t="s">
        <v>24</v>
      </c>
      <c r="C13" s="9"/>
      <c r="D13" s="9"/>
      <c r="E13" s="9">
        <v>14471.28</v>
      </c>
      <c r="F13" s="9"/>
      <c r="G13" s="9">
        <f t="shared" si="0"/>
        <v>14471.28</v>
      </c>
      <c r="H13">
        <f t="shared" si="1"/>
        <v>15.36</v>
      </c>
      <c r="I13" s="10">
        <f t="shared" si="2"/>
        <v>4.8000000000000001E-2</v>
      </c>
      <c r="J13">
        <f>ROUND(G13/P13-1,2)</f>
        <v>-0.62</v>
      </c>
      <c r="P13">
        <v>38165.49</v>
      </c>
    </row>
    <row r="14" spans="1:16" x14ac:dyDescent="0.25">
      <c r="A14" t="s">
        <v>20</v>
      </c>
      <c r="B14" t="s">
        <v>25</v>
      </c>
      <c r="C14" s="9">
        <v>40740</v>
      </c>
      <c r="D14" s="9"/>
      <c r="E14" s="9">
        <v>2608.8200000000002</v>
      </c>
      <c r="F14" s="9"/>
      <c r="G14" s="9">
        <f t="shared" si="0"/>
        <v>43348.82</v>
      </c>
      <c r="H14">
        <f t="shared" si="1"/>
        <v>46.02</v>
      </c>
      <c r="I14" s="10">
        <f t="shared" si="2"/>
        <v>0.14499999999999999</v>
      </c>
      <c r="J14">
        <f>ROUND(G14/P14-1,2)</f>
        <v>0.04</v>
      </c>
      <c r="P14">
        <v>41560.730000000003</v>
      </c>
    </row>
    <row r="15" spans="1:16" x14ac:dyDescent="0.25">
      <c r="A15" t="s">
        <v>20</v>
      </c>
      <c r="B15" t="s">
        <v>26</v>
      </c>
      <c r="C15" s="9">
        <v>46180</v>
      </c>
      <c r="D15" s="9"/>
      <c r="E15" s="9"/>
      <c r="F15" s="9"/>
      <c r="G15" s="9">
        <f t="shared" si="0"/>
        <v>46180</v>
      </c>
      <c r="H15">
        <f t="shared" si="1"/>
        <v>49.02</v>
      </c>
      <c r="I15" s="10">
        <f t="shared" si="2"/>
        <v>0.155</v>
      </c>
      <c r="J15">
        <f>ROUND(G15/P15-1,2)</f>
        <v>-0.02</v>
      </c>
      <c r="P15">
        <v>47010</v>
      </c>
    </row>
    <row r="16" spans="1:16" x14ac:dyDescent="0.25">
      <c r="A16" t="s">
        <v>20</v>
      </c>
      <c r="B16" t="s">
        <v>29</v>
      </c>
      <c r="C16" s="9"/>
      <c r="D16" s="9"/>
      <c r="E16" s="9">
        <v>25.87</v>
      </c>
      <c r="F16" s="9"/>
      <c r="G16" s="9">
        <f t="shared" si="0"/>
        <v>25.87</v>
      </c>
      <c r="H16">
        <f t="shared" si="1"/>
        <v>0.03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30</v>
      </c>
      <c r="C17" s="9"/>
      <c r="D17" s="9"/>
      <c r="E17" s="9">
        <v>431.82</v>
      </c>
      <c r="F17" s="9"/>
      <c r="G17" s="9">
        <f t="shared" si="0"/>
        <v>431.82</v>
      </c>
      <c r="H17">
        <f t="shared" si="1"/>
        <v>0.46</v>
      </c>
      <c r="I17" s="10">
        <f t="shared" si="2"/>
        <v>1E-3</v>
      </c>
      <c r="J17">
        <f t="shared" ref="J17:J27" si="3">ROUND(G17/P17-1,2)</f>
        <v>-0.79</v>
      </c>
      <c r="P17">
        <v>2069.06</v>
      </c>
    </row>
    <row r="18" spans="1:16" x14ac:dyDescent="0.25">
      <c r="A18" t="s">
        <v>20</v>
      </c>
      <c r="B18" t="s">
        <v>31</v>
      </c>
      <c r="C18" s="9"/>
      <c r="D18" s="9"/>
      <c r="E18" s="9">
        <v>118.46</v>
      </c>
      <c r="F18" s="9"/>
      <c r="G18" s="9">
        <f t="shared" si="0"/>
        <v>118.46</v>
      </c>
      <c r="H18">
        <f t="shared" si="1"/>
        <v>0.13</v>
      </c>
      <c r="I18" s="10">
        <f t="shared" si="2"/>
        <v>0</v>
      </c>
      <c r="J18">
        <f t="shared" si="3"/>
        <v>-0.76</v>
      </c>
      <c r="P18">
        <v>491.1</v>
      </c>
    </row>
    <row r="19" spans="1:16" x14ac:dyDescent="0.25">
      <c r="A19" t="s">
        <v>20</v>
      </c>
      <c r="B19" t="s">
        <v>32</v>
      </c>
      <c r="C19" s="9"/>
      <c r="D19" s="9"/>
      <c r="E19" s="9">
        <v>16.48</v>
      </c>
      <c r="F19" s="9"/>
      <c r="G19" s="9">
        <f t="shared" si="0"/>
        <v>16.48</v>
      </c>
      <c r="H19">
        <f t="shared" si="1"/>
        <v>0.02</v>
      </c>
      <c r="I19" s="10">
        <f t="shared" si="2"/>
        <v>0</v>
      </c>
      <c r="J19">
        <f t="shared" si="3"/>
        <v>-0.96</v>
      </c>
      <c r="P19">
        <v>383.75</v>
      </c>
    </row>
    <row r="20" spans="1:16" x14ac:dyDescent="0.25">
      <c r="A20" t="s">
        <v>20</v>
      </c>
      <c r="B20" t="s">
        <v>33</v>
      </c>
      <c r="C20" s="9"/>
      <c r="D20" s="9"/>
      <c r="E20" s="9">
        <v>742.88</v>
      </c>
      <c r="F20" s="9"/>
      <c r="G20" s="9">
        <f t="shared" si="0"/>
        <v>742.88</v>
      </c>
      <c r="H20">
        <f t="shared" si="1"/>
        <v>0.79</v>
      </c>
      <c r="I20" s="10">
        <f t="shared" si="2"/>
        <v>2E-3</v>
      </c>
      <c r="J20">
        <f t="shared" si="3"/>
        <v>1</v>
      </c>
      <c r="P20">
        <v>371.42</v>
      </c>
    </row>
    <row r="21" spans="1:16" x14ac:dyDescent="0.25">
      <c r="A21" t="s">
        <v>20</v>
      </c>
      <c r="B21" t="s">
        <v>34</v>
      </c>
      <c r="C21" s="9"/>
      <c r="D21" s="9"/>
      <c r="E21" s="9">
        <v>20.66</v>
      </c>
      <c r="F21" s="9"/>
      <c r="G21" s="9">
        <f t="shared" si="0"/>
        <v>20.66</v>
      </c>
      <c r="H21">
        <f t="shared" si="1"/>
        <v>0.02</v>
      </c>
      <c r="I21" s="10">
        <f t="shared" si="2"/>
        <v>0</v>
      </c>
      <c r="J21">
        <f t="shared" si="3"/>
        <v>-0.81</v>
      </c>
      <c r="P21">
        <v>108.71</v>
      </c>
    </row>
    <row r="22" spans="1:16" x14ac:dyDescent="0.25">
      <c r="A22" t="s">
        <v>20</v>
      </c>
      <c r="B22" t="s">
        <v>35</v>
      </c>
      <c r="C22" s="9"/>
      <c r="D22" s="9"/>
      <c r="E22" s="9">
        <v>702.45</v>
      </c>
      <c r="F22" s="9"/>
      <c r="G22" s="9">
        <f t="shared" si="0"/>
        <v>702.45</v>
      </c>
      <c r="H22">
        <f t="shared" si="1"/>
        <v>0.75</v>
      </c>
      <c r="I22" s="10">
        <f t="shared" si="2"/>
        <v>2E-3</v>
      </c>
      <c r="J22">
        <f t="shared" si="3"/>
        <v>-0.46</v>
      </c>
      <c r="P22">
        <v>1299.76</v>
      </c>
    </row>
    <row r="23" spans="1:16" x14ac:dyDescent="0.25">
      <c r="A23" t="s">
        <v>20</v>
      </c>
      <c r="B23" t="s">
        <v>36</v>
      </c>
      <c r="C23" s="9"/>
      <c r="D23" s="9"/>
      <c r="E23" s="9">
        <v>617.96</v>
      </c>
      <c r="F23" s="9"/>
      <c r="G23" s="9">
        <f t="shared" si="0"/>
        <v>617.96</v>
      </c>
      <c r="H23">
        <f t="shared" si="1"/>
        <v>0.66</v>
      </c>
      <c r="I23" s="10">
        <f t="shared" si="2"/>
        <v>2E-3</v>
      </c>
      <c r="J23">
        <f t="shared" si="3"/>
        <v>-0.7</v>
      </c>
      <c r="P23">
        <v>2074.96</v>
      </c>
    </row>
    <row r="24" spans="1:16" x14ac:dyDescent="0.25">
      <c r="A24" t="s">
        <v>20</v>
      </c>
      <c r="B24" t="s">
        <v>37</v>
      </c>
      <c r="C24" s="9"/>
      <c r="D24" s="9"/>
      <c r="E24" s="9">
        <v>8165.47</v>
      </c>
      <c r="F24" s="9"/>
      <c r="G24" s="9">
        <f t="shared" si="0"/>
        <v>8165.47</v>
      </c>
      <c r="H24">
        <f t="shared" si="1"/>
        <v>8.67</v>
      </c>
      <c r="I24" s="10">
        <f t="shared" si="2"/>
        <v>2.7E-2</v>
      </c>
      <c r="J24">
        <f t="shared" si="3"/>
        <v>-0.65</v>
      </c>
      <c r="P24">
        <v>23288.560000000001</v>
      </c>
    </row>
    <row r="25" spans="1:16" x14ac:dyDescent="0.25">
      <c r="A25" t="s">
        <v>20</v>
      </c>
      <c r="B25" t="s">
        <v>38</v>
      </c>
      <c r="C25" s="9"/>
      <c r="D25" s="9"/>
      <c r="E25" s="9">
        <v>1100.26</v>
      </c>
      <c r="F25" s="9"/>
      <c r="G25" s="9">
        <f t="shared" si="0"/>
        <v>1100.26</v>
      </c>
      <c r="H25">
        <f t="shared" si="1"/>
        <v>1.17</v>
      </c>
      <c r="I25" s="10">
        <f t="shared" si="2"/>
        <v>4.0000000000000001E-3</v>
      </c>
      <c r="J25">
        <f t="shared" si="3"/>
        <v>-0.66</v>
      </c>
      <c r="P25">
        <v>3215.75</v>
      </c>
    </row>
    <row r="26" spans="1:16" x14ac:dyDescent="0.25">
      <c r="A26" t="s">
        <v>20</v>
      </c>
      <c r="B26" t="s">
        <v>39</v>
      </c>
      <c r="C26" s="9"/>
      <c r="D26" s="9"/>
      <c r="E26" s="9">
        <v>4485.29</v>
      </c>
      <c r="F26" s="9"/>
      <c r="G26" s="9">
        <f t="shared" si="0"/>
        <v>4485.29</v>
      </c>
      <c r="H26">
        <f t="shared" si="1"/>
        <v>4.76</v>
      </c>
      <c r="I26" s="10">
        <f t="shared" si="2"/>
        <v>1.4999999999999999E-2</v>
      </c>
      <c r="J26">
        <f t="shared" si="3"/>
        <v>-0.51</v>
      </c>
      <c r="P26">
        <v>9135.9599999999991</v>
      </c>
    </row>
    <row r="27" spans="1:16" x14ac:dyDescent="0.25">
      <c r="A27" t="s">
        <v>20</v>
      </c>
      <c r="B27" t="s">
        <v>40</v>
      </c>
      <c r="C27" s="9"/>
      <c r="D27" s="9"/>
      <c r="E27" s="9">
        <v>7987</v>
      </c>
      <c r="F27" s="9"/>
      <c r="G27" s="9">
        <f t="shared" si="0"/>
        <v>7987</v>
      </c>
      <c r="H27">
        <f t="shared" si="1"/>
        <v>8.48</v>
      </c>
      <c r="I27" s="10">
        <f t="shared" si="2"/>
        <v>2.7E-2</v>
      </c>
      <c r="J27">
        <f t="shared" si="3"/>
        <v>-0.55000000000000004</v>
      </c>
      <c r="P27">
        <v>17713.509999999998</v>
      </c>
    </row>
    <row r="28" spans="1:16" x14ac:dyDescent="0.25">
      <c r="A28" t="s">
        <v>20</v>
      </c>
      <c r="B28" t="s">
        <v>43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74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44</v>
      </c>
      <c r="B30" t="s">
        <v>45</v>
      </c>
      <c r="C30" s="9">
        <v>78600</v>
      </c>
      <c r="D30" s="9"/>
      <c r="E30" s="9"/>
      <c r="F30" s="9"/>
      <c r="G30" s="9">
        <f t="shared" si="0"/>
        <v>78600</v>
      </c>
      <c r="H30">
        <f t="shared" si="1"/>
        <v>83.44</v>
      </c>
      <c r="I30" s="10">
        <f t="shared" si="2"/>
        <v>0.26300000000000001</v>
      </c>
      <c r="J30">
        <f>ROUND(G30/P30-1,2)</f>
        <v>0.01</v>
      </c>
      <c r="P30">
        <v>78160</v>
      </c>
    </row>
    <row r="31" spans="1:16" x14ac:dyDescent="0.25">
      <c r="A31" t="s">
        <v>44</v>
      </c>
      <c r="B31" t="s">
        <v>46</v>
      </c>
      <c r="C31" s="9"/>
      <c r="D31" s="9"/>
      <c r="E31" s="9">
        <v>10787.89</v>
      </c>
      <c r="F31" s="9"/>
      <c r="G31" s="9">
        <f t="shared" si="0"/>
        <v>10787.89</v>
      </c>
      <c r="H31">
        <f t="shared" si="1"/>
        <v>11.45</v>
      </c>
      <c r="I31" s="10">
        <f t="shared" si="2"/>
        <v>3.5999999999999997E-2</v>
      </c>
      <c r="J31">
        <f>ROUND(G31/P31-1,2)</f>
        <v>-0.4</v>
      </c>
      <c r="P31">
        <v>18069.12</v>
      </c>
    </row>
    <row r="32" spans="1:16" x14ac:dyDescent="0.25">
      <c r="A32" t="s">
        <v>44</v>
      </c>
      <c r="B32" t="s">
        <v>47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16</v>
      </c>
      <c r="B33" t="s">
        <v>66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16</v>
      </c>
      <c r="B34" t="s">
        <v>19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SUM(C8:C34)</f>
        <v>244390</v>
      </c>
      <c r="D49" s="12">
        <f t="shared" si="4"/>
        <v>0</v>
      </c>
      <c r="E49" s="12">
        <f t="shared" si="4"/>
        <v>54502.18</v>
      </c>
      <c r="F49" s="12">
        <f t="shared" si="4"/>
        <v>0</v>
      </c>
      <c r="G49" s="12">
        <f t="shared" si="4"/>
        <v>298892.18000000005</v>
      </c>
      <c r="H49" s="11">
        <f t="shared" si="4"/>
        <v>317.31</v>
      </c>
      <c r="I49" s="4"/>
    </row>
    <row r="50" spans="1:10" x14ac:dyDescent="0.25">
      <c r="A50" s="11" t="s">
        <v>14</v>
      </c>
      <c r="C50" s="13">
        <f>ROUND(C49/G49,2)</f>
        <v>0.82</v>
      </c>
      <c r="D50" s="13">
        <f>ROUND(D49/G49,2)</f>
        <v>0</v>
      </c>
      <c r="E50" s="13">
        <f>ROUND(E49/G49,2)</f>
        <v>0.18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165790</v>
      </c>
      <c r="D54" s="15">
        <v>0</v>
      </c>
      <c r="E54" s="15">
        <v>43714.29</v>
      </c>
      <c r="F54" s="15">
        <v>0</v>
      </c>
      <c r="G54" s="15">
        <f>SUM(C54:F54)</f>
        <v>209504.29</v>
      </c>
      <c r="H54" s="17">
        <f>ROUND(G54/942,2)</f>
        <v>222.4</v>
      </c>
      <c r="I54" s="4"/>
      <c r="J54" s="4"/>
    </row>
    <row r="55" spans="1:10" x14ac:dyDescent="0.25">
      <c r="A55" s="33" t="s">
        <v>50</v>
      </c>
      <c r="B55" s="33"/>
      <c r="C55" s="15">
        <v>78600</v>
      </c>
      <c r="D55" s="15">
        <v>0</v>
      </c>
      <c r="E55" s="15">
        <v>10787.89</v>
      </c>
      <c r="F55" s="15">
        <v>0</v>
      </c>
      <c r="G55" s="15">
        <f>SUM(C55:F55)</f>
        <v>89387.89</v>
      </c>
      <c r="H55" s="17">
        <f>ROUND(G55/942,2)</f>
        <v>94.89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ROUND(G56/942,2)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ROUND(0.7194, 4)</f>
        <v>0.71940000000000004</v>
      </c>
      <c r="D60" s="19">
        <f>ROUND(0.7494, 4)</f>
        <v>0.74939999999999996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ROUND(0.6758, 4)</f>
        <v>0.67579999999999996</v>
      </c>
      <c r="D61" s="19">
        <f>ROUND(0.7087, 4)</f>
        <v>0.7087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97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83.44</v>
      </c>
      <c r="D64" s="17">
        <v>80.819999999999993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49.02</v>
      </c>
      <c r="D65" s="17">
        <v>48.05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222.4</v>
      </c>
      <c r="D66" s="17">
        <v>253.86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6">
        <v>94.89</v>
      </c>
      <c r="D67" s="16">
        <v>99.99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82"/>
  <sheetViews>
    <sheetView topLeftCell="A45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7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98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635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13950</v>
      </c>
      <c r="D9" s="9"/>
      <c r="E9" s="9">
        <v>671.55</v>
      </c>
      <c r="F9" s="9">
        <v>60</v>
      </c>
      <c r="G9" s="9">
        <f t="shared" ref="G9:G33" si="0">SUM(C9:F9)</f>
        <v>14681.55</v>
      </c>
      <c r="H9">
        <f t="shared" ref="H9:H33" si="1">ROUND(G9/635,2)</f>
        <v>23.12</v>
      </c>
      <c r="I9" s="10">
        <f t="shared" ref="I9:I33" si="2">ROUND(G9/$G$49,3)</f>
        <v>8.5000000000000006E-2</v>
      </c>
      <c r="J9">
        <f>ROUND(G9/P9-1,2)</f>
        <v>-0.15</v>
      </c>
      <c r="P9">
        <v>17356.43</v>
      </c>
    </row>
    <row r="10" spans="1:16" x14ac:dyDescent="0.25">
      <c r="A10" t="s">
        <v>20</v>
      </c>
      <c r="B10" t="s">
        <v>22</v>
      </c>
      <c r="C10" s="9">
        <v>16625</v>
      </c>
      <c r="D10" s="9"/>
      <c r="E10" s="9"/>
      <c r="F10" s="9"/>
      <c r="G10" s="9">
        <f t="shared" si="0"/>
        <v>16625</v>
      </c>
      <c r="H10">
        <f t="shared" si="1"/>
        <v>26.18</v>
      </c>
      <c r="I10" s="10">
        <f t="shared" si="2"/>
        <v>9.7000000000000003E-2</v>
      </c>
      <c r="J10">
        <f>ROUND(G10/P10-1,2)</f>
        <v>-0.18</v>
      </c>
      <c r="P10">
        <v>20340</v>
      </c>
    </row>
    <row r="11" spans="1:16" x14ac:dyDescent="0.25">
      <c r="A11" t="s">
        <v>20</v>
      </c>
      <c r="B11" t="s">
        <v>42</v>
      </c>
      <c r="C11" s="9"/>
      <c r="D11" s="9"/>
      <c r="E11" s="9">
        <v>35.4</v>
      </c>
      <c r="F11" s="9"/>
      <c r="G11" s="9">
        <f t="shared" si="0"/>
        <v>35.4</v>
      </c>
      <c r="H11">
        <f t="shared" si="1"/>
        <v>0.06</v>
      </c>
      <c r="I11" s="10">
        <f t="shared" si="2"/>
        <v>0</v>
      </c>
      <c r="J11">
        <f>ROUND(G11/P11-1,2)</f>
        <v>-0.42</v>
      </c>
      <c r="P11">
        <v>60.98</v>
      </c>
    </row>
    <row r="12" spans="1:16" x14ac:dyDescent="0.25">
      <c r="A12" t="s">
        <v>20</v>
      </c>
      <c r="B12" t="s">
        <v>23</v>
      </c>
      <c r="C12" s="9"/>
      <c r="D12" s="9"/>
      <c r="E12" s="9">
        <v>285.70999999999998</v>
      </c>
      <c r="F12" s="9"/>
      <c r="G12" s="9">
        <f t="shared" si="0"/>
        <v>285.70999999999998</v>
      </c>
      <c r="H12">
        <f t="shared" si="1"/>
        <v>0.45</v>
      </c>
      <c r="I12" s="10">
        <f t="shared" si="2"/>
        <v>2E-3</v>
      </c>
      <c r="P12">
        <v>0</v>
      </c>
    </row>
    <row r="13" spans="1:16" x14ac:dyDescent="0.25">
      <c r="A13" t="s">
        <v>20</v>
      </c>
      <c r="B13" t="s">
        <v>24</v>
      </c>
      <c r="C13" s="9"/>
      <c r="D13" s="9"/>
      <c r="E13" s="9">
        <v>13826.77</v>
      </c>
      <c r="F13" s="9"/>
      <c r="G13" s="9">
        <f t="shared" si="0"/>
        <v>13826.77</v>
      </c>
      <c r="H13">
        <f t="shared" si="1"/>
        <v>21.77</v>
      </c>
      <c r="I13" s="10">
        <f t="shared" si="2"/>
        <v>0.08</v>
      </c>
      <c r="J13">
        <f t="shared" ref="J13:J27" si="3">ROUND(G13/P13-1,2)</f>
        <v>-0.38</v>
      </c>
      <c r="P13">
        <v>22479.83</v>
      </c>
    </row>
    <row r="14" spans="1:16" x14ac:dyDescent="0.25">
      <c r="A14" t="s">
        <v>20</v>
      </c>
      <c r="B14" t="s">
        <v>25</v>
      </c>
      <c r="C14" s="9">
        <v>16380</v>
      </c>
      <c r="D14" s="9"/>
      <c r="E14" s="9">
        <v>2359.9499999999998</v>
      </c>
      <c r="F14" s="9"/>
      <c r="G14" s="9">
        <f t="shared" si="0"/>
        <v>18739.95</v>
      </c>
      <c r="H14">
        <f t="shared" si="1"/>
        <v>29.51</v>
      </c>
      <c r="I14" s="10">
        <f t="shared" si="2"/>
        <v>0.109</v>
      </c>
      <c r="J14">
        <f t="shared" si="3"/>
        <v>-0.24</v>
      </c>
      <c r="P14">
        <v>24538.69</v>
      </c>
    </row>
    <row r="15" spans="1:16" x14ac:dyDescent="0.25">
      <c r="A15" t="s">
        <v>20</v>
      </c>
      <c r="B15" t="s">
        <v>26</v>
      </c>
      <c r="C15" s="9">
        <v>22180</v>
      </c>
      <c r="D15" s="9"/>
      <c r="E15" s="9"/>
      <c r="F15" s="9"/>
      <c r="G15" s="9">
        <f t="shared" si="0"/>
        <v>22180</v>
      </c>
      <c r="H15">
        <f t="shared" si="1"/>
        <v>34.93</v>
      </c>
      <c r="I15" s="10">
        <f t="shared" si="2"/>
        <v>0.129</v>
      </c>
      <c r="J15">
        <f t="shared" si="3"/>
        <v>-0.06</v>
      </c>
      <c r="P15">
        <v>23680</v>
      </c>
    </row>
    <row r="16" spans="1:16" x14ac:dyDescent="0.25">
      <c r="A16" t="s">
        <v>20</v>
      </c>
      <c r="B16" t="s">
        <v>29</v>
      </c>
      <c r="C16" s="9"/>
      <c r="D16" s="9"/>
      <c r="E16" s="9">
        <v>4.9000000000000004</v>
      </c>
      <c r="F16" s="9"/>
      <c r="G16" s="9">
        <f t="shared" si="0"/>
        <v>4.9000000000000004</v>
      </c>
      <c r="H16">
        <f t="shared" si="1"/>
        <v>0.01</v>
      </c>
      <c r="I16" s="10">
        <f t="shared" si="2"/>
        <v>0</v>
      </c>
      <c r="J16">
        <f t="shared" si="3"/>
        <v>0.73</v>
      </c>
      <c r="P16">
        <v>2.84</v>
      </c>
    </row>
    <row r="17" spans="1:16" x14ac:dyDescent="0.25">
      <c r="A17" t="s">
        <v>20</v>
      </c>
      <c r="B17" t="s">
        <v>30</v>
      </c>
      <c r="C17" s="9"/>
      <c r="D17" s="9"/>
      <c r="E17" s="9">
        <v>481.98</v>
      </c>
      <c r="F17" s="9"/>
      <c r="G17" s="9">
        <f t="shared" si="0"/>
        <v>481.98</v>
      </c>
      <c r="H17">
        <f t="shared" si="1"/>
        <v>0.76</v>
      </c>
      <c r="I17" s="10">
        <f t="shared" si="2"/>
        <v>3.0000000000000001E-3</v>
      </c>
      <c r="J17">
        <f t="shared" si="3"/>
        <v>-0.77</v>
      </c>
      <c r="P17">
        <v>2065.8200000000002</v>
      </c>
    </row>
    <row r="18" spans="1:16" x14ac:dyDescent="0.25">
      <c r="A18" t="s">
        <v>20</v>
      </c>
      <c r="B18" t="s">
        <v>31</v>
      </c>
      <c r="C18" s="9"/>
      <c r="D18" s="9"/>
      <c r="E18" s="9">
        <v>164.03</v>
      </c>
      <c r="F18" s="9"/>
      <c r="G18" s="9">
        <f t="shared" si="0"/>
        <v>164.03</v>
      </c>
      <c r="H18">
        <f t="shared" si="1"/>
        <v>0.26</v>
      </c>
      <c r="I18" s="10">
        <f t="shared" si="2"/>
        <v>1E-3</v>
      </c>
      <c r="J18">
        <f t="shared" si="3"/>
        <v>0.44</v>
      </c>
      <c r="P18">
        <v>113.98</v>
      </c>
    </row>
    <row r="19" spans="1:16" x14ac:dyDescent="0.25">
      <c r="A19" t="s">
        <v>20</v>
      </c>
      <c r="B19" t="s">
        <v>33</v>
      </c>
      <c r="C19" s="9"/>
      <c r="D19" s="9"/>
      <c r="E19" s="9">
        <v>362.87</v>
      </c>
      <c r="F19" s="9"/>
      <c r="G19" s="9">
        <f t="shared" si="0"/>
        <v>362.87</v>
      </c>
      <c r="H19">
        <f t="shared" si="1"/>
        <v>0.56999999999999995</v>
      </c>
      <c r="I19" s="10">
        <f t="shared" si="2"/>
        <v>2E-3</v>
      </c>
      <c r="J19">
        <f t="shared" si="3"/>
        <v>-0.65</v>
      </c>
      <c r="P19">
        <v>1050.1500000000001</v>
      </c>
    </row>
    <row r="20" spans="1:16" x14ac:dyDescent="0.25">
      <c r="A20" t="s">
        <v>20</v>
      </c>
      <c r="B20" t="s">
        <v>43</v>
      </c>
      <c r="C20" s="9"/>
      <c r="D20" s="9"/>
      <c r="E20" s="9">
        <v>5.45</v>
      </c>
      <c r="F20" s="9"/>
      <c r="G20" s="9">
        <f t="shared" si="0"/>
        <v>5.45</v>
      </c>
      <c r="H20">
        <f t="shared" si="1"/>
        <v>0.01</v>
      </c>
      <c r="I20" s="10">
        <f t="shared" si="2"/>
        <v>0</v>
      </c>
      <c r="J20">
        <f t="shared" si="3"/>
        <v>-0.81</v>
      </c>
      <c r="P20">
        <v>28.11</v>
      </c>
    </row>
    <row r="21" spans="1:16" x14ac:dyDescent="0.25">
      <c r="A21" t="s">
        <v>20</v>
      </c>
      <c r="B21" t="s">
        <v>35</v>
      </c>
      <c r="C21" s="9"/>
      <c r="D21" s="9"/>
      <c r="E21" s="9">
        <v>464.09</v>
      </c>
      <c r="F21" s="9"/>
      <c r="G21" s="9">
        <f t="shared" si="0"/>
        <v>464.09</v>
      </c>
      <c r="H21">
        <f t="shared" si="1"/>
        <v>0.73</v>
      </c>
      <c r="I21" s="10">
        <f t="shared" si="2"/>
        <v>3.0000000000000001E-3</v>
      </c>
      <c r="J21">
        <f t="shared" si="3"/>
        <v>-0.55000000000000004</v>
      </c>
      <c r="P21">
        <v>1032.07</v>
      </c>
    </row>
    <row r="22" spans="1:16" x14ac:dyDescent="0.25">
      <c r="A22" t="s">
        <v>20</v>
      </c>
      <c r="B22" t="s">
        <v>36</v>
      </c>
      <c r="C22" s="9"/>
      <c r="D22" s="9"/>
      <c r="E22" s="9">
        <v>694.63</v>
      </c>
      <c r="F22" s="9"/>
      <c r="G22" s="9">
        <f t="shared" si="0"/>
        <v>694.63</v>
      </c>
      <c r="H22">
        <f t="shared" si="1"/>
        <v>1.0900000000000001</v>
      </c>
      <c r="I22" s="10">
        <f t="shared" si="2"/>
        <v>4.0000000000000001E-3</v>
      </c>
      <c r="J22">
        <f t="shared" si="3"/>
        <v>-0.75</v>
      </c>
      <c r="P22">
        <v>2801.03</v>
      </c>
    </row>
    <row r="23" spans="1:16" x14ac:dyDescent="0.25">
      <c r="A23" t="s">
        <v>20</v>
      </c>
      <c r="B23" t="s">
        <v>37</v>
      </c>
      <c r="C23" s="9"/>
      <c r="D23" s="9"/>
      <c r="E23" s="9">
        <v>10144.31</v>
      </c>
      <c r="F23" s="9"/>
      <c r="G23" s="9">
        <f t="shared" si="0"/>
        <v>10144.31</v>
      </c>
      <c r="H23">
        <f t="shared" si="1"/>
        <v>15.98</v>
      </c>
      <c r="I23" s="10">
        <f t="shared" si="2"/>
        <v>5.8999999999999997E-2</v>
      </c>
      <c r="J23">
        <f t="shared" si="3"/>
        <v>-0.34</v>
      </c>
      <c r="P23">
        <v>15435.93</v>
      </c>
    </row>
    <row r="24" spans="1:16" x14ac:dyDescent="0.25">
      <c r="A24" t="s">
        <v>20</v>
      </c>
      <c r="B24" t="s">
        <v>38</v>
      </c>
      <c r="C24" s="9"/>
      <c r="D24" s="9"/>
      <c r="E24" s="9">
        <v>550.29</v>
      </c>
      <c r="F24" s="9"/>
      <c r="G24" s="9">
        <f t="shared" si="0"/>
        <v>550.29</v>
      </c>
      <c r="H24">
        <f t="shared" si="1"/>
        <v>0.87</v>
      </c>
      <c r="I24" s="10">
        <f t="shared" si="2"/>
        <v>3.0000000000000001E-3</v>
      </c>
      <c r="J24">
        <f t="shared" si="3"/>
        <v>-0.52</v>
      </c>
      <c r="P24">
        <v>1149.72</v>
      </c>
    </row>
    <row r="25" spans="1:16" x14ac:dyDescent="0.25">
      <c r="A25" t="s">
        <v>20</v>
      </c>
      <c r="B25" t="s">
        <v>39</v>
      </c>
      <c r="C25" s="9"/>
      <c r="D25" s="9"/>
      <c r="E25" s="9">
        <v>3150.74</v>
      </c>
      <c r="F25" s="9"/>
      <c r="G25" s="9">
        <f t="shared" si="0"/>
        <v>3150.74</v>
      </c>
      <c r="H25">
        <f t="shared" si="1"/>
        <v>4.96</v>
      </c>
      <c r="I25" s="10">
        <f t="shared" si="2"/>
        <v>1.7999999999999999E-2</v>
      </c>
      <c r="J25">
        <f t="shared" si="3"/>
        <v>-0.45</v>
      </c>
      <c r="P25">
        <v>5734.74</v>
      </c>
    </row>
    <row r="26" spans="1:16" x14ac:dyDescent="0.25">
      <c r="A26" t="s">
        <v>20</v>
      </c>
      <c r="B26" t="s">
        <v>40</v>
      </c>
      <c r="C26" s="9"/>
      <c r="D26" s="9"/>
      <c r="E26" s="9">
        <v>2014.74</v>
      </c>
      <c r="F26" s="9"/>
      <c r="G26" s="9">
        <f t="shared" si="0"/>
        <v>2014.74</v>
      </c>
      <c r="H26">
        <f t="shared" si="1"/>
        <v>3.17</v>
      </c>
      <c r="I26" s="10">
        <f t="shared" si="2"/>
        <v>1.2E-2</v>
      </c>
      <c r="J26">
        <f t="shared" si="3"/>
        <v>-0.46</v>
      </c>
      <c r="P26">
        <v>3727.53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J27">
        <f t="shared" si="3"/>
        <v>-1</v>
      </c>
      <c r="P27">
        <v>144.07</v>
      </c>
    </row>
    <row r="28" spans="1:16" x14ac:dyDescent="0.25">
      <c r="A28" t="s">
        <v>20</v>
      </c>
      <c r="B28" t="s">
        <v>74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32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44</v>
      </c>
      <c r="B30" t="s">
        <v>45</v>
      </c>
      <c r="C30" s="9">
        <v>62030</v>
      </c>
      <c r="D30" s="9"/>
      <c r="E30" s="9"/>
      <c r="F30" s="9">
        <v>380</v>
      </c>
      <c r="G30" s="9">
        <f t="shared" si="0"/>
        <v>62410</v>
      </c>
      <c r="H30">
        <f t="shared" si="1"/>
        <v>98.28</v>
      </c>
      <c r="I30" s="10">
        <f t="shared" si="2"/>
        <v>0.36199999999999999</v>
      </c>
      <c r="J30">
        <f>ROUND(G30/P30-1,2)</f>
        <v>0.36</v>
      </c>
      <c r="P30">
        <v>45950</v>
      </c>
    </row>
    <row r="31" spans="1:16" x14ac:dyDescent="0.25">
      <c r="A31" t="s">
        <v>44</v>
      </c>
      <c r="B31" t="s">
        <v>46</v>
      </c>
      <c r="C31" s="9"/>
      <c r="D31" s="9"/>
      <c r="E31" s="9">
        <v>5447.32</v>
      </c>
      <c r="F31" s="9"/>
      <c r="G31" s="9">
        <f t="shared" si="0"/>
        <v>5447.32</v>
      </c>
      <c r="H31">
        <f t="shared" si="1"/>
        <v>8.58</v>
      </c>
      <c r="I31" s="10">
        <f t="shared" si="2"/>
        <v>3.2000000000000001E-2</v>
      </c>
      <c r="J31">
        <f>ROUND(G31/P31-1,2)</f>
        <v>-0.56999999999999995</v>
      </c>
      <c r="P31">
        <v>12802.95</v>
      </c>
    </row>
    <row r="32" spans="1:16" x14ac:dyDescent="0.25">
      <c r="A32" t="s">
        <v>44</v>
      </c>
      <c r="B32" t="s">
        <v>47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16</v>
      </c>
      <c r="B33" t="s">
        <v>19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C34" s="9"/>
      <c r="D34" s="9"/>
      <c r="E34" s="9"/>
      <c r="F34" s="9"/>
      <c r="G34" s="9"/>
      <c r="I34" s="10"/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SUM(C8:C33)</f>
        <v>131165</v>
      </c>
      <c r="D49" s="12">
        <f t="shared" si="4"/>
        <v>0</v>
      </c>
      <c r="E49" s="12">
        <f t="shared" si="4"/>
        <v>40664.729999999996</v>
      </c>
      <c r="F49" s="12">
        <f t="shared" si="4"/>
        <v>440</v>
      </c>
      <c r="G49" s="12">
        <f t="shared" si="4"/>
        <v>172269.72999999998</v>
      </c>
      <c r="H49" s="11">
        <f t="shared" si="4"/>
        <v>271.28999999999991</v>
      </c>
      <c r="I49" s="4"/>
    </row>
    <row r="50" spans="1:10" x14ac:dyDescent="0.25">
      <c r="A50" s="11" t="s">
        <v>14</v>
      </c>
      <c r="C50" s="13">
        <f>ROUND(C49/G49,2)</f>
        <v>0.76</v>
      </c>
      <c r="D50" s="13">
        <f>ROUND(D49/G49,2)</f>
        <v>0</v>
      </c>
      <c r="E50" s="13">
        <f>ROUND(E49/G49,2)</f>
        <v>0.24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69135</v>
      </c>
      <c r="D54" s="15">
        <v>0</v>
      </c>
      <c r="E54" s="15">
        <v>35217.410000000003</v>
      </c>
      <c r="F54" s="15">
        <v>60</v>
      </c>
      <c r="G54" s="15">
        <f>SUM(C54:F54)</f>
        <v>104412.41</v>
      </c>
      <c r="H54" s="17">
        <f>ROUND(G54/635,2)</f>
        <v>164.43</v>
      </c>
      <c r="I54" s="4"/>
      <c r="J54" s="4"/>
    </row>
    <row r="55" spans="1:10" x14ac:dyDescent="0.25">
      <c r="A55" s="33" t="s">
        <v>50</v>
      </c>
      <c r="B55" s="33"/>
      <c r="C55" s="15">
        <v>62030</v>
      </c>
      <c r="D55" s="15">
        <v>0</v>
      </c>
      <c r="E55" s="15">
        <v>5447.32</v>
      </c>
      <c r="F55" s="15">
        <v>380</v>
      </c>
      <c r="G55" s="15">
        <f>SUM(C55:F55)</f>
        <v>67857.320000000007</v>
      </c>
      <c r="H55" s="17">
        <f>ROUND(G55/635,2)</f>
        <v>106.86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ROUND(G56/635,2)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ROUND(0.6017, 4)</f>
        <v>0.60170000000000001</v>
      </c>
      <c r="D60" s="19">
        <f>ROUND(0.7343, 4)</f>
        <v>0.73429999999999995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ROUND(0.5672, 4)</f>
        <v>0.56720000000000004</v>
      </c>
      <c r="D61" s="19">
        <f>ROUND(0.6978, 4)</f>
        <v>0.69779999999999998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99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98.28</v>
      </c>
      <c r="D64" s="17">
        <v>69.900000000000006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34.93</v>
      </c>
      <c r="D65" s="17">
        <v>36.880000000000003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164.43</v>
      </c>
      <c r="D66" s="17">
        <v>207.99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106.86</v>
      </c>
      <c r="D67" s="17">
        <v>87.35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  <row r="80" spans="1:10" x14ac:dyDescent="0.25">
      <c r="C80" s="3"/>
      <c r="D80" s="3"/>
      <c r="E80" s="3"/>
      <c r="F80" s="3"/>
      <c r="G80" s="3"/>
      <c r="H80" s="3"/>
      <c r="I80" s="4"/>
      <c r="J80" s="4"/>
    </row>
    <row r="81" spans="3:10" x14ac:dyDescent="0.25">
      <c r="C81" s="3"/>
      <c r="D81" s="3"/>
      <c r="E81" s="3"/>
      <c r="F81" s="3"/>
      <c r="G81" s="3"/>
      <c r="H81" s="3"/>
      <c r="I81" s="4"/>
      <c r="J81" s="4"/>
    </row>
    <row r="82" spans="3:10" x14ac:dyDescent="0.25">
      <c r="C82" s="3"/>
      <c r="D82" s="3"/>
      <c r="E82" s="3"/>
      <c r="F82" s="3"/>
      <c r="G82" s="3"/>
      <c r="H82" s="3"/>
      <c r="I82" s="4"/>
      <c r="J82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67"/>
  <sheetViews>
    <sheetView topLeftCell="A42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9.28515625" hidden="1" customWidth="1"/>
  </cols>
  <sheetData>
    <row r="2" spans="1:16" ht="18.75" x14ac:dyDescent="0.3">
      <c r="A2" s="1" t="s">
        <v>0</v>
      </c>
      <c r="B2" s="8" t="s">
        <v>100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15863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1140</v>
      </c>
      <c r="G9" s="9">
        <f t="shared" ref="G9:G48" si="0">SUM(C9:F9)</f>
        <v>1140</v>
      </c>
      <c r="H9">
        <f t="shared" ref="H9:H48" si="1">ROUND(G9/15863,2)</f>
        <v>7.0000000000000007E-2</v>
      </c>
      <c r="I9" s="10">
        <f t="shared" ref="I9:I48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78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17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16</v>
      </c>
      <c r="B13" t="s">
        <v>66</v>
      </c>
      <c r="C13" s="9"/>
      <c r="D13" s="9"/>
      <c r="E13" s="9"/>
      <c r="F13" s="9"/>
      <c r="G13" s="9">
        <f t="shared" si="0"/>
        <v>0</v>
      </c>
      <c r="H13">
        <f t="shared" si="1"/>
        <v>0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67</v>
      </c>
      <c r="C14" s="9"/>
      <c r="D14" s="9"/>
      <c r="E14" s="9">
        <v>405</v>
      </c>
      <c r="F14" s="9"/>
      <c r="G14" s="9">
        <f t="shared" si="0"/>
        <v>405</v>
      </c>
      <c r="H14">
        <f t="shared" si="1"/>
        <v>0.03</v>
      </c>
      <c r="I14" s="10">
        <f t="shared" si="2"/>
        <v>0</v>
      </c>
      <c r="J14">
        <f t="shared" ref="J14:J19" si="3">ROUND(G14/P14-1,2)</f>
        <v>-0.17</v>
      </c>
      <c r="P14">
        <v>486</v>
      </c>
    </row>
    <row r="15" spans="1:16" x14ac:dyDescent="0.25">
      <c r="A15" t="s">
        <v>20</v>
      </c>
      <c r="B15" t="s">
        <v>21</v>
      </c>
      <c r="C15" s="9">
        <v>466415</v>
      </c>
      <c r="D15" s="9"/>
      <c r="E15" s="9">
        <v>31490</v>
      </c>
      <c r="F15" s="9">
        <v>5595</v>
      </c>
      <c r="G15" s="9">
        <f t="shared" si="0"/>
        <v>503500</v>
      </c>
      <c r="H15">
        <f t="shared" si="1"/>
        <v>31.74</v>
      </c>
      <c r="I15" s="10">
        <f t="shared" si="2"/>
        <v>7.1999999999999995E-2</v>
      </c>
      <c r="J15">
        <f t="shared" si="3"/>
        <v>0.03</v>
      </c>
      <c r="P15">
        <v>488750</v>
      </c>
    </row>
    <row r="16" spans="1:16" x14ac:dyDescent="0.25">
      <c r="A16" t="s">
        <v>20</v>
      </c>
      <c r="B16" t="s">
        <v>22</v>
      </c>
      <c r="C16" s="9">
        <v>653320</v>
      </c>
      <c r="D16" s="9"/>
      <c r="E16" s="9"/>
      <c r="F16" s="9"/>
      <c r="G16" s="9">
        <f t="shared" si="0"/>
        <v>653320</v>
      </c>
      <c r="H16">
        <f t="shared" si="1"/>
        <v>41.19</v>
      </c>
      <c r="I16" s="10">
        <f t="shared" si="2"/>
        <v>9.2999999999999999E-2</v>
      </c>
      <c r="J16">
        <f t="shared" si="3"/>
        <v>-0.09</v>
      </c>
      <c r="P16">
        <v>716170</v>
      </c>
    </row>
    <row r="17" spans="1:16" x14ac:dyDescent="0.25">
      <c r="A17" t="s">
        <v>20</v>
      </c>
      <c r="B17" t="s">
        <v>79</v>
      </c>
      <c r="C17" s="9"/>
      <c r="D17" s="9"/>
      <c r="E17" s="9">
        <v>448</v>
      </c>
      <c r="F17" s="9"/>
      <c r="G17" s="9">
        <f t="shared" si="0"/>
        <v>448</v>
      </c>
      <c r="H17">
        <f t="shared" si="1"/>
        <v>0.03</v>
      </c>
      <c r="I17" s="10">
        <f t="shared" si="2"/>
        <v>0</v>
      </c>
      <c r="J17">
        <f t="shared" si="3"/>
        <v>-0.05</v>
      </c>
      <c r="P17">
        <v>471</v>
      </c>
    </row>
    <row r="18" spans="1:16" x14ac:dyDescent="0.25">
      <c r="A18" t="s">
        <v>20</v>
      </c>
      <c r="B18" t="s">
        <v>42</v>
      </c>
      <c r="C18" s="9"/>
      <c r="D18" s="9"/>
      <c r="E18" s="9">
        <v>704</v>
      </c>
      <c r="F18" s="9"/>
      <c r="G18" s="9">
        <f t="shared" si="0"/>
        <v>704</v>
      </c>
      <c r="H18">
        <f t="shared" si="1"/>
        <v>0.04</v>
      </c>
      <c r="I18" s="10">
        <f t="shared" si="2"/>
        <v>0</v>
      </c>
      <c r="J18">
        <f t="shared" si="3"/>
        <v>0.03</v>
      </c>
      <c r="P18">
        <v>681</v>
      </c>
    </row>
    <row r="19" spans="1:16" x14ac:dyDescent="0.25">
      <c r="A19" t="s">
        <v>20</v>
      </c>
      <c r="B19" t="s">
        <v>23</v>
      </c>
      <c r="C19" s="9"/>
      <c r="D19" s="9"/>
      <c r="E19" s="9">
        <v>4620</v>
      </c>
      <c r="F19" s="9"/>
      <c r="G19" s="9">
        <f t="shared" si="0"/>
        <v>4620</v>
      </c>
      <c r="H19">
        <f t="shared" si="1"/>
        <v>0.28999999999999998</v>
      </c>
      <c r="I19" s="10">
        <f t="shared" si="2"/>
        <v>1E-3</v>
      </c>
      <c r="J19">
        <f t="shared" si="3"/>
        <v>-0.28000000000000003</v>
      </c>
      <c r="P19">
        <v>6460</v>
      </c>
    </row>
    <row r="20" spans="1:16" x14ac:dyDescent="0.25">
      <c r="A20" t="s">
        <v>20</v>
      </c>
      <c r="B20" t="s">
        <v>101</v>
      </c>
      <c r="C20" s="9"/>
      <c r="D20" s="9"/>
      <c r="E20" s="9"/>
      <c r="F20" s="9">
        <v>216</v>
      </c>
      <c r="G20" s="9">
        <f t="shared" si="0"/>
        <v>216</v>
      </c>
      <c r="H20">
        <f t="shared" si="1"/>
        <v>0.01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80</v>
      </c>
      <c r="C21" s="9"/>
      <c r="D21" s="9"/>
      <c r="E21" s="9"/>
      <c r="F21" s="9">
        <v>45</v>
      </c>
      <c r="G21" s="9">
        <f t="shared" si="0"/>
        <v>45</v>
      </c>
      <c r="H21">
        <f t="shared" si="1"/>
        <v>0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102</v>
      </c>
      <c r="C22" s="9"/>
      <c r="D22" s="9"/>
      <c r="E22" s="9"/>
      <c r="F22" s="9">
        <v>2292</v>
      </c>
      <c r="G22" s="9">
        <f t="shared" si="0"/>
        <v>2292</v>
      </c>
      <c r="H22">
        <f t="shared" si="1"/>
        <v>0.14000000000000001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24</v>
      </c>
      <c r="C23" s="9"/>
      <c r="D23" s="9"/>
      <c r="E23" s="9">
        <v>268880</v>
      </c>
      <c r="F23" s="9"/>
      <c r="G23" s="9">
        <f t="shared" si="0"/>
        <v>268880</v>
      </c>
      <c r="H23">
        <f t="shared" si="1"/>
        <v>16.95</v>
      </c>
      <c r="I23" s="10">
        <f t="shared" si="2"/>
        <v>3.7999999999999999E-2</v>
      </c>
      <c r="J23">
        <f t="shared" ref="J23:J43" si="4">ROUND(G23/P23-1,2)</f>
        <v>0</v>
      </c>
      <c r="P23">
        <v>269640</v>
      </c>
    </row>
    <row r="24" spans="1:16" x14ac:dyDescent="0.25">
      <c r="A24" t="s">
        <v>20</v>
      </c>
      <c r="B24" t="s">
        <v>25</v>
      </c>
      <c r="C24" s="9">
        <v>745760</v>
      </c>
      <c r="D24" s="9"/>
      <c r="E24" s="9">
        <v>125070</v>
      </c>
      <c r="F24" s="9">
        <v>27910</v>
      </c>
      <c r="G24" s="9">
        <f t="shared" si="0"/>
        <v>898740</v>
      </c>
      <c r="H24">
        <f t="shared" si="1"/>
        <v>56.66</v>
      </c>
      <c r="I24" s="10">
        <f t="shared" si="2"/>
        <v>0.128</v>
      </c>
      <c r="J24">
        <f t="shared" si="4"/>
        <v>-0.02</v>
      </c>
      <c r="P24">
        <v>913990</v>
      </c>
    </row>
    <row r="25" spans="1:16" x14ac:dyDescent="0.25">
      <c r="A25" t="s">
        <v>20</v>
      </c>
      <c r="B25" t="s">
        <v>69</v>
      </c>
      <c r="C25" s="9"/>
      <c r="D25" s="9"/>
      <c r="E25" s="9">
        <v>21480</v>
      </c>
      <c r="F25" s="9"/>
      <c r="G25" s="9">
        <f t="shared" si="0"/>
        <v>21480</v>
      </c>
      <c r="H25">
        <f t="shared" si="1"/>
        <v>1.35</v>
      </c>
      <c r="I25" s="10">
        <f t="shared" si="2"/>
        <v>3.0000000000000001E-3</v>
      </c>
      <c r="J25">
        <f t="shared" si="4"/>
        <v>-0.08</v>
      </c>
      <c r="P25">
        <v>23250</v>
      </c>
    </row>
    <row r="26" spans="1:16" x14ac:dyDescent="0.25">
      <c r="A26" t="s">
        <v>20</v>
      </c>
      <c r="B26" t="s">
        <v>26</v>
      </c>
      <c r="C26" s="9">
        <v>1105940</v>
      </c>
      <c r="D26" s="9"/>
      <c r="E26" s="9"/>
      <c r="F26" s="9">
        <v>3390</v>
      </c>
      <c r="G26" s="9">
        <f t="shared" si="0"/>
        <v>1109330</v>
      </c>
      <c r="H26">
        <f t="shared" si="1"/>
        <v>69.930000000000007</v>
      </c>
      <c r="I26" s="10">
        <f t="shared" si="2"/>
        <v>0.158</v>
      </c>
      <c r="J26">
        <f t="shared" si="4"/>
        <v>-0.06</v>
      </c>
      <c r="P26">
        <v>1185520</v>
      </c>
    </row>
    <row r="27" spans="1:16" x14ac:dyDescent="0.25">
      <c r="A27" t="s">
        <v>20</v>
      </c>
      <c r="B27" t="s">
        <v>27</v>
      </c>
      <c r="C27" s="9"/>
      <c r="D27" s="9"/>
      <c r="E27" s="9">
        <v>5178</v>
      </c>
      <c r="F27" s="9"/>
      <c r="G27" s="9">
        <f t="shared" si="0"/>
        <v>5178</v>
      </c>
      <c r="H27">
        <f t="shared" si="1"/>
        <v>0.33</v>
      </c>
      <c r="I27" s="10">
        <f t="shared" si="2"/>
        <v>1E-3</v>
      </c>
      <c r="J27">
        <f t="shared" si="4"/>
        <v>0.3</v>
      </c>
      <c r="P27">
        <v>3968</v>
      </c>
    </row>
    <row r="28" spans="1:16" x14ac:dyDescent="0.25">
      <c r="A28" t="s">
        <v>20</v>
      </c>
      <c r="B28" t="s">
        <v>28</v>
      </c>
      <c r="C28" s="9"/>
      <c r="D28" s="9"/>
      <c r="E28" s="9">
        <v>3808</v>
      </c>
      <c r="F28" s="9"/>
      <c r="G28" s="9">
        <f t="shared" si="0"/>
        <v>3808</v>
      </c>
      <c r="H28">
        <f t="shared" si="1"/>
        <v>0.24</v>
      </c>
      <c r="I28" s="10">
        <f t="shared" si="2"/>
        <v>1E-3</v>
      </c>
      <c r="J28">
        <f t="shared" si="4"/>
        <v>3.06</v>
      </c>
      <c r="P28">
        <v>939</v>
      </c>
    </row>
    <row r="29" spans="1:16" x14ac:dyDescent="0.25">
      <c r="A29" t="s">
        <v>20</v>
      </c>
      <c r="B29" t="s">
        <v>29</v>
      </c>
      <c r="C29" s="9"/>
      <c r="D29" s="9"/>
      <c r="E29" s="9">
        <v>510</v>
      </c>
      <c r="F29" s="9"/>
      <c r="G29" s="9">
        <f t="shared" si="0"/>
        <v>510</v>
      </c>
      <c r="H29">
        <f t="shared" si="1"/>
        <v>0.03</v>
      </c>
      <c r="I29" s="10">
        <f t="shared" si="2"/>
        <v>0</v>
      </c>
      <c r="J29">
        <f t="shared" si="4"/>
        <v>-0.47</v>
      </c>
      <c r="P29">
        <v>970</v>
      </c>
    </row>
    <row r="30" spans="1:16" x14ac:dyDescent="0.25">
      <c r="A30" t="s">
        <v>20</v>
      </c>
      <c r="B30" t="s">
        <v>30</v>
      </c>
      <c r="C30" s="9"/>
      <c r="D30" s="9"/>
      <c r="E30" s="9">
        <v>22280</v>
      </c>
      <c r="F30" s="9"/>
      <c r="G30" s="9">
        <f t="shared" si="0"/>
        <v>22280</v>
      </c>
      <c r="H30">
        <f t="shared" si="1"/>
        <v>1.4</v>
      </c>
      <c r="I30" s="10">
        <f t="shared" si="2"/>
        <v>3.0000000000000001E-3</v>
      </c>
      <c r="J30">
        <f t="shared" si="4"/>
        <v>-0.06</v>
      </c>
      <c r="P30">
        <v>23630</v>
      </c>
    </row>
    <row r="31" spans="1:16" x14ac:dyDescent="0.25">
      <c r="A31" t="s">
        <v>20</v>
      </c>
      <c r="B31" t="s">
        <v>31</v>
      </c>
      <c r="C31" s="9"/>
      <c r="D31" s="9"/>
      <c r="E31" s="9">
        <v>6530</v>
      </c>
      <c r="F31" s="9"/>
      <c r="G31" s="9">
        <f t="shared" si="0"/>
        <v>6530</v>
      </c>
      <c r="H31">
        <f t="shared" si="1"/>
        <v>0.41</v>
      </c>
      <c r="I31" s="10">
        <f t="shared" si="2"/>
        <v>1E-3</v>
      </c>
      <c r="J31">
        <f t="shared" si="4"/>
        <v>-7.0000000000000007E-2</v>
      </c>
      <c r="P31">
        <v>6990</v>
      </c>
    </row>
    <row r="32" spans="1:16" x14ac:dyDescent="0.25">
      <c r="A32" t="s">
        <v>20</v>
      </c>
      <c r="B32" t="s">
        <v>32</v>
      </c>
      <c r="C32" s="9"/>
      <c r="D32" s="9"/>
      <c r="E32" s="9">
        <v>1860</v>
      </c>
      <c r="F32" s="9"/>
      <c r="G32" s="9">
        <f t="shared" si="0"/>
        <v>1860</v>
      </c>
      <c r="H32">
        <f t="shared" si="1"/>
        <v>0.12</v>
      </c>
      <c r="I32" s="10">
        <f t="shared" si="2"/>
        <v>0</v>
      </c>
      <c r="J32">
        <f t="shared" si="4"/>
        <v>-0.02</v>
      </c>
      <c r="P32">
        <v>1900</v>
      </c>
    </row>
    <row r="33" spans="1:16" x14ac:dyDescent="0.25">
      <c r="A33" t="s">
        <v>20</v>
      </c>
      <c r="B33" t="s">
        <v>33</v>
      </c>
      <c r="C33" s="9"/>
      <c r="D33" s="9"/>
      <c r="E33" s="9">
        <v>8625</v>
      </c>
      <c r="F33" s="9"/>
      <c r="G33" s="9">
        <f t="shared" si="0"/>
        <v>8625</v>
      </c>
      <c r="H33">
        <f t="shared" si="1"/>
        <v>0.54</v>
      </c>
      <c r="I33" s="10">
        <f t="shared" si="2"/>
        <v>1E-3</v>
      </c>
      <c r="J33">
        <f t="shared" si="4"/>
        <v>-0.03</v>
      </c>
      <c r="P33">
        <v>8895</v>
      </c>
    </row>
    <row r="34" spans="1:16" x14ac:dyDescent="0.25">
      <c r="A34" t="s">
        <v>20</v>
      </c>
      <c r="B34" t="s">
        <v>43</v>
      </c>
      <c r="C34" s="9"/>
      <c r="D34" s="9">
        <v>1579</v>
      </c>
      <c r="E34" s="9"/>
      <c r="F34" s="9"/>
      <c r="G34" s="9">
        <f t="shared" si="0"/>
        <v>1579</v>
      </c>
      <c r="H34">
        <f t="shared" si="1"/>
        <v>0.1</v>
      </c>
      <c r="I34" s="10">
        <f t="shared" si="2"/>
        <v>0</v>
      </c>
      <c r="J34">
        <f t="shared" si="4"/>
        <v>-0.15</v>
      </c>
      <c r="P34">
        <v>1864</v>
      </c>
    </row>
    <row r="35" spans="1:16" x14ac:dyDescent="0.25">
      <c r="A35" t="s">
        <v>20</v>
      </c>
      <c r="B35" t="s">
        <v>34</v>
      </c>
      <c r="C35" s="9"/>
      <c r="D35" s="9"/>
      <c r="E35" s="9">
        <v>2174</v>
      </c>
      <c r="F35" s="9"/>
      <c r="G35" s="9">
        <f t="shared" si="0"/>
        <v>2174</v>
      </c>
      <c r="H35">
        <f t="shared" si="1"/>
        <v>0.14000000000000001</v>
      </c>
      <c r="I35" s="10">
        <f t="shared" si="2"/>
        <v>0</v>
      </c>
      <c r="J35">
        <f t="shared" si="4"/>
        <v>0.28999999999999998</v>
      </c>
      <c r="P35">
        <v>1690</v>
      </c>
    </row>
    <row r="36" spans="1:16" x14ac:dyDescent="0.25">
      <c r="A36" t="s">
        <v>20</v>
      </c>
      <c r="B36" t="s">
        <v>70</v>
      </c>
      <c r="C36" s="9"/>
      <c r="D36" s="9"/>
      <c r="E36" s="9">
        <v>3110</v>
      </c>
      <c r="F36" s="9"/>
      <c r="G36" s="9">
        <f t="shared" si="0"/>
        <v>3110</v>
      </c>
      <c r="H36">
        <f t="shared" si="1"/>
        <v>0.2</v>
      </c>
      <c r="I36" s="10">
        <f t="shared" si="2"/>
        <v>0</v>
      </c>
      <c r="J36">
        <f t="shared" si="4"/>
        <v>-0.46</v>
      </c>
      <c r="P36">
        <v>5780</v>
      </c>
    </row>
    <row r="37" spans="1:16" x14ac:dyDescent="0.25">
      <c r="A37" t="s">
        <v>20</v>
      </c>
      <c r="B37" t="s">
        <v>35</v>
      </c>
      <c r="C37" s="9"/>
      <c r="D37" s="9"/>
      <c r="E37" s="9">
        <v>12120</v>
      </c>
      <c r="F37" s="9"/>
      <c r="G37" s="9">
        <f t="shared" si="0"/>
        <v>12120</v>
      </c>
      <c r="H37">
        <f t="shared" si="1"/>
        <v>0.76</v>
      </c>
      <c r="I37" s="10">
        <f t="shared" si="2"/>
        <v>2E-3</v>
      </c>
      <c r="J37">
        <f t="shared" si="4"/>
        <v>-0.28999999999999998</v>
      </c>
      <c r="P37">
        <v>17130</v>
      </c>
    </row>
    <row r="38" spans="1:16" x14ac:dyDescent="0.25">
      <c r="A38" t="s">
        <v>20</v>
      </c>
      <c r="B38" t="s">
        <v>36</v>
      </c>
      <c r="C38" s="9"/>
      <c r="D38" s="9"/>
      <c r="E38" s="9">
        <v>23080</v>
      </c>
      <c r="F38" s="9"/>
      <c r="G38" s="9">
        <f t="shared" si="0"/>
        <v>23080</v>
      </c>
      <c r="H38">
        <f t="shared" si="1"/>
        <v>1.45</v>
      </c>
      <c r="I38" s="10">
        <f t="shared" si="2"/>
        <v>3.0000000000000001E-3</v>
      </c>
      <c r="J38">
        <f t="shared" si="4"/>
        <v>-0.36</v>
      </c>
      <c r="P38">
        <v>35860</v>
      </c>
    </row>
    <row r="39" spans="1:16" x14ac:dyDescent="0.25">
      <c r="A39" t="s">
        <v>20</v>
      </c>
      <c r="B39" t="s">
        <v>41</v>
      </c>
      <c r="C39" s="9"/>
      <c r="D39" s="9"/>
      <c r="E39" s="9">
        <v>42220</v>
      </c>
      <c r="F39" s="9"/>
      <c r="G39" s="9">
        <f t="shared" si="0"/>
        <v>42220</v>
      </c>
      <c r="H39">
        <f t="shared" si="1"/>
        <v>2.66</v>
      </c>
      <c r="I39" s="10">
        <f t="shared" si="2"/>
        <v>6.0000000000000001E-3</v>
      </c>
      <c r="J39">
        <f t="shared" si="4"/>
        <v>0.22</v>
      </c>
      <c r="P39">
        <v>34613</v>
      </c>
    </row>
    <row r="40" spans="1:16" x14ac:dyDescent="0.25">
      <c r="A40" t="s">
        <v>20</v>
      </c>
      <c r="B40" t="s">
        <v>37</v>
      </c>
      <c r="C40" s="9"/>
      <c r="D40" s="9"/>
      <c r="E40" s="9">
        <v>420255</v>
      </c>
      <c r="F40" s="9"/>
      <c r="G40" s="9">
        <f t="shared" si="0"/>
        <v>420255</v>
      </c>
      <c r="H40">
        <f t="shared" si="1"/>
        <v>26.49</v>
      </c>
      <c r="I40" s="10">
        <f t="shared" si="2"/>
        <v>0.06</v>
      </c>
      <c r="J40">
        <f t="shared" si="4"/>
        <v>-0.04</v>
      </c>
      <c r="P40">
        <v>439660</v>
      </c>
    </row>
    <row r="41" spans="1:16" x14ac:dyDescent="0.25">
      <c r="A41" t="s">
        <v>20</v>
      </c>
      <c r="B41" t="s">
        <v>38</v>
      </c>
      <c r="C41" s="9"/>
      <c r="D41" s="9"/>
      <c r="E41" s="9">
        <v>29245</v>
      </c>
      <c r="F41" s="9"/>
      <c r="G41" s="9">
        <f t="shared" si="0"/>
        <v>29245</v>
      </c>
      <c r="H41">
        <f t="shared" si="1"/>
        <v>1.84</v>
      </c>
      <c r="I41" s="10">
        <f t="shared" si="2"/>
        <v>4.0000000000000001E-3</v>
      </c>
      <c r="J41">
        <f t="shared" si="4"/>
        <v>0.14000000000000001</v>
      </c>
      <c r="P41">
        <v>25565</v>
      </c>
    </row>
    <row r="42" spans="1:16" x14ac:dyDescent="0.25">
      <c r="A42" t="s">
        <v>20</v>
      </c>
      <c r="B42" t="s">
        <v>39</v>
      </c>
      <c r="C42" s="9"/>
      <c r="D42" s="9"/>
      <c r="E42" s="9">
        <v>94140</v>
      </c>
      <c r="F42" s="9"/>
      <c r="G42" s="9">
        <f t="shared" si="0"/>
        <v>94140</v>
      </c>
      <c r="H42">
        <f t="shared" si="1"/>
        <v>5.93</v>
      </c>
      <c r="I42" s="10">
        <f t="shared" si="2"/>
        <v>1.2999999999999999E-2</v>
      </c>
      <c r="J42">
        <f t="shared" si="4"/>
        <v>0.1</v>
      </c>
      <c r="P42">
        <v>85540</v>
      </c>
    </row>
    <row r="43" spans="1:16" x14ac:dyDescent="0.25">
      <c r="A43" t="s">
        <v>20</v>
      </c>
      <c r="B43" t="s">
        <v>40</v>
      </c>
      <c r="C43" s="9"/>
      <c r="D43" s="9"/>
      <c r="E43" s="9">
        <v>903340</v>
      </c>
      <c r="F43" s="9">
        <v>10700</v>
      </c>
      <c r="G43" s="9">
        <f t="shared" si="0"/>
        <v>914040</v>
      </c>
      <c r="H43">
        <f t="shared" si="1"/>
        <v>57.62</v>
      </c>
      <c r="I43" s="10">
        <f t="shared" si="2"/>
        <v>0.13</v>
      </c>
      <c r="J43">
        <f t="shared" si="4"/>
        <v>7.0000000000000007E-2</v>
      </c>
      <c r="P43">
        <v>854760</v>
      </c>
    </row>
    <row r="44" spans="1:16" x14ac:dyDescent="0.25">
      <c r="A44" t="s">
        <v>20</v>
      </c>
      <c r="B44" t="s">
        <v>93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A45" t="s">
        <v>20</v>
      </c>
      <c r="B45" t="s">
        <v>103</v>
      </c>
      <c r="C45" s="9"/>
      <c r="D45" s="9"/>
      <c r="E45" s="9"/>
      <c r="F45" s="9"/>
      <c r="G45" s="9">
        <f t="shared" si="0"/>
        <v>0</v>
      </c>
      <c r="H45">
        <f t="shared" si="1"/>
        <v>0</v>
      </c>
      <c r="I45" s="10">
        <f t="shared" si="2"/>
        <v>0</v>
      </c>
      <c r="P45">
        <v>0</v>
      </c>
    </row>
    <row r="46" spans="1:16" x14ac:dyDescent="0.25">
      <c r="A46" t="s">
        <v>44</v>
      </c>
      <c r="B46" t="s">
        <v>45</v>
      </c>
      <c r="C46" s="9">
        <v>1440890</v>
      </c>
      <c r="D46" s="9"/>
      <c r="E46" s="9"/>
      <c r="F46" s="9">
        <v>23110</v>
      </c>
      <c r="G46" s="9">
        <f t="shared" si="0"/>
        <v>1464000</v>
      </c>
      <c r="H46">
        <f t="shared" si="1"/>
        <v>92.29</v>
      </c>
      <c r="I46" s="10">
        <f t="shared" si="2"/>
        <v>0.20899999999999999</v>
      </c>
      <c r="J46">
        <f>ROUND(G46/P46-1,2)</f>
        <v>0.01</v>
      </c>
      <c r="P46">
        <v>1446950</v>
      </c>
    </row>
    <row r="47" spans="1:16" x14ac:dyDescent="0.25">
      <c r="A47" t="s">
        <v>44</v>
      </c>
      <c r="B47" t="s">
        <v>47</v>
      </c>
      <c r="C47" s="9"/>
      <c r="D47" s="9"/>
      <c r="E47" s="9"/>
      <c r="F47" s="9">
        <v>273155</v>
      </c>
      <c r="G47" s="9">
        <f t="shared" si="0"/>
        <v>273155</v>
      </c>
      <c r="H47">
        <f t="shared" si="1"/>
        <v>17.22</v>
      </c>
      <c r="I47" s="10">
        <f t="shared" si="2"/>
        <v>3.9E-2</v>
      </c>
      <c r="J47">
        <f>ROUND(G47/P47-1,2)</f>
        <v>0.38</v>
      </c>
      <c r="P47">
        <v>197465</v>
      </c>
    </row>
    <row r="48" spans="1:16" x14ac:dyDescent="0.25">
      <c r="A48" t="s">
        <v>44</v>
      </c>
      <c r="B48" t="s">
        <v>46</v>
      </c>
      <c r="C48" s="9"/>
      <c r="D48" s="9"/>
      <c r="E48" s="9">
        <v>212580</v>
      </c>
      <c r="F48" s="9"/>
      <c r="G48" s="9">
        <f t="shared" si="0"/>
        <v>212580</v>
      </c>
      <c r="H48">
        <f t="shared" si="1"/>
        <v>13.4</v>
      </c>
      <c r="I48" s="10">
        <f t="shared" si="2"/>
        <v>0.03</v>
      </c>
      <c r="J48">
        <f>ROUND(G48/P48-1,2)</f>
        <v>-0.18</v>
      </c>
      <c r="P48">
        <v>260595</v>
      </c>
    </row>
    <row r="49" spans="1:10" x14ac:dyDescent="0.25">
      <c r="A49" s="11" t="s">
        <v>12</v>
      </c>
      <c r="C49" s="12">
        <f t="shared" ref="C49:H49" si="5">SUM(C8:C48)</f>
        <v>4412325</v>
      </c>
      <c r="D49" s="12">
        <f t="shared" si="5"/>
        <v>1579</v>
      </c>
      <c r="E49" s="12">
        <f t="shared" si="5"/>
        <v>2244152</v>
      </c>
      <c r="F49" s="12">
        <f t="shared" si="5"/>
        <v>347553</v>
      </c>
      <c r="G49" s="12">
        <f t="shared" si="5"/>
        <v>7005609</v>
      </c>
      <c r="H49" s="11">
        <f t="shared" si="5"/>
        <v>441.6</v>
      </c>
      <c r="I49" s="4"/>
    </row>
    <row r="50" spans="1:10" x14ac:dyDescent="0.25">
      <c r="A50" s="11" t="s">
        <v>14</v>
      </c>
      <c r="C50" s="13">
        <f>ROUND(C49/G49,2)</f>
        <v>0.63</v>
      </c>
      <c r="D50" s="13">
        <f>ROUND(D49/G49,2)</f>
        <v>0</v>
      </c>
      <c r="E50" s="13">
        <f>ROUND(E49/G49,2)</f>
        <v>0.32</v>
      </c>
      <c r="F50" s="13">
        <f>ROUND(F49/G49,2)</f>
        <v>0.05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2971435</v>
      </c>
      <c r="D54" s="15">
        <v>1579</v>
      </c>
      <c r="E54" s="15">
        <v>2031572</v>
      </c>
      <c r="F54" s="15">
        <v>50148</v>
      </c>
      <c r="G54" s="15">
        <f>SUM(C54:F54)</f>
        <v>5054734</v>
      </c>
      <c r="H54" s="17">
        <f>ROUND(G54/15863,2)</f>
        <v>318.64999999999998</v>
      </c>
      <c r="I54" s="4"/>
      <c r="J54" s="4"/>
    </row>
    <row r="55" spans="1:10" x14ac:dyDescent="0.25">
      <c r="A55" s="33" t="s">
        <v>50</v>
      </c>
      <c r="B55" s="33"/>
      <c r="C55" s="15">
        <v>1440890</v>
      </c>
      <c r="D55" s="15">
        <v>0</v>
      </c>
      <c r="E55" s="15">
        <v>212580</v>
      </c>
      <c r="F55" s="15">
        <v>296265</v>
      </c>
      <c r="G55" s="15">
        <f>SUM(C55:F55)</f>
        <v>1949735</v>
      </c>
      <c r="H55" s="17">
        <f>ROUND(G55/15863,2)</f>
        <v>122.91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1140</v>
      </c>
      <c r="G56" s="15">
        <f>SUM(C56:F56)</f>
        <v>1140</v>
      </c>
      <c r="H56" s="17">
        <f>ROUND(G56/15863,2)</f>
        <v>7.0000000000000007E-2</v>
      </c>
      <c r="I56" s="4"/>
      <c r="J56" s="4"/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ROUND(0.7813, 4)</f>
        <v>0.78129999999999999</v>
      </c>
      <c r="D60" s="18">
        <f>ROUND(0.7784, 4)</f>
        <v>0.77839999999999998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ROUND(0.7721, 4)</f>
        <v>0.77210000000000001</v>
      </c>
      <c r="D61" s="18">
        <f>ROUND(0.7692, 4)</f>
        <v>0.76919999999999999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104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92.29</v>
      </c>
      <c r="D64" s="16">
        <v>92.27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69.930000000000007</v>
      </c>
      <c r="D65" s="16">
        <v>74.88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335.19</v>
      </c>
      <c r="D66" s="16">
        <v>323.95999999999998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124.75</v>
      </c>
      <c r="D67" s="16">
        <v>119.18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4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105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2175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425</v>
      </c>
      <c r="G9" s="9">
        <f t="shared" ref="G9:G34" si="0">SUM(C9:F9)</f>
        <v>425</v>
      </c>
      <c r="H9">
        <f t="shared" ref="H9:H34" si="1">ROUND(G9/2175,2)</f>
        <v>0.2</v>
      </c>
      <c r="I9" s="10">
        <f t="shared" ref="I9:I34" si="2">ROUND(G9/$G$49,3)</f>
        <v>1E-3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450</v>
      </c>
      <c r="G10" s="9">
        <f t="shared" si="0"/>
        <v>450</v>
      </c>
      <c r="H10">
        <f t="shared" si="1"/>
        <v>0.21</v>
      </c>
      <c r="I10" s="10">
        <f t="shared" si="2"/>
        <v>1E-3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73</v>
      </c>
      <c r="C12" s="9"/>
      <c r="D12" s="9">
        <v>100720</v>
      </c>
      <c r="E12" s="9"/>
      <c r="F12" s="9"/>
      <c r="G12" s="9">
        <f t="shared" si="0"/>
        <v>100720</v>
      </c>
      <c r="H12">
        <f t="shared" si="1"/>
        <v>46.31</v>
      </c>
      <c r="I12" s="10">
        <f t="shared" si="2"/>
        <v>0.14599999999999999</v>
      </c>
      <c r="J12">
        <f>ROUND(G12/P12-1,2)</f>
        <v>0.03</v>
      </c>
      <c r="P12">
        <v>97900</v>
      </c>
    </row>
    <row r="13" spans="1:16" x14ac:dyDescent="0.25">
      <c r="A13" t="s">
        <v>20</v>
      </c>
      <c r="B13" t="s">
        <v>106</v>
      </c>
      <c r="C13" s="9"/>
      <c r="D13" s="9">
        <v>7440</v>
      </c>
      <c r="E13" s="9"/>
      <c r="F13" s="9"/>
      <c r="G13" s="9">
        <f t="shared" si="0"/>
        <v>7440</v>
      </c>
      <c r="H13">
        <f t="shared" si="1"/>
        <v>3.42</v>
      </c>
      <c r="I13" s="10">
        <f t="shared" si="2"/>
        <v>1.0999999999999999E-2</v>
      </c>
      <c r="J13">
        <f>ROUND(G13/P13-1,2)</f>
        <v>-0.03</v>
      </c>
      <c r="P13">
        <v>7650</v>
      </c>
    </row>
    <row r="14" spans="1:16" x14ac:dyDescent="0.25">
      <c r="A14" t="s">
        <v>20</v>
      </c>
      <c r="B14" t="s">
        <v>22</v>
      </c>
      <c r="C14" s="9"/>
      <c r="D14" s="9">
        <v>97900</v>
      </c>
      <c r="E14" s="9"/>
      <c r="F14" s="9"/>
      <c r="G14" s="9">
        <f t="shared" si="0"/>
        <v>97900</v>
      </c>
      <c r="H14">
        <f t="shared" si="1"/>
        <v>45.01</v>
      </c>
      <c r="I14" s="10">
        <f t="shared" si="2"/>
        <v>0.14199999999999999</v>
      </c>
      <c r="J14">
        <f>ROUND(G14/P14-1,2)</f>
        <v>-0.04</v>
      </c>
      <c r="P14">
        <v>102140</v>
      </c>
    </row>
    <row r="15" spans="1:16" x14ac:dyDescent="0.25">
      <c r="A15" t="s">
        <v>20</v>
      </c>
      <c r="B15" t="s">
        <v>23</v>
      </c>
      <c r="C15" s="9"/>
      <c r="D15" s="9"/>
      <c r="E15" s="9"/>
      <c r="F15" s="9">
        <v>630</v>
      </c>
      <c r="G15" s="9">
        <f t="shared" si="0"/>
        <v>630</v>
      </c>
      <c r="H15">
        <f t="shared" si="1"/>
        <v>0.28999999999999998</v>
      </c>
      <c r="I15" s="10">
        <f t="shared" si="2"/>
        <v>1E-3</v>
      </c>
      <c r="P15">
        <v>0</v>
      </c>
    </row>
    <row r="16" spans="1:16" x14ac:dyDescent="0.25">
      <c r="A16" t="s">
        <v>20</v>
      </c>
      <c r="B16" t="s">
        <v>80</v>
      </c>
      <c r="C16" s="9"/>
      <c r="D16" s="9"/>
      <c r="E16" s="9"/>
      <c r="F16" s="9">
        <v>400</v>
      </c>
      <c r="G16" s="9">
        <f t="shared" si="0"/>
        <v>400</v>
      </c>
      <c r="H16">
        <f t="shared" si="1"/>
        <v>0.18</v>
      </c>
      <c r="I16" s="10">
        <f t="shared" si="2"/>
        <v>1E-3</v>
      </c>
      <c r="P16">
        <v>0</v>
      </c>
    </row>
    <row r="17" spans="1:16" x14ac:dyDescent="0.25">
      <c r="A17" t="s">
        <v>20</v>
      </c>
      <c r="B17" t="s">
        <v>25</v>
      </c>
      <c r="C17" s="9"/>
      <c r="D17" s="9">
        <v>106040</v>
      </c>
      <c r="E17" s="9"/>
      <c r="F17" s="9"/>
      <c r="G17" s="9">
        <f t="shared" si="0"/>
        <v>106040</v>
      </c>
      <c r="H17">
        <f t="shared" si="1"/>
        <v>48.75</v>
      </c>
      <c r="I17" s="10">
        <f t="shared" si="2"/>
        <v>0.154</v>
      </c>
      <c r="J17">
        <f>ROUND(G17/P17-1,2)</f>
        <v>0.03</v>
      </c>
      <c r="P17">
        <v>102800</v>
      </c>
    </row>
    <row r="18" spans="1:16" x14ac:dyDescent="0.25">
      <c r="A18" t="s">
        <v>20</v>
      </c>
      <c r="B18" t="s">
        <v>69</v>
      </c>
      <c r="C18" s="9"/>
      <c r="D18" s="9"/>
      <c r="E18" s="9">
        <v>2110</v>
      </c>
      <c r="F18" s="9"/>
      <c r="G18" s="9">
        <f t="shared" si="0"/>
        <v>2110</v>
      </c>
      <c r="H18">
        <f t="shared" si="1"/>
        <v>0.97</v>
      </c>
      <c r="I18" s="10">
        <f t="shared" si="2"/>
        <v>3.0000000000000001E-3</v>
      </c>
      <c r="P18">
        <v>0</v>
      </c>
    </row>
    <row r="19" spans="1:16" x14ac:dyDescent="0.25">
      <c r="A19" t="s">
        <v>20</v>
      </c>
      <c r="B19" t="s">
        <v>26</v>
      </c>
      <c r="C19" s="9"/>
      <c r="D19" s="9">
        <v>159860</v>
      </c>
      <c r="E19" s="9"/>
      <c r="F19" s="9">
        <v>60</v>
      </c>
      <c r="G19" s="9">
        <f t="shared" si="0"/>
        <v>159920</v>
      </c>
      <c r="H19">
        <f t="shared" si="1"/>
        <v>73.53</v>
      </c>
      <c r="I19" s="10">
        <f t="shared" si="2"/>
        <v>0.23200000000000001</v>
      </c>
      <c r="J19">
        <f>ROUND(G19/P19-1,2)</f>
        <v>0.4</v>
      </c>
      <c r="P19">
        <v>114600</v>
      </c>
    </row>
    <row r="20" spans="1:16" x14ac:dyDescent="0.25">
      <c r="A20" t="s">
        <v>20</v>
      </c>
      <c r="B20" t="s">
        <v>29</v>
      </c>
      <c r="C20" s="9"/>
      <c r="D20" s="9"/>
      <c r="E20" s="9">
        <v>227</v>
      </c>
      <c r="F20" s="9"/>
      <c r="G20" s="9">
        <f t="shared" si="0"/>
        <v>227</v>
      </c>
      <c r="H20">
        <f t="shared" si="1"/>
        <v>0.1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30</v>
      </c>
      <c r="C21" s="9"/>
      <c r="D21" s="9"/>
      <c r="E21" s="9">
        <v>2580</v>
      </c>
      <c r="F21" s="9"/>
      <c r="G21" s="9">
        <f t="shared" si="0"/>
        <v>2580</v>
      </c>
      <c r="H21">
        <f t="shared" si="1"/>
        <v>1.19</v>
      </c>
      <c r="I21" s="10">
        <f t="shared" si="2"/>
        <v>4.0000000000000001E-3</v>
      </c>
      <c r="P21">
        <v>0</v>
      </c>
    </row>
    <row r="22" spans="1:16" x14ac:dyDescent="0.25">
      <c r="A22" t="s">
        <v>20</v>
      </c>
      <c r="B22" t="s">
        <v>31</v>
      </c>
      <c r="C22" s="9"/>
      <c r="D22" s="9"/>
      <c r="E22" s="9">
        <v>180</v>
      </c>
      <c r="F22" s="9"/>
      <c r="G22" s="9">
        <f t="shared" si="0"/>
        <v>180</v>
      </c>
      <c r="H22">
        <f t="shared" si="1"/>
        <v>0.08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43</v>
      </c>
      <c r="C23" s="9"/>
      <c r="D23" s="9">
        <v>148</v>
      </c>
      <c r="E23" s="9"/>
      <c r="F23" s="9"/>
      <c r="G23" s="9">
        <f t="shared" si="0"/>
        <v>148</v>
      </c>
      <c r="H23">
        <f t="shared" si="1"/>
        <v>7.0000000000000007E-2</v>
      </c>
      <c r="I23" s="10">
        <f t="shared" si="2"/>
        <v>0</v>
      </c>
      <c r="J23">
        <f>ROUND(G23/P23-1,2)</f>
        <v>0.38</v>
      </c>
      <c r="P23">
        <v>107</v>
      </c>
    </row>
    <row r="24" spans="1:16" x14ac:dyDescent="0.25">
      <c r="A24" t="s">
        <v>20</v>
      </c>
      <c r="B24" t="s">
        <v>70</v>
      </c>
      <c r="C24" s="9"/>
      <c r="D24" s="9"/>
      <c r="E24" s="9">
        <v>580</v>
      </c>
      <c r="F24" s="9"/>
      <c r="G24" s="9">
        <f t="shared" si="0"/>
        <v>580</v>
      </c>
      <c r="H24">
        <f t="shared" si="1"/>
        <v>0.27</v>
      </c>
      <c r="I24" s="10">
        <f t="shared" si="2"/>
        <v>1E-3</v>
      </c>
      <c r="P24">
        <v>0</v>
      </c>
    </row>
    <row r="25" spans="1:16" x14ac:dyDescent="0.25">
      <c r="A25" t="s">
        <v>20</v>
      </c>
      <c r="B25" t="s">
        <v>34</v>
      </c>
      <c r="C25" s="9"/>
      <c r="D25" s="9">
        <v>280</v>
      </c>
      <c r="E25" s="9"/>
      <c r="F25" s="9"/>
      <c r="G25" s="9">
        <f t="shared" si="0"/>
        <v>280</v>
      </c>
      <c r="H25">
        <f t="shared" si="1"/>
        <v>0.13</v>
      </c>
      <c r="I25" s="10">
        <f t="shared" si="2"/>
        <v>0</v>
      </c>
      <c r="J25">
        <f>ROUND(G25/P25-1,2)</f>
        <v>0.92</v>
      </c>
      <c r="P25">
        <v>146</v>
      </c>
    </row>
    <row r="26" spans="1:16" x14ac:dyDescent="0.25">
      <c r="A26" t="s">
        <v>20</v>
      </c>
      <c r="B26" t="s">
        <v>35</v>
      </c>
      <c r="C26" s="9"/>
      <c r="D26" s="9"/>
      <c r="E26" s="9">
        <v>1340</v>
      </c>
      <c r="F26" s="9"/>
      <c r="G26" s="9">
        <f t="shared" si="0"/>
        <v>1340</v>
      </c>
      <c r="H26">
        <f t="shared" si="1"/>
        <v>0.62</v>
      </c>
      <c r="I26" s="10">
        <f t="shared" si="2"/>
        <v>2E-3</v>
      </c>
      <c r="P26">
        <v>0</v>
      </c>
    </row>
    <row r="27" spans="1:16" x14ac:dyDescent="0.25">
      <c r="A27" t="s">
        <v>20</v>
      </c>
      <c r="B27" t="s">
        <v>41</v>
      </c>
      <c r="C27" s="9"/>
      <c r="D27" s="9"/>
      <c r="E27" s="9">
        <v>4032</v>
      </c>
      <c r="F27" s="9"/>
      <c r="G27" s="9">
        <f t="shared" si="0"/>
        <v>4032</v>
      </c>
      <c r="H27">
        <f t="shared" si="1"/>
        <v>1.85</v>
      </c>
      <c r="I27" s="10">
        <f t="shared" si="2"/>
        <v>6.0000000000000001E-3</v>
      </c>
      <c r="P27">
        <v>0</v>
      </c>
    </row>
    <row r="28" spans="1:16" x14ac:dyDescent="0.25">
      <c r="A28" t="s">
        <v>20</v>
      </c>
      <c r="B28" t="s">
        <v>36</v>
      </c>
      <c r="C28" s="9"/>
      <c r="D28" s="9"/>
      <c r="E28" s="9">
        <v>1170</v>
      </c>
      <c r="F28" s="9"/>
      <c r="G28" s="9">
        <f t="shared" si="0"/>
        <v>1170</v>
      </c>
      <c r="H28">
        <f t="shared" si="1"/>
        <v>0.54</v>
      </c>
      <c r="I28" s="10">
        <f t="shared" si="2"/>
        <v>2E-3</v>
      </c>
      <c r="P28">
        <v>0</v>
      </c>
    </row>
    <row r="29" spans="1:16" x14ac:dyDescent="0.25">
      <c r="A29" t="s">
        <v>20</v>
      </c>
      <c r="B29" t="s">
        <v>37</v>
      </c>
      <c r="C29" s="9"/>
      <c r="D29" s="9"/>
      <c r="E29" s="9">
        <v>22030</v>
      </c>
      <c r="F29" s="9"/>
      <c r="G29" s="9">
        <f t="shared" si="0"/>
        <v>22030</v>
      </c>
      <c r="H29">
        <f t="shared" si="1"/>
        <v>10.130000000000001</v>
      </c>
      <c r="I29" s="10">
        <f t="shared" si="2"/>
        <v>3.2000000000000001E-2</v>
      </c>
      <c r="P29">
        <v>0</v>
      </c>
    </row>
    <row r="30" spans="1:16" x14ac:dyDescent="0.25">
      <c r="A30" t="s">
        <v>20</v>
      </c>
      <c r="B30" t="s">
        <v>40</v>
      </c>
      <c r="C30" s="9"/>
      <c r="D30" s="9"/>
      <c r="E30" s="9">
        <v>27390</v>
      </c>
      <c r="F30" s="9"/>
      <c r="G30" s="9">
        <f t="shared" si="0"/>
        <v>27390</v>
      </c>
      <c r="H30">
        <f t="shared" si="1"/>
        <v>12.59</v>
      </c>
      <c r="I30" s="10">
        <f t="shared" si="2"/>
        <v>0.04</v>
      </c>
      <c r="P30">
        <v>0</v>
      </c>
    </row>
    <row r="31" spans="1:16" x14ac:dyDescent="0.25">
      <c r="A31" t="s">
        <v>20</v>
      </c>
      <c r="B31" t="s">
        <v>67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44</v>
      </c>
      <c r="B33" t="s">
        <v>45</v>
      </c>
      <c r="C33" s="9">
        <v>147370</v>
      </c>
      <c r="D33" s="9"/>
      <c r="E33" s="9"/>
      <c r="F33" s="9"/>
      <c r="G33" s="9">
        <f t="shared" si="0"/>
        <v>147370</v>
      </c>
      <c r="H33">
        <f t="shared" si="1"/>
        <v>67.760000000000005</v>
      </c>
      <c r="I33" s="10">
        <f t="shared" si="2"/>
        <v>0.214</v>
      </c>
      <c r="J33">
        <f>ROUND(G33/P33-1,2)</f>
        <v>0.02</v>
      </c>
      <c r="P33">
        <v>143990</v>
      </c>
    </row>
    <row r="34" spans="1:16" x14ac:dyDescent="0.25">
      <c r="A34" t="s">
        <v>44</v>
      </c>
      <c r="B34" t="s">
        <v>46</v>
      </c>
      <c r="C34" s="9"/>
      <c r="D34" s="9"/>
      <c r="E34" s="9">
        <v>5860</v>
      </c>
      <c r="F34" s="9"/>
      <c r="G34" s="9">
        <f t="shared" si="0"/>
        <v>5860</v>
      </c>
      <c r="H34">
        <f t="shared" si="1"/>
        <v>2.69</v>
      </c>
      <c r="I34" s="10">
        <f t="shared" si="2"/>
        <v>8.9999999999999993E-3</v>
      </c>
      <c r="P34">
        <v>0</v>
      </c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3">SUM(C8:C34)</f>
        <v>147370</v>
      </c>
      <c r="D49" s="12">
        <f t="shared" si="3"/>
        <v>472388</v>
      </c>
      <c r="E49" s="12">
        <f t="shared" si="3"/>
        <v>67499</v>
      </c>
      <c r="F49" s="12">
        <f t="shared" si="3"/>
        <v>1965</v>
      </c>
      <c r="G49" s="12">
        <f t="shared" si="3"/>
        <v>689222</v>
      </c>
      <c r="H49" s="11">
        <f t="shared" si="3"/>
        <v>316.89</v>
      </c>
      <c r="I49" s="4"/>
    </row>
    <row r="50" spans="1:10" x14ac:dyDescent="0.25">
      <c r="A50" s="11" t="s">
        <v>14</v>
      </c>
      <c r="C50" s="13">
        <f>ROUND(C49/G49,2)</f>
        <v>0.21</v>
      </c>
      <c r="D50" s="13">
        <f>ROUND(D49/G49,2)</f>
        <v>0.69</v>
      </c>
      <c r="E50" s="13">
        <f>ROUND(E49/G49,2)</f>
        <v>0.1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0</v>
      </c>
      <c r="D54" s="15">
        <v>472388</v>
      </c>
      <c r="E54" s="15">
        <v>61639</v>
      </c>
      <c r="F54" s="15">
        <v>1090</v>
      </c>
      <c r="G54" s="15">
        <f>SUM(C54:F54)</f>
        <v>535117</v>
      </c>
      <c r="H54" s="17">
        <f>ROUND(G54/2175,2)</f>
        <v>246.03</v>
      </c>
      <c r="I54" s="4"/>
      <c r="J54" s="4"/>
    </row>
    <row r="55" spans="1:10" x14ac:dyDescent="0.25">
      <c r="A55" s="33" t="s">
        <v>50</v>
      </c>
      <c r="B55" s="33"/>
      <c r="C55" s="15">
        <v>147370</v>
      </c>
      <c r="D55" s="15">
        <v>0</v>
      </c>
      <c r="E55" s="15">
        <v>5860</v>
      </c>
      <c r="F55" s="15">
        <v>0</v>
      </c>
      <c r="G55" s="15">
        <f>SUM(C55:F55)</f>
        <v>153230</v>
      </c>
      <c r="H55" s="17">
        <f>ROUND(G55/2175,2)</f>
        <v>70.45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875</v>
      </c>
      <c r="G56" s="15">
        <f>SUM(C56:F56)</f>
        <v>875</v>
      </c>
      <c r="H56" s="17">
        <f>ROUND(G56/2175,2)</f>
        <v>0.4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ROUND(0.7849, 4)</f>
        <v>0.78490000000000004</v>
      </c>
      <c r="D60" s="19">
        <f>ROUND(0.7471, 4)</f>
        <v>0.74709999999999999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ROUND(0.7148, 4)</f>
        <v>0.71479999999999999</v>
      </c>
      <c r="D61" s="19">
        <f>ROUND(0.6648, 4)</f>
        <v>0.66479999999999995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107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67.760000000000005</v>
      </c>
      <c r="D64" s="17">
        <v>63.85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73.53</v>
      </c>
      <c r="D65" s="17">
        <v>74.650000000000006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6">
        <v>246.03</v>
      </c>
      <c r="D66" s="16">
        <v>252.09</v>
      </c>
      <c r="E66" s="16">
        <v>291.85000000000002</v>
      </c>
      <c r="F66" s="16">
        <v>285.41000000000003</v>
      </c>
    </row>
    <row r="67" spans="1:10" x14ac:dyDescent="0.25">
      <c r="A67" s="32" t="s">
        <v>62</v>
      </c>
      <c r="B67" s="32"/>
      <c r="C67" s="16">
        <v>70.45</v>
      </c>
      <c r="D67" s="16">
        <v>74.2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P74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7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108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436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17540</v>
      </c>
      <c r="D9" s="9"/>
      <c r="E9" s="9">
        <v>1667.66</v>
      </c>
      <c r="F9" s="9"/>
      <c r="G9" s="9">
        <f t="shared" ref="G9:G32" si="0">SUM(C9:F9)</f>
        <v>19207.66</v>
      </c>
      <c r="H9">
        <f t="shared" ref="H9:H32" si="1">ROUND(G9/436,2)</f>
        <v>44.05</v>
      </c>
      <c r="I9" s="10">
        <f t="shared" ref="I9:I32" si="2">ROUND(G9/$G$49,3)</f>
        <v>0.105</v>
      </c>
      <c r="J9">
        <f t="shared" ref="J9:J16" si="3">ROUND(G9/P9-1,2)</f>
        <v>0.05</v>
      </c>
      <c r="P9">
        <v>18277.52</v>
      </c>
    </row>
    <row r="10" spans="1:16" x14ac:dyDescent="0.25">
      <c r="A10" t="s">
        <v>20</v>
      </c>
      <c r="B10" t="s">
        <v>22</v>
      </c>
      <c r="C10" s="9">
        <v>32490</v>
      </c>
      <c r="D10" s="9"/>
      <c r="E10" s="9"/>
      <c r="F10" s="9"/>
      <c r="G10" s="9">
        <f t="shared" si="0"/>
        <v>32490</v>
      </c>
      <c r="H10">
        <f t="shared" si="1"/>
        <v>74.52</v>
      </c>
      <c r="I10" s="10">
        <f t="shared" si="2"/>
        <v>0.17799999999999999</v>
      </c>
      <c r="J10">
        <f t="shared" si="3"/>
        <v>0.42</v>
      </c>
      <c r="P10">
        <v>22890</v>
      </c>
    </row>
    <row r="11" spans="1:16" x14ac:dyDescent="0.25">
      <c r="A11" t="s">
        <v>20</v>
      </c>
      <c r="B11" t="s">
        <v>42</v>
      </c>
      <c r="C11" s="9"/>
      <c r="D11" s="9"/>
      <c r="E11" s="9">
        <v>34.29</v>
      </c>
      <c r="F11" s="9"/>
      <c r="G11" s="9">
        <f t="shared" si="0"/>
        <v>34.29</v>
      </c>
      <c r="H11">
        <f t="shared" si="1"/>
        <v>0.08</v>
      </c>
      <c r="I11" s="10">
        <f t="shared" si="2"/>
        <v>0</v>
      </c>
      <c r="J11">
        <f t="shared" si="3"/>
        <v>-0.46</v>
      </c>
      <c r="P11">
        <v>63.16</v>
      </c>
    </row>
    <row r="12" spans="1:16" x14ac:dyDescent="0.25">
      <c r="A12" t="s">
        <v>20</v>
      </c>
      <c r="B12" t="s">
        <v>24</v>
      </c>
      <c r="C12" s="9"/>
      <c r="D12" s="9"/>
      <c r="E12" s="9">
        <v>4286.17</v>
      </c>
      <c r="F12" s="9"/>
      <c r="G12" s="9">
        <f t="shared" si="0"/>
        <v>4286.17</v>
      </c>
      <c r="H12">
        <f t="shared" si="1"/>
        <v>9.83</v>
      </c>
      <c r="I12" s="10">
        <f t="shared" si="2"/>
        <v>2.3E-2</v>
      </c>
      <c r="J12">
        <f t="shared" si="3"/>
        <v>-0.8</v>
      </c>
      <c r="P12">
        <v>21850.39</v>
      </c>
    </row>
    <row r="13" spans="1:16" x14ac:dyDescent="0.25">
      <c r="A13" t="s">
        <v>20</v>
      </c>
      <c r="B13" t="s">
        <v>25</v>
      </c>
      <c r="C13" s="9">
        <v>26120</v>
      </c>
      <c r="D13" s="9"/>
      <c r="E13" s="9">
        <v>1761.06</v>
      </c>
      <c r="F13" s="9"/>
      <c r="G13" s="9">
        <f t="shared" si="0"/>
        <v>27881.06</v>
      </c>
      <c r="H13">
        <f t="shared" si="1"/>
        <v>63.95</v>
      </c>
      <c r="I13" s="10">
        <f t="shared" si="2"/>
        <v>0.153</v>
      </c>
      <c r="J13">
        <f t="shared" si="3"/>
        <v>-0.12</v>
      </c>
      <c r="P13">
        <v>31701.95</v>
      </c>
    </row>
    <row r="14" spans="1:16" x14ac:dyDescent="0.25">
      <c r="A14" t="s">
        <v>20</v>
      </c>
      <c r="B14" t="s">
        <v>26</v>
      </c>
      <c r="C14" s="9">
        <v>18060</v>
      </c>
      <c r="D14" s="9"/>
      <c r="E14" s="9"/>
      <c r="F14" s="9"/>
      <c r="G14" s="9">
        <f t="shared" si="0"/>
        <v>18060</v>
      </c>
      <c r="H14">
        <f t="shared" si="1"/>
        <v>41.42</v>
      </c>
      <c r="I14" s="10">
        <f t="shared" si="2"/>
        <v>9.9000000000000005E-2</v>
      </c>
      <c r="J14">
        <f t="shared" si="3"/>
        <v>-0.31</v>
      </c>
      <c r="P14">
        <v>26120</v>
      </c>
    </row>
    <row r="15" spans="1:16" x14ac:dyDescent="0.25">
      <c r="A15" t="s">
        <v>20</v>
      </c>
      <c r="B15" t="s">
        <v>30</v>
      </c>
      <c r="C15" s="9"/>
      <c r="D15" s="9"/>
      <c r="E15" s="9">
        <v>208.89</v>
      </c>
      <c r="F15" s="9"/>
      <c r="G15" s="9">
        <f t="shared" si="0"/>
        <v>208.89</v>
      </c>
      <c r="H15">
        <f t="shared" si="1"/>
        <v>0.48</v>
      </c>
      <c r="I15" s="10">
        <f t="shared" si="2"/>
        <v>1E-3</v>
      </c>
      <c r="J15">
        <f t="shared" si="3"/>
        <v>-0.9</v>
      </c>
      <c r="P15">
        <v>2136.9299999999998</v>
      </c>
    </row>
    <row r="16" spans="1:16" x14ac:dyDescent="0.25">
      <c r="A16" t="s">
        <v>20</v>
      </c>
      <c r="B16" t="s">
        <v>31</v>
      </c>
      <c r="C16" s="9"/>
      <c r="D16" s="9"/>
      <c r="E16" s="9">
        <v>76.13</v>
      </c>
      <c r="F16" s="9"/>
      <c r="G16" s="9">
        <f t="shared" si="0"/>
        <v>76.13</v>
      </c>
      <c r="H16">
        <f t="shared" si="1"/>
        <v>0.17</v>
      </c>
      <c r="I16" s="10">
        <f t="shared" si="2"/>
        <v>0</v>
      </c>
      <c r="J16">
        <f t="shared" si="3"/>
        <v>-0.55000000000000004</v>
      </c>
      <c r="P16">
        <v>167.72</v>
      </c>
    </row>
    <row r="17" spans="1:16" x14ac:dyDescent="0.25">
      <c r="A17" t="s">
        <v>20</v>
      </c>
      <c r="B17" t="s">
        <v>33</v>
      </c>
      <c r="C17" s="9"/>
      <c r="D17" s="9"/>
      <c r="E17" s="9">
        <v>520</v>
      </c>
      <c r="F17" s="9"/>
      <c r="G17" s="9">
        <f t="shared" si="0"/>
        <v>520</v>
      </c>
      <c r="H17">
        <f t="shared" si="1"/>
        <v>1.19</v>
      </c>
      <c r="I17" s="10">
        <f t="shared" si="2"/>
        <v>3.0000000000000001E-3</v>
      </c>
      <c r="P17">
        <v>0</v>
      </c>
    </row>
    <row r="18" spans="1:16" x14ac:dyDescent="0.25">
      <c r="A18" t="s">
        <v>20</v>
      </c>
      <c r="B18" t="s">
        <v>34</v>
      </c>
      <c r="C18" s="9"/>
      <c r="D18" s="9"/>
      <c r="E18" s="9">
        <v>188.33</v>
      </c>
      <c r="F18" s="9"/>
      <c r="G18" s="9">
        <f t="shared" si="0"/>
        <v>188.33</v>
      </c>
      <c r="H18">
        <f t="shared" si="1"/>
        <v>0.43</v>
      </c>
      <c r="I18" s="10">
        <f t="shared" si="2"/>
        <v>1E-3</v>
      </c>
      <c r="J18">
        <f t="shared" ref="J18:J23" si="4">ROUND(G18/P18-1,2)</f>
        <v>-0.24</v>
      </c>
      <c r="P18">
        <v>247.89</v>
      </c>
    </row>
    <row r="19" spans="1:16" x14ac:dyDescent="0.25">
      <c r="A19" t="s">
        <v>20</v>
      </c>
      <c r="B19" t="s">
        <v>35</v>
      </c>
      <c r="C19" s="9"/>
      <c r="D19" s="9"/>
      <c r="E19" s="9">
        <v>541.9</v>
      </c>
      <c r="F19" s="9"/>
      <c r="G19" s="9">
        <f t="shared" si="0"/>
        <v>541.9</v>
      </c>
      <c r="H19">
        <f t="shared" si="1"/>
        <v>1.24</v>
      </c>
      <c r="I19" s="10">
        <f t="shared" si="2"/>
        <v>3.0000000000000001E-3</v>
      </c>
      <c r="J19">
        <f t="shared" si="4"/>
        <v>-0.62</v>
      </c>
      <c r="P19">
        <v>1438.38</v>
      </c>
    </row>
    <row r="20" spans="1:16" x14ac:dyDescent="0.25">
      <c r="A20" t="s">
        <v>20</v>
      </c>
      <c r="B20" t="s">
        <v>36</v>
      </c>
      <c r="C20" s="9"/>
      <c r="D20" s="9"/>
      <c r="E20" s="9">
        <v>162.22</v>
      </c>
      <c r="F20" s="9"/>
      <c r="G20" s="9">
        <f t="shared" si="0"/>
        <v>162.22</v>
      </c>
      <c r="H20">
        <f t="shared" si="1"/>
        <v>0.37</v>
      </c>
      <c r="I20" s="10">
        <f t="shared" si="2"/>
        <v>1E-3</v>
      </c>
      <c r="J20">
        <f t="shared" si="4"/>
        <v>-0.92</v>
      </c>
      <c r="P20">
        <v>1973.92</v>
      </c>
    </row>
    <row r="21" spans="1:16" x14ac:dyDescent="0.25">
      <c r="A21" t="s">
        <v>20</v>
      </c>
      <c r="B21" t="s">
        <v>37</v>
      </c>
      <c r="C21" s="9"/>
      <c r="D21" s="9"/>
      <c r="E21" s="9">
        <v>6641.66</v>
      </c>
      <c r="F21" s="9"/>
      <c r="G21" s="9">
        <f t="shared" si="0"/>
        <v>6641.66</v>
      </c>
      <c r="H21">
        <f t="shared" si="1"/>
        <v>15.23</v>
      </c>
      <c r="I21" s="10">
        <f t="shared" si="2"/>
        <v>3.5999999999999997E-2</v>
      </c>
      <c r="J21">
        <f t="shared" si="4"/>
        <v>-0.62</v>
      </c>
      <c r="P21">
        <v>17357.36</v>
      </c>
    </row>
    <row r="22" spans="1:16" x14ac:dyDescent="0.25">
      <c r="A22" t="s">
        <v>20</v>
      </c>
      <c r="B22" t="s">
        <v>39</v>
      </c>
      <c r="C22" s="9"/>
      <c r="D22" s="9"/>
      <c r="E22" s="9">
        <v>2472.19</v>
      </c>
      <c r="F22" s="9"/>
      <c r="G22" s="9">
        <f t="shared" si="0"/>
        <v>2472.19</v>
      </c>
      <c r="H22">
        <f t="shared" si="1"/>
        <v>5.67</v>
      </c>
      <c r="I22" s="10">
        <f t="shared" si="2"/>
        <v>1.4E-2</v>
      </c>
      <c r="J22">
        <f t="shared" si="4"/>
        <v>-0.59</v>
      </c>
      <c r="P22">
        <v>5957.19</v>
      </c>
    </row>
    <row r="23" spans="1:16" x14ac:dyDescent="0.25">
      <c r="A23" t="s">
        <v>20</v>
      </c>
      <c r="B23" t="s">
        <v>40</v>
      </c>
      <c r="C23" s="9"/>
      <c r="D23" s="9"/>
      <c r="E23" s="9">
        <v>1039.82</v>
      </c>
      <c r="F23" s="9"/>
      <c r="G23" s="9">
        <f t="shared" si="0"/>
        <v>1039.82</v>
      </c>
      <c r="H23">
        <f t="shared" si="1"/>
        <v>2.38</v>
      </c>
      <c r="I23" s="10">
        <f t="shared" si="2"/>
        <v>6.0000000000000001E-3</v>
      </c>
      <c r="J23">
        <f t="shared" si="4"/>
        <v>-0.67</v>
      </c>
      <c r="P23">
        <v>3121.75</v>
      </c>
    </row>
    <row r="24" spans="1:16" x14ac:dyDescent="0.25">
      <c r="A24" t="s">
        <v>20</v>
      </c>
      <c r="B24" t="s">
        <v>23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29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32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43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64420</v>
      </c>
      <c r="D29" s="9"/>
      <c r="E29" s="9"/>
      <c r="F29" s="9">
        <v>220</v>
      </c>
      <c r="G29" s="9">
        <f t="shared" si="0"/>
        <v>64640</v>
      </c>
      <c r="H29">
        <f t="shared" si="1"/>
        <v>148.26</v>
      </c>
      <c r="I29" s="10">
        <f t="shared" si="2"/>
        <v>0.35399999999999998</v>
      </c>
      <c r="J29">
        <f>ROUND(G29/P29-1,2)</f>
        <v>0.22</v>
      </c>
      <c r="P29">
        <v>52845</v>
      </c>
    </row>
    <row r="30" spans="1:16" x14ac:dyDescent="0.25">
      <c r="A30" t="s">
        <v>44</v>
      </c>
      <c r="B30" t="s">
        <v>46</v>
      </c>
      <c r="C30" s="9"/>
      <c r="D30" s="9"/>
      <c r="E30" s="9">
        <v>4301.25</v>
      </c>
      <c r="F30" s="9"/>
      <c r="G30" s="9">
        <f t="shared" si="0"/>
        <v>4301.25</v>
      </c>
      <c r="H30">
        <f t="shared" si="1"/>
        <v>9.8699999999999992</v>
      </c>
      <c r="I30" s="10">
        <f t="shared" si="2"/>
        <v>2.4E-2</v>
      </c>
      <c r="J30">
        <f>ROUND(G30/P30-1,2)</f>
        <v>-0.56999999999999995</v>
      </c>
      <c r="P30">
        <v>10053.9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>ROUND(G32/P32-1,2)</f>
        <v>-1</v>
      </c>
      <c r="P32">
        <v>14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SUM(C8:C32)</f>
        <v>158630</v>
      </c>
      <c r="D49" s="12">
        <f t="shared" si="5"/>
        <v>0</v>
      </c>
      <c r="E49" s="12">
        <f t="shared" si="5"/>
        <v>23901.57</v>
      </c>
      <c r="F49" s="12">
        <f t="shared" si="5"/>
        <v>220</v>
      </c>
      <c r="G49" s="12">
        <f t="shared" si="5"/>
        <v>182751.57</v>
      </c>
      <c r="H49" s="11">
        <f t="shared" si="5"/>
        <v>419.14</v>
      </c>
      <c r="I49" s="4"/>
    </row>
    <row r="50" spans="1:10" x14ac:dyDescent="0.25">
      <c r="A50" s="11" t="s">
        <v>14</v>
      </c>
      <c r="C50" s="13">
        <f>ROUND(C49/G49,2)</f>
        <v>0.87</v>
      </c>
      <c r="D50" s="13">
        <f>ROUND(D49/G49,2)</f>
        <v>0</v>
      </c>
      <c r="E50" s="13">
        <f>ROUND(E49/G49,2)</f>
        <v>0.13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94210</v>
      </c>
      <c r="D54" s="15">
        <v>0</v>
      </c>
      <c r="E54" s="15">
        <v>19600.32</v>
      </c>
      <c r="F54" s="15">
        <v>0</v>
      </c>
      <c r="G54" s="15">
        <f>SUM(C54:F54)</f>
        <v>113810.32</v>
      </c>
      <c r="H54" s="17">
        <f>ROUND(G54/436,2)</f>
        <v>261.02999999999997</v>
      </c>
      <c r="I54" s="4"/>
      <c r="J54" s="4"/>
    </row>
    <row r="55" spans="1:10" x14ac:dyDescent="0.25">
      <c r="A55" s="33" t="s">
        <v>50</v>
      </c>
      <c r="B55" s="33"/>
      <c r="C55" s="15">
        <v>64420</v>
      </c>
      <c r="D55" s="15">
        <v>0</v>
      </c>
      <c r="E55" s="15">
        <v>4301.25</v>
      </c>
      <c r="F55" s="15">
        <v>220</v>
      </c>
      <c r="G55" s="15">
        <f>SUM(C55:F55)</f>
        <v>68941.25</v>
      </c>
      <c r="H55" s="17">
        <f>ROUND(G55/436,2)</f>
        <v>158.12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ROUND(G56/436,2)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ROUND(0.6352, 4)</f>
        <v>0.63519999999999999</v>
      </c>
      <c r="D60" s="19">
        <f>ROUND(0.7228, 4)</f>
        <v>0.7228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ROUND(0.5952, 4)</f>
        <v>0.59519999999999995</v>
      </c>
      <c r="D61" s="19">
        <f>ROUND(0.6875, 4)</f>
        <v>0.6875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109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148.26</v>
      </c>
      <c r="D64" s="17">
        <v>124.03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41.42</v>
      </c>
      <c r="D65" s="17">
        <v>54.28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261.02999999999997</v>
      </c>
      <c r="D66" s="17">
        <v>314.8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158.12</v>
      </c>
      <c r="D67" s="17">
        <v>162.32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71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4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110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3142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>
        <v>10</v>
      </c>
      <c r="F9" s="9"/>
      <c r="G9" s="9">
        <f t="shared" ref="G9:G39" si="0">SUM(C9:F9)</f>
        <v>10</v>
      </c>
      <c r="H9">
        <f t="shared" ref="H9:H39" si="1">ROUND(G9/3142,2)</f>
        <v>0</v>
      </c>
      <c r="I9" s="10">
        <f t="shared" ref="I9:I39" si="2">ROUND(G9/$G$49,3)</f>
        <v>0</v>
      </c>
      <c r="J9">
        <f t="shared" ref="J9:J20" si="3">ROUND(G9/P9-1,2)</f>
        <v>-0.5</v>
      </c>
      <c r="P9">
        <v>20</v>
      </c>
    </row>
    <row r="10" spans="1:16" x14ac:dyDescent="0.25">
      <c r="A10" t="s">
        <v>20</v>
      </c>
      <c r="B10" t="s">
        <v>67</v>
      </c>
      <c r="C10" s="9"/>
      <c r="D10" s="9"/>
      <c r="E10" s="9">
        <v>80</v>
      </c>
      <c r="F10" s="9"/>
      <c r="G10" s="9">
        <f t="shared" si="0"/>
        <v>80</v>
      </c>
      <c r="H10">
        <f t="shared" si="1"/>
        <v>0.03</v>
      </c>
      <c r="I10" s="10">
        <f t="shared" si="2"/>
        <v>0</v>
      </c>
      <c r="J10">
        <f t="shared" si="3"/>
        <v>0.05</v>
      </c>
      <c r="P10">
        <v>76</v>
      </c>
    </row>
    <row r="11" spans="1:16" x14ac:dyDescent="0.25">
      <c r="A11" t="s">
        <v>20</v>
      </c>
      <c r="B11" t="s">
        <v>21</v>
      </c>
      <c r="C11" s="9">
        <v>99820</v>
      </c>
      <c r="D11" s="9"/>
      <c r="E11" s="9"/>
      <c r="F11" s="9">
        <v>1050</v>
      </c>
      <c r="G11" s="9">
        <f t="shared" si="0"/>
        <v>100870</v>
      </c>
      <c r="H11">
        <f t="shared" si="1"/>
        <v>32.1</v>
      </c>
      <c r="I11" s="10">
        <f t="shared" si="2"/>
        <v>0.105</v>
      </c>
      <c r="J11">
        <f t="shared" si="3"/>
        <v>0.02</v>
      </c>
      <c r="P11">
        <v>98940</v>
      </c>
    </row>
    <row r="12" spans="1:16" x14ac:dyDescent="0.25">
      <c r="A12" t="s">
        <v>20</v>
      </c>
      <c r="B12" t="s">
        <v>22</v>
      </c>
      <c r="C12" s="9">
        <v>145360</v>
      </c>
      <c r="D12" s="9"/>
      <c r="E12" s="9"/>
      <c r="F12" s="9"/>
      <c r="G12" s="9">
        <f t="shared" si="0"/>
        <v>145360</v>
      </c>
      <c r="H12">
        <f t="shared" si="1"/>
        <v>46.26</v>
      </c>
      <c r="I12" s="10">
        <f t="shared" si="2"/>
        <v>0.152</v>
      </c>
      <c r="J12">
        <f t="shared" si="3"/>
        <v>-0.06</v>
      </c>
      <c r="P12">
        <v>155180</v>
      </c>
    </row>
    <row r="13" spans="1:16" x14ac:dyDescent="0.25">
      <c r="A13" t="s">
        <v>20</v>
      </c>
      <c r="B13" t="s">
        <v>79</v>
      </c>
      <c r="C13" s="9"/>
      <c r="D13" s="9"/>
      <c r="E13" s="9">
        <v>81</v>
      </c>
      <c r="F13" s="9"/>
      <c r="G13" s="9">
        <f t="shared" si="0"/>
        <v>81</v>
      </c>
      <c r="H13">
        <f t="shared" si="1"/>
        <v>0.03</v>
      </c>
      <c r="I13" s="10">
        <f t="shared" si="2"/>
        <v>0</v>
      </c>
      <c r="J13">
        <f t="shared" si="3"/>
        <v>-0.09</v>
      </c>
      <c r="P13">
        <v>89</v>
      </c>
    </row>
    <row r="14" spans="1:16" x14ac:dyDescent="0.25">
      <c r="A14" t="s">
        <v>20</v>
      </c>
      <c r="B14" t="s">
        <v>42</v>
      </c>
      <c r="C14" s="9"/>
      <c r="D14" s="9"/>
      <c r="E14" s="9">
        <v>204</v>
      </c>
      <c r="F14" s="9"/>
      <c r="G14" s="9">
        <f t="shared" si="0"/>
        <v>204</v>
      </c>
      <c r="H14">
        <f t="shared" si="1"/>
        <v>0.06</v>
      </c>
      <c r="I14" s="10">
        <f t="shared" si="2"/>
        <v>0</v>
      </c>
      <c r="J14">
        <f t="shared" si="3"/>
        <v>-0.19</v>
      </c>
      <c r="P14">
        <v>253</v>
      </c>
    </row>
    <row r="15" spans="1:16" x14ac:dyDescent="0.25">
      <c r="A15" t="s">
        <v>20</v>
      </c>
      <c r="B15" t="s">
        <v>24</v>
      </c>
      <c r="C15" s="9"/>
      <c r="D15" s="9"/>
      <c r="E15" s="9">
        <v>20300</v>
      </c>
      <c r="F15" s="9"/>
      <c r="G15" s="9">
        <f t="shared" si="0"/>
        <v>20300</v>
      </c>
      <c r="H15">
        <f t="shared" si="1"/>
        <v>6.46</v>
      </c>
      <c r="I15" s="10">
        <f t="shared" si="2"/>
        <v>2.1000000000000001E-2</v>
      </c>
      <c r="J15">
        <f t="shared" si="3"/>
        <v>-0.48</v>
      </c>
      <c r="P15">
        <v>38800</v>
      </c>
    </row>
    <row r="16" spans="1:16" x14ac:dyDescent="0.25">
      <c r="A16" t="s">
        <v>20</v>
      </c>
      <c r="B16" t="s">
        <v>25</v>
      </c>
      <c r="C16" s="9">
        <v>139100</v>
      </c>
      <c r="D16" s="9"/>
      <c r="E16" s="9"/>
      <c r="F16" s="9">
        <v>580</v>
      </c>
      <c r="G16" s="9">
        <f t="shared" si="0"/>
        <v>139680</v>
      </c>
      <c r="H16">
        <f t="shared" si="1"/>
        <v>44.46</v>
      </c>
      <c r="I16" s="10">
        <f t="shared" si="2"/>
        <v>0.14599999999999999</v>
      </c>
      <c r="J16">
        <f t="shared" si="3"/>
        <v>-0.02</v>
      </c>
      <c r="P16">
        <v>142780</v>
      </c>
    </row>
    <row r="17" spans="1:16" x14ac:dyDescent="0.25">
      <c r="A17" t="s">
        <v>20</v>
      </c>
      <c r="B17" t="s">
        <v>69</v>
      </c>
      <c r="C17" s="9"/>
      <c r="D17" s="9"/>
      <c r="E17" s="9">
        <v>3880</v>
      </c>
      <c r="F17" s="9"/>
      <c r="G17" s="9">
        <f t="shared" si="0"/>
        <v>3880</v>
      </c>
      <c r="H17">
        <f t="shared" si="1"/>
        <v>1.23</v>
      </c>
      <c r="I17" s="10">
        <f t="shared" si="2"/>
        <v>4.0000000000000001E-3</v>
      </c>
      <c r="J17">
        <f t="shared" si="3"/>
        <v>0.35</v>
      </c>
      <c r="P17">
        <v>2880</v>
      </c>
    </row>
    <row r="18" spans="1:16" x14ac:dyDescent="0.25">
      <c r="A18" t="s">
        <v>20</v>
      </c>
      <c r="B18" t="s">
        <v>26</v>
      </c>
      <c r="C18" s="9">
        <v>185800</v>
      </c>
      <c r="D18" s="9"/>
      <c r="E18" s="9"/>
      <c r="F18" s="9">
        <v>900</v>
      </c>
      <c r="G18" s="9">
        <f t="shared" si="0"/>
        <v>186700</v>
      </c>
      <c r="H18">
        <f t="shared" si="1"/>
        <v>59.42</v>
      </c>
      <c r="I18" s="10">
        <f t="shared" si="2"/>
        <v>0.19500000000000001</v>
      </c>
      <c r="J18">
        <f t="shared" si="3"/>
        <v>0.01</v>
      </c>
      <c r="P18">
        <v>183960</v>
      </c>
    </row>
    <row r="19" spans="1:16" x14ac:dyDescent="0.25">
      <c r="A19" t="s">
        <v>20</v>
      </c>
      <c r="B19" t="s">
        <v>27</v>
      </c>
      <c r="C19" s="9"/>
      <c r="D19" s="9"/>
      <c r="E19" s="9">
        <v>178</v>
      </c>
      <c r="F19" s="9"/>
      <c r="G19" s="9">
        <f t="shared" si="0"/>
        <v>178</v>
      </c>
      <c r="H19">
        <f t="shared" si="1"/>
        <v>0.06</v>
      </c>
      <c r="I19" s="10">
        <f t="shared" si="2"/>
        <v>0</v>
      </c>
      <c r="J19">
        <f t="shared" si="3"/>
        <v>-0.55000000000000004</v>
      </c>
      <c r="P19">
        <v>393</v>
      </c>
    </row>
    <row r="20" spans="1:16" x14ac:dyDescent="0.25">
      <c r="A20" t="s">
        <v>20</v>
      </c>
      <c r="B20" t="s">
        <v>28</v>
      </c>
      <c r="C20" s="9"/>
      <c r="D20" s="9"/>
      <c r="E20" s="9">
        <v>146</v>
      </c>
      <c r="F20" s="9"/>
      <c r="G20" s="9">
        <f t="shared" si="0"/>
        <v>146</v>
      </c>
      <c r="H20">
        <f t="shared" si="1"/>
        <v>0.05</v>
      </c>
      <c r="I20" s="10">
        <f t="shared" si="2"/>
        <v>0</v>
      </c>
      <c r="J20">
        <f t="shared" si="3"/>
        <v>1.32</v>
      </c>
      <c r="P20">
        <v>63</v>
      </c>
    </row>
    <row r="21" spans="1:16" x14ac:dyDescent="0.25">
      <c r="A21" t="s">
        <v>20</v>
      </c>
      <c r="B21" t="s">
        <v>29</v>
      </c>
      <c r="C21" s="9"/>
      <c r="D21" s="9"/>
      <c r="E21" s="9">
        <v>343</v>
      </c>
      <c r="F21" s="9"/>
      <c r="G21" s="9">
        <f t="shared" si="0"/>
        <v>343</v>
      </c>
      <c r="H21">
        <f t="shared" si="1"/>
        <v>0.11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30</v>
      </c>
      <c r="C22" s="9"/>
      <c r="D22" s="9"/>
      <c r="E22" s="9">
        <v>5648</v>
      </c>
      <c r="F22" s="9"/>
      <c r="G22" s="9">
        <f t="shared" si="0"/>
        <v>5648</v>
      </c>
      <c r="H22">
        <f t="shared" si="1"/>
        <v>1.8</v>
      </c>
      <c r="I22" s="10">
        <f t="shared" si="2"/>
        <v>6.0000000000000001E-3</v>
      </c>
      <c r="J22">
        <f t="shared" ref="J22:J34" si="4">ROUND(G22/P22-1,2)</f>
        <v>1.3</v>
      </c>
      <c r="P22">
        <v>2460</v>
      </c>
    </row>
    <row r="23" spans="1:16" x14ac:dyDescent="0.25">
      <c r="A23" t="s">
        <v>20</v>
      </c>
      <c r="B23" t="s">
        <v>31</v>
      </c>
      <c r="C23" s="9"/>
      <c r="D23" s="9"/>
      <c r="E23" s="9">
        <v>810</v>
      </c>
      <c r="F23" s="9"/>
      <c r="G23" s="9">
        <f t="shared" si="0"/>
        <v>810</v>
      </c>
      <c r="H23">
        <f t="shared" si="1"/>
        <v>0.26</v>
      </c>
      <c r="I23" s="10">
        <f t="shared" si="2"/>
        <v>1E-3</v>
      </c>
      <c r="J23">
        <f t="shared" si="4"/>
        <v>-0.17</v>
      </c>
      <c r="P23">
        <v>980</v>
      </c>
    </row>
    <row r="24" spans="1:16" x14ac:dyDescent="0.25">
      <c r="A24" t="s">
        <v>20</v>
      </c>
      <c r="B24" t="s">
        <v>32</v>
      </c>
      <c r="C24" s="9"/>
      <c r="D24" s="9"/>
      <c r="E24" s="9">
        <v>350</v>
      </c>
      <c r="F24" s="9"/>
      <c r="G24" s="9">
        <f t="shared" si="0"/>
        <v>350</v>
      </c>
      <c r="H24">
        <f t="shared" si="1"/>
        <v>0.11</v>
      </c>
      <c r="I24" s="10">
        <f t="shared" si="2"/>
        <v>0</v>
      </c>
      <c r="J24">
        <f t="shared" si="4"/>
        <v>-0.26</v>
      </c>
      <c r="P24">
        <v>470</v>
      </c>
    </row>
    <row r="25" spans="1:16" x14ac:dyDescent="0.25">
      <c r="A25" t="s">
        <v>20</v>
      </c>
      <c r="B25" t="s">
        <v>33</v>
      </c>
      <c r="C25" s="9"/>
      <c r="D25" s="9"/>
      <c r="E25" s="9">
        <v>665</v>
      </c>
      <c r="F25" s="9"/>
      <c r="G25" s="9">
        <f t="shared" si="0"/>
        <v>665</v>
      </c>
      <c r="H25">
        <f t="shared" si="1"/>
        <v>0.21</v>
      </c>
      <c r="I25" s="10">
        <f t="shared" si="2"/>
        <v>1E-3</v>
      </c>
      <c r="J25">
        <f t="shared" si="4"/>
        <v>0.3</v>
      </c>
      <c r="P25">
        <v>510</v>
      </c>
    </row>
    <row r="26" spans="1:16" x14ac:dyDescent="0.25">
      <c r="A26" t="s">
        <v>20</v>
      </c>
      <c r="B26" t="s">
        <v>43</v>
      </c>
      <c r="C26" s="9"/>
      <c r="D26" s="9">
        <v>337</v>
      </c>
      <c r="E26" s="9"/>
      <c r="F26" s="9"/>
      <c r="G26" s="9">
        <f t="shared" si="0"/>
        <v>337</v>
      </c>
      <c r="H26">
        <f t="shared" si="1"/>
        <v>0.11</v>
      </c>
      <c r="I26" s="10">
        <f t="shared" si="2"/>
        <v>0</v>
      </c>
      <c r="J26">
        <f t="shared" si="4"/>
        <v>-0.19</v>
      </c>
      <c r="P26">
        <v>417</v>
      </c>
    </row>
    <row r="27" spans="1:16" x14ac:dyDescent="0.25">
      <c r="A27" t="s">
        <v>20</v>
      </c>
      <c r="B27" t="s">
        <v>70</v>
      </c>
      <c r="C27" s="9"/>
      <c r="D27" s="9"/>
      <c r="E27" s="9">
        <v>570</v>
      </c>
      <c r="F27" s="9"/>
      <c r="G27" s="9">
        <f t="shared" si="0"/>
        <v>570</v>
      </c>
      <c r="H27">
        <f t="shared" si="1"/>
        <v>0.18</v>
      </c>
      <c r="I27" s="10">
        <f t="shared" si="2"/>
        <v>1E-3</v>
      </c>
      <c r="J27">
        <f t="shared" si="4"/>
        <v>0.19</v>
      </c>
      <c r="P27">
        <v>480</v>
      </c>
    </row>
    <row r="28" spans="1:16" x14ac:dyDescent="0.25">
      <c r="A28" t="s">
        <v>20</v>
      </c>
      <c r="B28" t="s">
        <v>35</v>
      </c>
      <c r="C28" s="9"/>
      <c r="D28" s="9"/>
      <c r="E28" s="9">
        <v>4167</v>
      </c>
      <c r="F28" s="9"/>
      <c r="G28" s="9">
        <f t="shared" si="0"/>
        <v>4167</v>
      </c>
      <c r="H28">
        <f t="shared" si="1"/>
        <v>1.33</v>
      </c>
      <c r="I28" s="10">
        <f t="shared" si="2"/>
        <v>4.0000000000000001E-3</v>
      </c>
      <c r="J28">
        <f t="shared" si="4"/>
        <v>1.36</v>
      </c>
      <c r="P28">
        <v>1762</v>
      </c>
    </row>
    <row r="29" spans="1:16" x14ac:dyDescent="0.25">
      <c r="A29" t="s">
        <v>20</v>
      </c>
      <c r="B29" t="s">
        <v>36</v>
      </c>
      <c r="C29" s="9"/>
      <c r="D29" s="9"/>
      <c r="E29" s="9">
        <v>4203</v>
      </c>
      <c r="F29" s="9"/>
      <c r="G29" s="9">
        <f t="shared" si="0"/>
        <v>4203</v>
      </c>
      <c r="H29">
        <f t="shared" si="1"/>
        <v>1.34</v>
      </c>
      <c r="I29" s="10">
        <f t="shared" si="2"/>
        <v>4.0000000000000001E-3</v>
      </c>
      <c r="J29">
        <f t="shared" si="4"/>
        <v>-0.34</v>
      </c>
      <c r="P29">
        <v>6321</v>
      </c>
    </row>
    <row r="30" spans="1:16" x14ac:dyDescent="0.25">
      <c r="A30" t="s">
        <v>20</v>
      </c>
      <c r="B30" t="s">
        <v>41</v>
      </c>
      <c r="C30" s="9"/>
      <c r="D30" s="9"/>
      <c r="E30" s="9">
        <v>7541</v>
      </c>
      <c r="F30" s="9"/>
      <c r="G30" s="9">
        <f t="shared" si="0"/>
        <v>7541</v>
      </c>
      <c r="H30">
        <f t="shared" si="1"/>
        <v>2.4</v>
      </c>
      <c r="I30" s="10">
        <f t="shared" si="2"/>
        <v>8.0000000000000002E-3</v>
      </c>
      <c r="J30">
        <f t="shared" si="4"/>
        <v>0.56999999999999995</v>
      </c>
      <c r="P30">
        <v>4789</v>
      </c>
    </row>
    <row r="31" spans="1:16" x14ac:dyDescent="0.25">
      <c r="A31" t="s">
        <v>20</v>
      </c>
      <c r="B31" t="s">
        <v>37</v>
      </c>
      <c r="C31" s="9"/>
      <c r="D31" s="9"/>
      <c r="E31" s="9">
        <v>38700</v>
      </c>
      <c r="F31" s="9"/>
      <c r="G31" s="9">
        <f t="shared" si="0"/>
        <v>38700</v>
      </c>
      <c r="H31">
        <f t="shared" si="1"/>
        <v>12.32</v>
      </c>
      <c r="I31" s="10">
        <f t="shared" si="2"/>
        <v>0.04</v>
      </c>
      <c r="J31">
        <f t="shared" si="4"/>
        <v>0.15</v>
      </c>
      <c r="P31">
        <v>33760</v>
      </c>
    </row>
    <row r="32" spans="1:16" x14ac:dyDescent="0.25">
      <c r="A32" t="s">
        <v>20</v>
      </c>
      <c r="B32" t="s">
        <v>38</v>
      </c>
      <c r="C32" s="9"/>
      <c r="D32" s="9"/>
      <c r="E32" s="9">
        <v>3975</v>
      </c>
      <c r="F32" s="9"/>
      <c r="G32" s="9">
        <f t="shared" si="0"/>
        <v>3975</v>
      </c>
      <c r="H32">
        <f t="shared" si="1"/>
        <v>1.27</v>
      </c>
      <c r="I32" s="10">
        <f t="shared" si="2"/>
        <v>4.0000000000000001E-3</v>
      </c>
      <c r="J32">
        <f t="shared" si="4"/>
        <v>0.17</v>
      </c>
      <c r="P32">
        <v>3400</v>
      </c>
    </row>
    <row r="33" spans="1:16" x14ac:dyDescent="0.25">
      <c r="A33" t="s">
        <v>20</v>
      </c>
      <c r="B33" t="s">
        <v>39</v>
      </c>
      <c r="C33" s="9"/>
      <c r="D33" s="9"/>
      <c r="E33" s="9">
        <v>13240</v>
      </c>
      <c r="F33" s="9"/>
      <c r="G33" s="9">
        <f t="shared" si="0"/>
        <v>13240</v>
      </c>
      <c r="H33">
        <f t="shared" si="1"/>
        <v>4.21</v>
      </c>
      <c r="I33" s="10">
        <f t="shared" si="2"/>
        <v>1.4E-2</v>
      </c>
      <c r="J33">
        <f t="shared" si="4"/>
        <v>0.24</v>
      </c>
      <c r="P33">
        <v>10640</v>
      </c>
    </row>
    <row r="34" spans="1:16" x14ac:dyDescent="0.25">
      <c r="A34" t="s">
        <v>20</v>
      </c>
      <c r="B34" t="s">
        <v>40</v>
      </c>
      <c r="C34" s="9"/>
      <c r="D34" s="9"/>
      <c r="E34" s="9">
        <v>76680</v>
      </c>
      <c r="F34" s="9"/>
      <c r="G34" s="9">
        <f t="shared" si="0"/>
        <v>76680</v>
      </c>
      <c r="H34">
        <f t="shared" si="1"/>
        <v>24.4</v>
      </c>
      <c r="I34" s="10">
        <f t="shared" si="2"/>
        <v>0.08</v>
      </c>
      <c r="J34">
        <f t="shared" si="4"/>
        <v>0.1</v>
      </c>
      <c r="P34">
        <v>69760</v>
      </c>
    </row>
    <row r="35" spans="1:16" x14ac:dyDescent="0.25">
      <c r="A35" t="s">
        <v>20</v>
      </c>
      <c r="B35" t="s">
        <v>23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20</v>
      </c>
      <c r="B36" t="s">
        <v>34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J36">
        <f>ROUND(G36/P36-1,2)</f>
        <v>-1</v>
      </c>
      <c r="P36">
        <v>302</v>
      </c>
    </row>
    <row r="37" spans="1:16" x14ac:dyDescent="0.25">
      <c r="A37" t="s">
        <v>44</v>
      </c>
      <c r="B37" t="s">
        <v>45</v>
      </c>
      <c r="C37" s="9">
        <v>139020</v>
      </c>
      <c r="D37" s="9"/>
      <c r="E37" s="9"/>
      <c r="F37" s="9">
        <v>130</v>
      </c>
      <c r="G37" s="9">
        <f t="shared" si="0"/>
        <v>139150</v>
      </c>
      <c r="H37">
        <f t="shared" si="1"/>
        <v>44.29</v>
      </c>
      <c r="I37" s="10">
        <f t="shared" si="2"/>
        <v>0.14499999999999999</v>
      </c>
      <c r="J37">
        <f>ROUND(G37/P37-1,2)</f>
        <v>-7.0000000000000007E-2</v>
      </c>
      <c r="P37">
        <v>150365</v>
      </c>
    </row>
    <row r="38" spans="1:16" x14ac:dyDescent="0.25">
      <c r="A38" t="s">
        <v>44</v>
      </c>
      <c r="B38" t="s">
        <v>47</v>
      </c>
      <c r="C38" s="9"/>
      <c r="D38" s="9"/>
      <c r="E38" s="9"/>
      <c r="F38" s="9">
        <v>29780</v>
      </c>
      <c r="G38" s="9">
        <f t="shared" si="0"/>
        <v>29780</v>
      </c>
      <c r="H38">
        <f t="shared" si="1"/>
        <v>9.48</v>
      </c>
      <c r="I38" s="10">
        <f t="shared" si="2"/>
        <v>3.1E-2</v>
      </c>
      <c r="J38">
        <f>ROUND(G38/P38-1,2)</f>
        <v>0.24</v>
      </c>
      <c r="P38">
        <v>24040</v>
      </c>
    </row>
    <row r="39" spans="1:16" x14ac:dyDescent="0.25">
      <c r="A39" t="s">
        <v>44</v>
      </c>
      <c r="B39" t="s">
        <v>46</v>
      </c>
      <c r="C39" s="9"/>
      <c r="D39" s="9"/>
      <c r="E39" s="9">
        <v>35110</v>
      </c>
      <c r="F39" s="9"/>
      <c r="G39" s="9">
        <f t="shared" si="0"/>
        <v>35110</v>
      </c>
      <c r="H39">
        <f t="shared" si="1"/>
        <v>11.17</v>
      </c>
      <c r="I39" s="10">
        <f t="shared" si="2"/>
        <v>3.6999999999999998E-2</v>
      </c>
      <c r="J39">
        <f>ROUND(G39/P39-1,2)</f>
        <v>0.12</v>
      </c>
      <c r="P39">
        <v>31220</v>
      </c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SUM(C8:C39)</f>
        <v>709100</v>
      </c>
      <c r="D49" s="12">
        <f t="shared" si="5"/>
        <v>337</v>
      </c>
      <c r="E49" s="12">
        <f t="shared" si="5"/>
        <v>216881</v>
      </c>
      <c r="F49" s="12">
        <f t="shared" si="5"/>
        <v>32440</v>
      </c>
      <c r="G49" s="12">
        <f t="shared" si="5"/>
        <v>958758</v>
      </c>
      <c r="H49" s="11">
        <f t="shared" si="5"/>
        <v>305.15000000000015</v>
      </c>
      <c r="I49" s="4"/>
    </row>
    <row r="50" spans="1:10" x14ac:dyDescent="0.25">
      <c r="A50" s="11" t="s">
        <v>14</v>
      </c>
      <c r="C50" s="13">
        <f>ROUND(C49/G49,2)</f>
        <v>0.74</v>
      </c>
      <c r="D50" s="13">
        <f>ROUND(D49/G49,2)</f>
        <v>0</v>
      </c>
      <c r="E50" s="13">
        <f>ROUND(E49/G49,2)</f>
        <v>0.23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570080</v>
      </c>
      <c r="D54" s="15">
        <v>337</v>
      </c>
      <c r="E54" s="15">
        <v>181761</v>
      </c>
      <c r="F54" s="15">
        <v>2530</v>
      </c>
      <c r="G54" s="15">
        <f>SUM(C54:F54)</f>
        <v>754708</v>
      </c>
      <c r="H54" s="17">
        <f>ROUND(G54/3142,2)</f>
        <v>240.2</v>
      </c>
      <c r="I54" s="4"/>
      <c r="J54" s="4"/>
    </row>
    <row r="55" spans="1:10" x14ac:dyDescent="0.25">
      <c r="A55" s="33" t="s">
        <v>50</v>
      </c>
      <c r="B55" s="33"/>
      <c r="C55" s="15">
        <v>139020</v>
      </c>
      <c r="D55" s="15">
        <v>0</v>
      </c>
      <c r="E55" s="15">
        <v>35110</v>
      </c>
      <c r="F55" s="15">
        <v>29910</v>
      </c>
      <c r="G55" s="15">
        <f>SUM(C55:F55)</f>
        <v>204040</v>
      </c>
      <c r="H55" s="17">
        <f>ROUND(G55/3142,2)</f>
        <v>64.94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10</v>
      </c>
      <c r="F56" s="15">
        <v>0</v>
      </c>
      <c r="G56" s="15">
        <f>SUM(C56:F56)</f>
        <v>10</v>
      </c>
      <c r="H56" s="17">
        <f>ROUND(G56/3142,2)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ROUND(0.8432, 4)</f>
        <v>0.84319999999999995</v>
      </c>
      <c r="D60" s="19">
        <f>ROUND(0.8304, 4)</f>
        <v>0.83040000000000003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ROUND(0.8294, 4)</f>
        <v>0.82940000000000003</v>
      </c>
      <c r="D61" s="19">
        <f>ROUND(0.8166, 4)</f>
        <v>0.81659999999999999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111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44.29</v>
      </c>
      <c r="D64" s="17">
        <v>50.96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59.42</v>
      </c>
      <c r="D65" s="17">
        <v>56.39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240.2</v>
      </c>
      <c r="D66" s="17">
        <v>238.47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64.94</v>
      </c>
      <c r="D67" s="17">
        <v>69.010000000000005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112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2012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132</v>
      </c>
      <c r="F9" s="9"/>
      <c r="G9" s="9">
        <f t="shared" ref="G9:G43" si="0">SUM(C9:F9)</f>
        <v>132</v>
      </c>
      <c r="H9">
        <f t="shared" ref="H9:H43" si="1">ROUND(G9/2012,2)</f>
        <v>7.0000000000000007E-2</v>
      </c>
      <c r="I9" s="10">
        <f t="shared" ref="I9:I43" si="2">ROUND(G9/$G$49,3)</f>
        <v>0</v>
      </c>
      <c r="J9">
        <f t="shared" ref="J9:J26" si="3">ROUND(G9/P9-1,2)</f>
        <v>1.49</v>
      </c>
      <c r="P9">
        <v>53</v>
      </c>
    </row>
    <row r="10" spans="1:16" x14ac:dyDescent="0.25">
      <c r="A10" t="s">
        <v>20</v>
      </c>
      <c r="B10" t="s">
        <v>21</v>
      </c>
      <c r="C10" s="9">
        <v>66050</v>
      </c>
      <c r="D10" s="9"/>
      <c r="E10" s="9"/>
      <c r="F10" s="9"/>
      <c r="G10" s="9">
        <f t="shared" si="0"/>
        <v>66050</v>
      </c>
      <c r="H10">
        <f t="shared" si="1"/>
        <v>32.83</v>
      </c>
      <c r="I10" s="10">
        <f t="shared" si="2"/>
        <v>7.6999999999999999E-2</v>
      </c>
      <c r="J10">
        <f t="shared" si="3"/>
        <v>-0.01</v>
      </c>
      <c r="P10">
        <v>66580</v>
      </c>
    </row>
    <row r="11" spans="1:16" x14ac:dyDescent="0.25">
      <c r="A11" t="s">
        <v>20</v>
      </c>
      <c r="B11" t="s">
        <v>22</v>
      </c>
      <c r="C11" s="9">
        <v>75910</v>
      </c>
      <c r="D11" s="9"/>
      <c r="E11" s="9"/>
      <c r="F11" s="9">
        <v>160</v>
      </c>
      <c r="G11" s="9">
        <f t="shared" si="0"/>
        <v>76070</v>
      </c>
      <c r="H11">
        <f t="shared" si="1"/>
        <v>37.81</v>
      </c>
      <c r="I11" s="10">
        <f t="shared" si="2"/>
        <v>8.7999999999999995E-2</v>
      </c>
      <c r="J11">
        <f t="shared" si="3"/>
        <v>-0.12</v>
      </c>
      <c r="P11">
        <v>86440</v>
      </c>
    </row>
    <row r="12" spans="1:16" x14ac:dyDescent="0.25">
      <c r="A12" t="s">
        <v>20</v>
      </c>
      <c r="B12" t="s">
        <v>79</v>
      </c>
      <c r="C12" s="9"/>
      <c r="D12" s="9"/>
      <c r="E12" s="9">
        <v>32</v>
      </c>
      <c r="F12" s="9"/>
      <c r="G12" s="9">
        <f t="shared" si="0"/>
        <v>32</v>
      </c>
      <c r="H12">
        <f t="shared" si="1"/>
        <v>0.02</v>
      </c>
      <c r="I12" s="10">
        <f t="shared" si="2"/>
        <v>0</v>
      </c>
      <c r="J12">
        <f t="shared" si="3"/>
        <v>0.33</v>
      </c>
      <c r="P12">
        <v>24</v>
      </c>
    </row>
    <row r="13" spans="1:16" x14ac:dyDescent="0.25">
      <c r="A13" t="s">
        <v>20</v>
      </c>
      <c r="B13" t="s">
        <v>42</v>
      </c>
      <c r="C13" s="9"/>
      <c r="D13" s="9"/>
      <c r="E13" s="9">
        <v>81</v>
      </c>
      <c r="F13" s="9"/>
      <c r="G13" s="9">
        <f t="shared" si="0"/>
        <v>81</v>
      </c>
      <c r="H13">
        <f t="shared" si="1"/>
        <v>0.04</v>
      </c>
      <c r="I13" s="10">
        <f t="shared" si="2"/>
        <v>0</v>
      </c>
      <c r="J13">
        <f t="shared" si="3"/>
        <v>1.7</v>
      </c>
      <c r="P13">
        <v>30</v>
      </c>
    </row>
    <row r="14" spans="1:16" x14ac:dyDescent="0.25">
      <c r="A14" t="s">
        <v>20</v>
      </c>
      <c r="B14" t="s">
        <v>23</v>
      </c>
      <c r="C14" s="9"/>
      <c r="D14" s="9"/>
      <c r="E14" s="9">
        <v>1810</v>
      </c>
      <c r="F14" s="9"/>
      <c r="G14" s="9">
        <f t="shared" si="0"/>
        <v>1810</v>
      </c>
      <c r="H14">
        <f t="shared" si="1"/>
        <v>0.9</v>
      </c>
      <c r="I14" s="10">
        <f t="shared" si="2"/>
        <v>2E-3</v>
      </c>
      <c r="J14">
        <f t="shared" si="3"/>
        <v>0.17</v>
      </c>
      <c r="P14">
        <v>1550</v>
      </c>
    </row>
    <row r="15" spans="1:16" x14ac:dyDescent="0.25">
      <c r="A15" t="s">
        <v>20</v>
      </c>
      <c r="B15" t="s">
        <v>24</v>
      </c>
      <c r="C15" s="9"/>
      <c r="D15" s="9"/>
      <c r="E15" s="9">
        <v>75590</v>
      </c>
      <c r="F15" s="9"/>
      <c r="G15" s="9">
        <f t="shared" si="0"/>
        <v>75590</v>
      </c>
      <c r="H15">
        <f t="shared" si="1"/>
        <v>37.57</v>
      </c>
      <c r="I15" s="10">
        <f t="shared" si="2"/>
        <v>8.7999999999999995E-2</v>
      </c>
      <c r="J15">
        <f t="shared" si="3"/>
        <v>0.14000000000000001</v>
      </c>
      <c r="P15">
        <v>66020</v>
      </c>
    </row>
    <row r="16" spans="1:16" x14ac:dyDescent="0.25">
      <c r="A16" t="s">
        <v>20</v>
      </c>
      <c r="B16" t="s">
        <v>25</v>
      </c>
      <c r="C16" s="9">
        <v>99400</v>
      </c>
      <c r="D16" s="9"/>
      <c r="E16" s="9">
        <v>1305</v>
      </c>
      <c r="F16" s="9"/>
      <c r="G16" s="9">
        <f t="shared" si="0"/>
        <v>100705</v>
      </c>
      <c r="H16">
        <f t="shared" si="1"/>
        <v>50.05</v>
      </c>
      <c r="I16" s="10">
        <f t="shared" si="2"/>
        <v>0.11700000000000001</v>
      </c>
      <c r="J16">
        <f t="shared" si="3"/>
        <v>0.05</v>
      </c>
      <c r="P16">
        <v>96200</v>
      </c>
    </row>
    <row r="17" spans="1:16" x14ac:dyDescent="0.25">
      <c r="A17" t="s">
        <v>20</v>
      </c>
      <c r="B17" t="s">
        <v>69</v>
      </c>
      <c r="C17" s="9"/>
      <c r="D17" s="9"/>
      <c r="E17" s="9">
        <v>3905</v>
      </c>
      <c r="F17" s="9"/>
      <c r="G17" s="9">
        <f t="shared" si="0"/>
        <v>3905</v>
      </c>
      <c r="H17">
        <f t="shared" si="1"/>
        <v>1.94</v>
      </c>
      <c r="I17" s="10">
        <f t="shared" si="2"/>
        <v>5.0000000000000001E-3</v>
      </c>
      <c r="J17">
        <f t="shared" si="3"/>
        <v>-0.28999999999999998</v>
      </c>
      <c r="P17">
        <v>5535</v>
      </c>
    </row>
    <row r="18" spans="1:16" x14ac:dyDescent="0.25">
      <c r="A18" t="s">
        <v>20</v>
      </c>
      <c r="B18" t="s">
        <v>26</v>
      </c>
      <c r="C18" s="9">
        <v>145000</v>
      </c>
      <c r="D18" s="9"/>
      <c r="E18" s="9"/>
      <c r="F18" s="9">
        <v>100</v>
      </c>
      <c r="G18" s="9">
        <f t="shared" si="0"/>
        <v>145100</v>
      </c>
      <c r="H18">
        <f t="shared" si="1"/>
        <v>72.12</v>
      </c>
      <c r="I18" s="10">
        <f t="shared" si="2"/>
        <v>0.16800000000000001</v>
      </c>
      <c r="J18">
        <f t="shared" si="3"/>
        <v>-0.12</v>
      </c>
      <c r="P18">
        <v>164220</v>
      </c>
    </row>
    <row r="19" spans="1:16" x14ac:dyDescent="0.25">
      <c r="A19" t="s">
        <v>20</v>
      </c>
      <c r="B19" t="s">
        <v>27</v>
      </c>
      <c r="C19" s="9"/>
      <c r="D19" s="9"/>
      <c r="E19" s="9">
        <v>527</v>
      </c>
      <c r="F19" s="9"/>
      <c r="G19" s="9">
        <f t="shared" si="0"/>
        <v>527</v>
      </c>
      <c r="H19">
        <f t="shared" si="1"/>
        <v>0.26</v>
      </c>
      <c r="I19" s="10">
        <f t="shared" si="2"/>
        <v>1E-3</v>
      </c>
      <c r="J19">
        <f t="shared" si="3"/>
        <v>0.12</v>
      </c>
      <c r="P19">
        <v>469</v>
      </c>
    </row>
    <row r="20" spans="1:16" x14ac:dyDescent="0.25">
      <c r="A20" t="s">
        <v>20</v>
      </c>
      <c r="B20" t="s">
        <v>28</v>
      </c>
      <c r="C20" s="9"/>
      <c r="D20" s="9"/>
      <c r="E20" s="9">
        <v>316</v>
      </c>
      <c r="F20" s="9"/>
      <c r="G20" s="9">
        <f t="shared" si="0"/>
        <v>316</v>
      </c>
      <c r="H20">
        <f t="shared" si="1"/>
        <v>0.16</v>
      </c>
      <c r="I20" s="10">
        <f t="shared" si="2"/>
        <v>0</v>
      </c>
      <c r="J20">
        <f t="shared" si="3"/>
        <v>1.1100000000000001</v>
      </c>
      <c r="P20">
        <v>150</v>
      </c>
    </row>
    <row r="21" spans="1:16" x14ac:dyDescent="0.25">
      <c r="A21" t="s">
        <v>20</v>
      </c>
      <c r="B21" t="s">
        <v>29</v>
      </c>
      <c r="C21" s="9"/>
      <c r="D21" s="9"/>
      <c r="E21" s="9">
        <v>219</v>
      </c>
      <c r="F21" s="9"/>
      <c r="G21" s="9">
        <f t="shared" si="0"/>
        <v>219</v>
      </c>
      <c r="H21">
        <f t="shared" si="1"/>
        <v>0.11</v>
      </c>
      <c r="I21" s="10">
        <f t="shared" si="2"/>
        <v>0</v>
      </c>
      <c r="J21">
        <f t="shared" si="3"/>
        <v>1.74</v>
      </c>
      <c r="P21">
        <v>80</v>
      </c>
    </row>
    <row r="22" spans="1:16" x14ac:dyDescent="0.25">
      <c r="A22" t="s">
        <v>20</v>
      </c>
      <c r="B22" t="s">
        <v>30</v>
      </c>
      <c r="C22" s="9"/>
      <c r="D22" s="9"/>
      <c r="E22" s="9">
        <v>4480</v>
      </c>
      <c r="F22" s="9"/>
      <c r="G22" s="9">
        <f t="shared" si="0"/>
        <v>4480</v>
      </c>
      <c r="H22">
        <f t="shared" si="1"/>
        <v>2.23</v>
      </c>
      <c r="I22" s="10">
        <f t="shared" si="2"/>
        <v>5.0000000000000001E-3</v>
      </c>
      <c r="J22">
        <f t="shared" si="3"/>
        <v>0.14000000000000001</v>
      </c>
      <c r="P22">
        <v>3940</v>
      </c>
    </row>
    <row r="23" spans="1:16" x14ac:dyDescent="0.25">
      <c r="A23" t="s">
        <v>20</v>
      </c>
      <c r="B23" t="s">
        <v>31</v>
      </c>
      <c r="C23" s="9"/>
      <c r="D23" s="9"/>
      <c r="E23" s="9">
        <v>370</v>
      </c>
      <c r="F23" s="9"/>
      <c r="G23" s="9">
        <f t="shared" si="0"/>
        <v>370</v>
      </c>
      <c r="H23">
        <f t="shared" si="1"/>
        <v>0.18</v>
      </c>
      <c r="I23" s="10">
        <f t="shared" si="2"/>
        <v>0</v>
      </c>
      <c r="J23">
        <f t="shared" si="3"/>
        <v>-0.12</v>
      </c>
      <c r="P23">
        <v>420</v>
      </c>
    </row>
    <row r="24" spans="1:16" x14ac:dyDescent="0.25">
      <c r="A24" t="s">
        <v>20</v>
      </c>
      <c r="B24" t="s">
        <v>32</v>
      </c>
      <c r="C24" s="9"/>
      <c r="D24" s="9"/>
      <c r="E24" s="9">
        <v>500</v>
      </c>
      <c r="F24" s="9"/>
      <c r="G24" s="9">
        <f t="shared" si="0"/>
        <v>500</v>
      </c>
      <c r="H24">
        <f t="shared" si="1"/>
        <v>0.25</v>
      </c>
      <c r="I24" s="10">
        <f t="shared" si="2"/>
        <v>1E-3</v>
      </c>
      <c r="J24">
        <f t="shared" si="3"/>
        <v>0.02</v>
      </c>
      <c r="P24">
        <v>490</v>
      </c>
    </row>
    <row r="25" spans="1:16" x14ac:dyDescent="0.25">
      <c r="A25" t="s">
        <v>20</v>
      </c>
      <c r="B25" t="s">
        <v>33</v>
      </c>
      <c r="C25" s="9"/>
      <c r="D25" s="9"/>
      <c r="E25" s="9">
        <v>1075</v>
      </c>
      <c r="F25" s="9"/>
      <c r="G25" s="9">
        <f t="shared" si="0"/>
        <v>1075</v>
      </c>
      <c r="H25">
        <f t="shared" si="1"/>
        <v>0.53</v>
      </c>
      <c r="I25" s="10">
        <f t="shared" si="2"/>
        <v>1E-3</v>
      </c>
      <c r="J25">
        <f t="shared" si="3"/>
        <v>1.69</v>
      </c>
      <c r="P25">
        <v>400</v>
      </c>
    </row>
    <row r="26" spans="1:16" x14ac:dyDescent="0.25">
      <c r="A26" t="s">
        <v>20</v>
      </c>
      <c r="B26" t="s">
        <v>43</v>
      </c>
      <c r="C26" s="9"/>
      <c r="D26" s="9">
        <v>193</v>
      </c>
      <c r="E26" s="9"/>
      <c r="F26" s="9"/>
      <c r="G26" s="9">
        <f t="shared" si="0"/>
        <v>193</v>
      </c>
      <c r="H26">
        <f t="shared" si="1"/>
        <v>0.1</v>
      </c>
      <c r="I26" s="10">
        <f t="shared" si="2"/>
        <v>0</v>
      </c>
      <c r="J26">
        <f t="shared" si="3"/>
        <v>-0.11</v>
      </c>
      <c r="P26">
        <v>217</v>
      </c>
    </row>
    <row r="27" spans="1:16" x14ac:dyDescent="0.25">
      <c r="A27" t="s">
        <v>20</v>
      </c>
      <c r="B27" t="s">
        <v>70</v>
      </c>
      <c r="C27" s="9"/>
      <c r="D27" s="9"/>
      <c r="E27" s="9">
        <v>730</v>
      </c>
      <c r="F27" s="9"/>
      <c r="G27" s="9">
        <f t="shared" si="0"/>
        <v>730</v>
      </c>
      <c r="H27">
        <f t="shared" si="1"/>
        <v>0.36</v>
      </c>
      <c r="I27" s="10">
        <f t="shared" si="2"/>
        <v>1E-3</v>
      </c>
      <c r="P27">
        <v>0</v>
      </c>
    </row>
    <row r="28" spans="1:16" x14ac:dyDescent="0.25">
      <c r="A28" t="s">
        <v>20</v>
      </c>
      <c r="B28" t="s">
        <v>34</v>
      </c>
      <c r="C28" s="9"/>
      <c r="D28" s="9">
        <v>340</v>
      </c>
      <c r="E28" s="9"/>
      <c r="F28" s="9"/>
      <c r="G28" s="9">
        <f t="shared" si="0"/>
        <v>340</v>
      </c>
      <c r="H28">
        <f t="shared" si="1"/>
        <v>0.17</v>
      </c>
      <c r="I28" s="10">
        <f t="shared" si="2"/>
        <v>0</v>
      </c>
      <c r="J28">
        <f t="shared" ref="J28:J35" si="4">ROUND(G28/P28-1,2)</f>
        <v>0.28000000000000003</v>
      </c>
      <c r="P28">
        <v>265</v>
      </c>
    </row>
    <row r="29" spans="1:16" x14ac:dyDescent="0.25">
      <c r="A29" t="s">
        <v>20</v>
      </c>
      <c r="B29" t="s">
        <v>35</v>
      </c>
      <c r="C29" s="9"/>
      <c r="D29" s="9"/>
      <c r="E29" s="9">
        <v>3300</v>
      </c>
      <c r="F29" s="9"/>
      <c r="G29" s="9">
        <f t="shared" si="0"/>
        <v>3300</v>
      </c>
      <c r="H29">
        <f t="shared" si="1"/>
        <v>1.64</v>
      </c>
      <c r="I29" s="10">
        <f t="shared" si="2"/>
        <v>4.0000000000000001E-3</v>
      </c>
      <c r="J29">
        <f t="shared" si="4"/>
        <v>-0.11</v>
      </c>
      <c r="P29">
        <v>3710</v>
      </c>
    </row>
    <row r="30" spans="1:16" x14ac:dyDescent="0.25">
      <c r="A30" t="s">
        <v>20</v>
      </c>
      <c r="B30" t="s">
        <v>36</v>
      </c>
      <c r="C30" s="9"/>
      <c r="D30" s="9"/>
      <c r="E30" s="9">
        <v>5280</v>
      </c>
      <c r="F30" s="9"/>
      <c r="G30" s="9">
        <f t="shared" si="0"/>
        <v>5280</v>
      </c>
      <c r="H30">
        <f t="shared" si="1"/>
        <v>2.62</v>
      </c>
      <c r="I30" s="10">
        <f t="shared" si="2"/>
        <v>6.0000000000000001E-3</v>
      </c>
      <c r="J30">
        <f t="shared" si="4"/>
        <v>-0.05</v>
      </c>
      <c r="P30">
        <v>5565</v>
      </c>
    </row>
    <row r="31" spans="1:16" x14ac:dyDescent="0.25">
      <c r="A31" t="s">
        <v>20</v>
      </c>
      <c r="B31" t="s">
        <v>41</v>
      </c>
      <c r="C31" s="9"/>
      <c r="D31" s="9"/>
      <c r="E31" s="9">
        <v>7518</v>
      </c>
      <c r="F31" s="9"/>
      <c r="G31" s="9">
        <f t="shared" si="0"/>
        <v>7518</v>
      </c>
      <c r="H31">
        <f t="shared" si="1"/>
        <v>3.74</v>
      </c>
      <c r="I31" s="10">
        <f t="shared" si="2"/>
        <v>8.9999999999999993E-3</v>
      </c>
      <c r="J31">
        <f t="shared" si="4"/>
        <v>0.14000000000000001</v>
      </c>
      <c r="P31">
        <v>6580</v>
      </c>
    </row>
    <row r="32" spans="1:16" x14ac:dyDescent="0.25">
      <c r="A32" t="s">
        <v>20</v>
      </c>
      <c r="B32" t="s">
        <v>37</v>
      </c>
      <c r="C32" s="9"/>
      <c r="D32" s="9"/>
      <c r="E32" s="9">
        <v>56190</v>
      </c>
      <c r="F32" s="9"/>
      <c r="G32" s="9">
        <f t="shared" si="0"/>
        <v>56190</v>
      </c>
      <c r="H32">
        <f t="shared" si="1"/>
        <v>27.93</v>
      </c>
      <c r="I32" s="10">
        <f t="shared" si="2"/>
        <v>6.5000000000000002E-2</v>
      </c>
      <c r="J32">
        <f t="shared" si="4"/>
        <v>0.06</v>
      </c>
      <c r="P32">
        <v>53100</v>
      </c>
    </row>
    <row r="33" spans="1:16" x14ac:dyDescent="0.25">
      <c r="A33" t="s">
        <v>20</v>
      </c>
      <c r="B33" t="s">
        <v>39</v>
      </c>
      <c r="C33" s="9"/>
      <c r="D33" s="9"/>
      <c r="E33" s="9">
        <v>16920</v>
      </c>
      <c r="F33" s="9"/>
      <c r="G33" s="9">
        <f t="shared" si="0"/>
        <v>16920</v>
      </c>
      <c r="H33">
        <f t="shared" si="1"/>
        <v>8.41</v>
      </c>
      <c r="I33" s="10">
        <f t="shared" si="2"/>
        <v>0.02</v>
      </c>
      <c r="J33">
        <f t="shared" si="4"/>
        <v>0.28000000000000003</v>
      </c>
      <c r="P33">
        <v>13210</v>
      </c>
    </row>
    <row r="34" spans="1:16" x14ac:dyDescent="0.25">
      <c r="A34" t="s">
        <v>20</v>
      </c>
      <c r="B34" t="s">
        <v>40</v>
      </c>
      <c r="C34" s="9"/>
      <c r="D34" s="9"/>
      <c r="E34" s="9">
        <v>75200</v>
      </c>
      <c r="F34" s="9"/>
      <c r="G34" s="9">
        <f t="shared" si="0"/>
        <v>75200</v>
      </c>
      <c r="H34">
        <f t="shared" si="1"/>
        <v>37.380000000000003</v>
      </c>
      <c r="I34" s="10">
        <f t="shared" si="2"/>
        <v>8.6999999999999994E-2</v>
      </c>
      <c r="J34">
        <f t="shared" si="4"/>
        <v>0.44</v>
      </c>
      <c r="P34">
        <v>52270</v>
      </c>
    </row>
    <row r="35" spans="1:16" x14ac:dyDescent="0.25">
      <c r="A35" t="s">
        <v>20</v>
      </c>
      <c r="B35" t="s">
        <v>113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J35">
        <f t="shared" si="4"/>
        <v>-1</v>
      </c>
      <c r="P35">
        <v>220</v>
      </c>
    </row>
    <row r="36" spans="1:16" x14ac:dyDescent="0.25">
      <c r="A36" t="s">
        <v>20</v>
      </c>
      <c r="B36" t="s">
        <v>114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20</v>
      </c>
      <c r="B37" t="s">
        <v>74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115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151400</v>
      </c>
      <c r="D39" s="9"/>
      <c r="E39" s="9"/>
      <c r="F39" s="9">
        <v>250</v>
      </c>
      <c r="G39" s="9">
        <f t="shared" si="0"/>
        <v>151650</v>
      </c>
      <c r="H39">
        <f t="shared" si="1"/>
        <v>75.37</v>
      </c>
      <c r="I39" s="10">
        <f t="shared" si="2"/>
        <v>0.17599999999999999</v>
      </c>
      <c r="J39">
        <f>ROUND(G39/P39-1,2)</f>
        <v>0.01</v>
      </c>
      <c r="P39">
        <v>150830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6600</v>
      </c>
      <c r="G40" s="9">
        <f t="shared" si="0"/>
        <v>6600</v>
      </c>
      <c r="H40">
        <f t="shared" si="1"/>
        <v>3.28</v>
      </c>
      <c r="I40" s="10">
        <f t="shared" si="2"/>
        <v>8.0000000000000002E-3</v>
      </c>
      <c r="P40">
        <v>0</v>
      </c>
    </row>
    <row r="41" spans="1:16" x14ac:dyDescent="0.25">
      <c r="A41" t="s">
        <v>44</v>
      </c>
      <c r="B41" t="s">
        <v>46</v>
      </c>
      <c r="C41" s="9"/>
      <c r="D41" s="9"/>
      <c r="E41" s="9">
        <v>60360</v>
      </c>
      <c r="F41" s="9"/>
      <c r="G41" s="9">
        <f t="shared" si="0"/>
        <v>60360</v>
      </c>
      <c r="H41">
        <f t="shared" si="1"/>
        <v>30</v>
      </c>
      <c r="I41" s="10">
        <f t="shared" si="2"/>
        <v>7.0000000000000007E-2</v>
      </c>
      <c r="J41">
        <f>ROUND(G41/P41-1,2)</f>
        <v>0.06</v>
      </c>
      <c r="P41">
        <v>56765</v>
      </c>
    </row>
    <row r="42" spans="1:16" x14ac:dyDescent="0.25">
      <c r="A42" t="s">
        <v>16</v>
      </c>
      <c r="B42" t="s">
        <v>19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16</v>
      </c>
      <c r="B43" t="s">
        <v>18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SUM(C8:C43)</f>
        <v>537760</v>
      </c>
      <c r="D49" s="12">
        <f t="shared" si="5"/>
        <v>533</v>
      </c>
      <c r="E49" s="12">
        <f t="shared" si="5"/>
        <v>315840</v>
      </c>
      <c r="F49" s="12">
        <f t="shared" si="5"/>
        <v>7110</v>
      </c>
      <c r="G49" s="12">
        <f t="shared" si="5"/>
        <v>861243</v>
      </c>
      <c r="H49" s="11">
        <f t="shared" si="5"/>
        <v>428.07</v>
      </c>
      <c r="I49" s="4"/>
    </row>
    <row r="50" spans="1:10" x14ac:dyDescent="0.25">
      <c r="A50" s="11" t="s">
        <v>14</v>
      </c>
      <c r="C50" s="13">
        <f>ROUND(C49/G49,2)</f>
        <v>0.62</v>
      </c>
      <c r="D50" s="13">
        <f>ROUND(D49/G49,2)</f>
        <v>0</v>
      </c>
      <c r="E50" s="13">
        <f>ROUND(E49/G49,2)</f>
        <v>0.37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386360</v>
      </c>
      <c r="D54" s="15">
        <v>533</v>
      </c>
      <c r="E54" s="15">
        <v>255480</v>
      </c>
      <c r="F54" s="15">
        <v>260</v>
      </c>
      <c r="G54" s="15">
        <f>SUM(C54:F54)</f>
        <v>642633</v>
      </c>
      <c r="H54" s="17">
        <f>ROUND(G54/2012,2)</f>
        <v>319.39999999999998</v>
      </c>
      <c r="I54" s="4"/>
      <c r="J54" s="4"/>
    </row>
    <row r="55" spans="1:10" x14ac:dyDescent="0.25">
      <c r="A55" s="33" t="s">
        <v>50</v>
      </c>
      <c r="B55" s="33"/>
      <c r="C55" s="15">
        <v>151400</v>
      </c>
      <c r="D55" s="15">
        <v>0</v>
      </c>
      <c r="E55" s="15">
        <v>60360</v>
      </c>
      <c r="F55" s="15">
        <v>6850</v>
      </c>
      <c r="G55" s="15">
        <f>SUM(C55:F55)</f>
        <v>218610</v>
      </c>
      <c r="H55" s="17">
        <f>ROUND(G55/2012,2)</f>
        <v>108.65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ROUND(G56/2012,2)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ROUND(0.7972, 4)</f>
        <v>0.79720000000000002</v>
      </c>
      <c r="D60" s="19">
        <f>ROUND(0.7953, 4)</f>
        <v>0.79530000000000001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ROUND(0.7864, 4)</f>
        <v>0.78639999999999999</v>
      </c>
      <c r="D61" s="19">
        <f>ROUND(0.7841, 4)</f>
        <v>0.78410000000000002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116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75.37</v>
      </c>
      <c r="D64" s="16">
        <v>75.650000000000006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72.12</v>
      </c>
      <c r="D65" s="16">
        <v>75.83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319.39999999999998</v>
      </c>
      <c r="D66" s="16">
        <v>304.62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108.65</v>
      </c>
      <c r="D67" s="16">
        <v>108.3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117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2253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130</v>
      </c>
      <c r="G9" s="9">
        <f t="shared" ref="G9:G36" si="0">SUM(C9:F9)</f>
        <v>130</v>
      </c>
      <c r="H9">
        <f t="shared" ref="H9:H36" si="1">ROUND(G9/2253,2)</f>
        <v>0.06</v>
      </c>
      <c r="I9" s="10">
        <f t="shared" ref="I9:I36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67</v>
      </c>
      <c r="C11" s="9"/>
      <c r="D11" s="9"/>
      <c r="E11" s="9">
        <v>40</v>
      </c>
      <c r="F11" s="9"/>
      <c r="G11" s="9">
        <f t="shared" si="0"/>
        <v>40</v>
      </c>
      <c r="H11">
        <f t="shared" si="1"/>
        <v>0.02</v>
      </c>
      <c r="I11" s="10">
        <f t="shared" si="2"/>
        <v>0</v>
      </c>
      <c r="J11">
        <f t="shared" ref="J11:J36" si="3">ROUND(G11/P11-1,2)</f>
        <v>4</v>
      </c>
      <c r="P11">
        <v>8</v>
      </c>
    </row>
    <row r="12" spans="1:16" x14ac:dyDescent="0.25">
      <c r="A12" t="s">
        <v>20</v>
      </c>
      <c r="B12" t="s">
        <v>21</v>
      </c>
      <c r="C12" s="9">
        <v>73790</v>
      </c>
      <c r="D12" s="9"/>
      <c r="E12" s="9"/>
      <c r="F12" s="9"/>
      <c r="G12" s="9">
        <f t="shared" si="0"/>
        <v>73790</v>
      </c>
      <c r="H12">
        <f t="shared" si="1"/>
        <v>32.75</v>
      </c>
      <c r="I12" s="10">
        <f t="shared" si="2"/>
        <v>7.1999999999999995E-2</v>
      </c>
      <c r="J12">
        <f t="shared" si="3"/>
        <v>-0.01</v>
      </c>
      <c r="P12">
        <v>74780</v>
      </c>
    </row>
    <row r="13" spans="1:16" x14ac:dyDescent="0.25">
      <c r="A13" t="s">
        <v>20</v>
      </c>
      <c r="B13" t="s">
        <v>22</v>
      </c>
      <c r="C13" s="9">
        <v>83680</v>
      </c>
      <c r="D13" s="9"/>
      <c r="E13" s="9"/>
      <c r="F13" s="9"/>
      <c r="G13" s="9">
        <f t="shared" si="0"/>
        <v>83680</v>
      </c>
      <c r="H13">
        <f t="shared" si="1"/>
        <v>37.14</v>
      </c>
      <c r="I13" s="10">
        <f t="shared" si="2"/>
        <v>8.1000000000000003E-2</v>
      </c>
      <c r="J13">
        <f t="shared" si="3"/>
        <v>-0.14000000000000001</v>
      </c>
      <c r="P13">
        <v>97440</v>
      </c>
    </row>
    <row r="14" spans="1:16" x14ac:dyDescent="0.25">
      <c r="A14" t="s">
        <v>20</v>
      </c>
      <c r="B14" t="s">
        <v>23</v>
      </c>
      <c r="C14" s="9"/>
      <c r="D14" s="9"/>
      <c r="E14" s="9">
        <v>900</v>
      </c>
      <c r="F14" s="9"/>
      <c r="G14" s="9">
        <f t="shared" si="0"/>
        <v>900</v>
      </c>
      <c r="H14">
        <f t="shared" si="1"/>
        <v>0.4</v>
      </c>
      <c r="I14" s="10">
        <f t="shared" si="2"/>
        <v>1E-3</v>
      </c>
      <c r="J14">
        <f t="shared" si="3"/>
        <v>-0.43</v>
      </c>
      <c r="P14">
        <v>1590</v>
      </c>
    </row>
    <row r="15" spans="1:16" x14ac:dyDescent="0.25">
      <c r="A15" t="s">
        <v>20</v>
      </c>
      <c r="B15" t="s">
        <v>24</v>
      </c>
      <c r="C15" s="9"/>
      <c r="D15" s="9"/>
      <c r="E15" s="9">
        <v>104500</v>
      </c>
      <c r="F15" s="9"/>
      <c r="G15" s="9">
        <f t="shared" si="0"/>
        <v>104500</v>
      </c>
      <c r="H15">
        <f t="shared" si="1"/>
        <v>46.38</v>
      </c>
      <c r="I15" s="10">
        <f t="shared" si="2"/>
        <v>0.10199999999999999</v>
      </c>
      <c r="J15">
        <f t="shared" si="3"/>
        <v>0.09</v>
      </c>
      <c r="P15">
        <v>95640</v>
      </c>
    </row>
    <row r="16" spans="1:16" x14ac:dyDescent="0.25">
      <c r="A16" t="s">
        <v>20</v>
      </c>
      <c r="B16" t="s">
        <v>25</v>
      </c>
      <c r="C16" s="9">
        <v>118600</v>
      </c>
      <c r="D16" s="9"/>
      <c r="E16" s="9">
        <v>1350</v>
      </c>
      <c r="F16" s="9"/>
      <c r="G16" s="9">
        <f t="shared" si="0"/>
        <v>119950</v>
      </c>
      <c r="H16">
        <f t="shared" si="1"/>
        <v>53.24</v>
      </c>
      <c r="I16" s="10">
        <f t="shared" si="2"/>
        <v>0.11700000000000001</v>
      </c>
      <c r="J16">
        <f t="shared" si="3"/>
        <v>0.02</v>
      </c>
      <c r="P16">
        <v>117160</v>
      </c>
    </row>
    <row r="17" spans="1:16" x14ac:dyDescent="0.25">
      <c r="A17" t="s">
        <v>20</v>
      </c>
      <c r="B17" t="s">
        <v>69</v>
      </c>
      <c r="C17" s="9"/>
      <c r="D17" s="9"/>
      <c r="E17" s="9">
        <v>4005</v>
      </c>
      <c r="F17" s="9"/>
      <c r="G17" s="9">
        <f t="shared" si="0"/>
        <v>4005</v>
      </c>
      <c r="H17">
        <f t="shared" si="1"/>
        <v>1.78</v>
      </c>
      <c r="I17" s="10">
        <f t="shared" si="2"/>
        <v>4.0000000000000001E-3</v>
      </c>
      <c r="J17">
        <f t="shared" si="3"/>
        <v>-0.17</v>
      </c>
      <c r="P17">
        <v>4830</v>
      </c>
    </row>
    <row r="18" spans="1:16" x14ac:dyDescent="0.25">
      <c r="A18" t="s">
        <v>20</v>
      </c>
      <c r="B18" t="s">
        <v>26</v>
      </c>
      <c r="C18" s="9">
        <v>177250</v>
      </c>
      <c r="D18" s="9"/>
      <c r="E18" s="9"/>
      <c r="F18" s="9"/>
      <c r="G18" s="9">
        <f t="shared" si="0"/>
        <v>177250</v>
      </c>
      <c r="H18">
        <f t="shared" si="1"/>
        <v>78.67</v>
      </c>
      <c r="I18" s="10">
        <f t="shared" si="2"/>
        <v>0.17199999999999999</v>
      </c>
      <c r="J18">
        <f t="shared" si="3"/>
        <v>0.01</v>
      </c>
      <c r="P18">
        <v>175020</v>
      </c>
    </row>
    <row r="19" spans="1:16" x14ac:dyDescent="0.25">
      <c r="A19" t="s">
        <v>20</v>
      </c>
      <c r="B19" t="s">
        <v>27</v>
      </c>
      <c r="C19" s="9"/>
      <c r="D19" s="9"/>
      <c r="E19" s="9">
        <v>329</v>
      </c>
      <c r="F19" s="9"/>
      <c r="G19" s="9">
        <f t="shared" si="0"/>
        <v>329</v>
      </c>
      <c r="H19">
        <f t="shared" si="1"/>
        <v>0.15</v>
      </c>
      <c r="I19" s="10">
        <f t="shared" si="2"/>
        <v>0</v>
      </c>
      <c r="J19">
        <f t="shared" si="3"/>
        <v>-0.14000000000000001</v>
      </c>
      <c r="P19">
        <v>381</v>
      </c>
    </row>
    <row r="20" spans="1:16" x14ac:dyDescent="0.25">
      <c r="A20" t="s">
        <v>20</v>
      </c>
      <c r="B20" t="s">
        <v>28</v>
      </c>
      <c r="C20" s="9"/>
      <c r="D20" s="9"/>
      <c r="E20" s="9">
        <v>225</v>
      </c>
      <c r="F20" s="9"/>
      <c r="G20" s="9">
        <f t="shared" si="0"/>
        <v>225</v>
      </c>
      <c r="H20">
        <f t="shared" si="1"/>
        <v>0.1</v>
      </c>
      <c r="I20" s="10">
        <f t="shared" si="2"/>
        <v>0</v>
      </c>
      <c r="J20">
        <f t="shared" si="3"/>
        <v>1.08</v>
      </c>
      <c r="P20">
        <v>108</v>
      </c>
    </row>
    <row r="21" spans="1:16" x14ac:dyDescent="0.25">
      <c r="A21" t="s">
        <v>20</v>
      </c>
      <c r="B21" t="s">
        <v>29</v>
      </c>
      <c r="C21" s="9"/>
      <c r="D21" s="9"/>
      <c r="E21" s="9">
        <v>157</v>
      </c>
      <c r="F21" s="9"/>
      <c r="G21" s="9">
        <f t="shared" si="0"/>
        <v>157</v>
      </c>
      <c r="H21">
        <f t="shared" si="1"/>
        <v>7.0000000000000007E-2</v>
      </c>
      <c r="I21" s="10">
        <f t="shared" si="2"/>
        <v>0</v>
      </c>
      <c r="J21">
        <f t="shared" si="3"/>
        <v>0.96</v>
      </c>
      <c r="P21">
        <v>80</v>
      </c>
    </row>
    <row r="22" spans="1:16" x14ac:dyDescent="0.25">
      <c r="A22" t="s">
        <v>20</v>
      </c>
      <c r="B22" t="s">
        <v>30</v>
      </c>
      <c r="C22" s="9"/>
      <c r="D22" s="9"/>
      <c r="E22" s="9">
        <v>3000</v>
      </c>
      <c r="F22" s="9"/>
      <c r="G22" s="9">
        <f t="shared" si="0"/>
        <v>3000</v>
      </c>
      <c r="H22">
        <f t="shared" si="1"/>
        <v>1.33</v>
      </c>
      <c r="I22" s="10">
        <f t="shared" si="2"/>
        <v>3.0000000000000001E-3</v>
      </c>
      <c r="J22">
        <f t="shared" si="3"/>
        <v>-0.11</v>
      </c>
      <c r="P22">
        <v>3370</v>
      </c>
    </row>
    <row r="23" spans="1:16" x14ac:dyDescent="0.25">
      <c r="A23" t="s">
        <v>20</v>
      </c>
      <c r="B23" t="s">
        <v>31</v>
      </c>
      <c r="C23" s="9"/>
      <c r="D23" s="9"/>
      <c r="E23" s="9">
        <v>400</v>
      </c>
      <c r="F23" s="9"/>
      <c r="G23" s="9">
        <f t="shared" si="0"/>
        <v>400</v>
      </c>
      <c r="H23">
        <f t="shared" si="1"/>
        <v>0.18</v>
      </c>
      <c r="I23" s="10">
        <f t="shared" si="2"/>
        <v>0</v>
      </c>
      <c r="J23">
        <f t="shared" si="3"/>
        <v>-0.4</v>
      </c>
      <c r="P23">
        <v>670</v>
      </c>
    </row>
    <row r="24" spans="1:16" x14ac:dyDescent="0.25">
      <c r="A24" t="s">
        <v>20</v>
      </c>
      <c r="B24" t="s">
        <v>32</v>
      </c>
      <c r="C24" s="9"/>
      <c r="D24" s="9"/>
      <c r="E24" s="9">
        <v>370</v>
      </c>
      <c r="F24" s="9"/>
      <c r="G24" s="9">
        <f t="shared" si="0"/>
        <v>370</v>
      </c>
      <c r="H24">
        <f t="shared" si="1"/>
        <v>0.16</v>
      </c>
      <c r="I24" s="10">
        <f t="shared" si="2"/>
        <v>0</v>
      </c>
      <c r="J24">
        <f t="shared" si="3"/>
        <v>1.06</v>
      </c>
      <c r="P24">
        <v>180</v>
      </c>
    </row>
    <row r="25" spans="1:16" x14ac:dyDescent="0.25">
      <c r="A25" t="s">
        <v>20</v>
      </c>
      <c r="B25" t="s">
        <v>43</v>
      </c>
      <c r="C25" s="9"/>
      <c r="D25" s="9">
        <v>169</v>
      </c>
      <c r="E25" s="9"/>
      <c r="F25" s="9"/>
      <c r="G25" s="9">
        <f t="shared" si="0"/>
        <v>169</v>
      </c>
      <c r="H25">
        <f t="shared" si="1"/>
        <v>0.08</v>
      </c>
      <c r="I25" s="10">
        <f t="shared" si="2"/>
        <v>0</v>
      </c>
      <c r="J25">
        <f t="shared" si="3"/>
        <v>-0.28999999999999998</v>
      </c>
      <c r="P25">
        <v>238</v>
      </c>
    </row>
    <row r="26" spans="1:16" x14ac:dyDescent="0.25">
      <c r="A26" t="s">
        <v>20</v>
      </c>
      <c r="B26" t="s">
        <v>34</v>
      </c>
      <c r="C26" s="9"/>
      <c r="D26" s="9">
        <v>330</v>
      </c>
      <c r="E26" s="9">
        <v>20</v>
      </c>
      <c r="F26" s="9"/>
      <c r="G26" s="9">
        <f t="shared" si="0"/>
        <v>350</v>
      </c>
      <c r="H26">
        <f t="shared" si="1"/>
        <v>0.16</v>
      </c>
      <c r="I26" s="10">
        <f t="shared" si="2"/>
        <v>0</v>
      </c>
      <c r="J26">
        <f t="shared" si="3"/>
        <v>0.24</v>
      </c>
      <c r="P26">
        <v>282</v>
      </c>
    </row>
    <row r="27" spans="1:16" x14ac:dyDescent="0.25">
      <c r="A27" t="s">
        <v>20</v>
      </c>
      <c r="B27" t="s">
        <v>70</v>
      </c>
      <c r="C27" s="9"/>
      <c r="D27" s="9"/>
      <c r="E27" s="9">
        <v>610</v>
      </c>
      <c r="F27" s="9"/>
      <c r="G27" s="9">
        <f t="shared" si="0"/>
        <v>610</v>
      </c>
      <c r="H27">
        <f t="shared" si="1"/>
        <v>0.27</v>
      </c>
      <c r="I27" s="10">
        <f t="shared" si="2"/>
        <v>1E-3</v>
      </c>
      <c r="J27">
        <f t="shared" si="3"/>
        <v>0.39</v>
      </c>
      <c r="P27">
        <v>440</v>
      </c>
    </row>
    <row r="28" spans="1:16" x14ac:dyDescent="0.25">
      <c r="A28" t="s">
        <v>20</v>
      </c>
      <c r="B28" t="s">
        <v>35</v>
      </c>
      <c r="C28" s="9"/>
      <c r="D28" s="9"/>
      <c r="E28" s="9">
        <v>3278</v>
      </c>
      <c r="F28" s="9"/>
      <c r="G28" s="9">
        <f t="shared" si="0"/>
        <v>3278</v>
      </c>
      <c r="H28">
        <f t="shared" si="1"/>
        <v>1.45</v>
      </c>
      <c r="I28" s="10">
        <f t="shared" si="2"/>
        <v>3.0000000000000001E-3</v>
      </c>
      <c r="J28">
        <f t="shared" si="3"/>
        <v>-0.33</v>
      </c>
      <c r="P28">
        <v>4912</v>
      </c>
    </row>
    <row r="29" spans="1:16" x14ac:dyDescent="0.25">
      <c r="A29" t="s">
        <v>20</v>
      </c>
      <c r="B29" t="s">
        <v>36</v>
      </c>
      <c r="C29" s="9"/>
      <c r="D29" s="9"/>
      <c r="E29" s="9">
        <v>6154</v>
      </c>
      <c r="F29" s="9"/>
      <c r="G29" s="9">
        <f t="shared" si="0"/>
        <v>6154</v>
      </c>
      <c r="H29">
        <f t="shared" si="1"/>
        <v>2.73</v>
      </c>
      <c r="I29" s="10">
        <f t="shared" si="2"/>
        <v>6.0000000000000001E-3</v>
      </c>
      <c r="J29">
        <f t="shared" si="3"/>
        <v>-0.22</v>
      </c>
      <c r="P29">
        <v>7914</v>
      </c>
    </row>
    <row r="30" spans="1:16" x14ac:dyDescent="0.25">
      <c r="A30" t="s">
        <v>20</v>
      </c>
      <c r="B30" t="s">
        <v>41</v>
      </c>
      <c r="C30" s="9"/>
      <c r="D30" s="9"/>
      <c r="E30" s="9">
        <v>6084</v>
      </c>
      <c r="F30" s="9"/>
      <c r="G30" s="9">
        <f t="shared" si="0"/>
        <v>6084</v>
      </c>
      <c r="H30">
        <f t="shared" si="1"/>
        <v>2.7</v>
      </c>
      <c r="I30" s="10">
        <f t="shared" si="2"/>
        <v>6.0000000000000001E-3</v>
      </c>
      <c r="J30">
        <f t="shared" si="3"/>
        <v>0.22</v>
      </c>
      <c r="P30">
        <v>4968</v>
      </c>
    </row>
    <row r="31" spans="1:16" x14ac:dyDescent="0.25">
      <c r="A31" t="s">
        <v>20</v>
      </c>
      <c r="B31" t="s">
        <v>37</v>
      </c>
      <c r="C31" s="9"/>
      <c r="D31" s="9"/>
      <c r="E31" s="9">
        <v>57810</v>
      </c>
      <c r="F31" s="9"/>
      <c r="G31" s="9">
        <f t="shared" si="0"/>
        <v>57810</v>
      </c>
      <c r="H31">
        <f t="shared" si="1"/>
        <v>25.66</v>
      </c>
      <c r="I31" s="10">
        <f t="shared" si="2"/>
        <v>5.6000000000000001E-2</v>
      </c>
      <c r="J31">
        <f t="shared" si="3"/>
        <v>0.11</v>
      </c>
      <c r="P31">
        <v>52160</v>
      </c>
    </row>
    <row r="32" spans="1:16" x14ac:dyDescent="0.25">
      <c r="A32" t="s">
        <v>20</v>
      </c>
      <c r="B32" t="s">
        <v>39</v>
      </c>
      <c r="C32" s="9"/>
      <c r="D32" s="9"/>
      <c r="E32" s="9">
        <v>19080</v>
      </c>
      <c r="F32" s="9"/>
      <c r="G32" s="9">
        <f t="shared" si="0"/>
        <v>19080</v>
      </c>
      <c r="H32">
        <f t="shared" si="1"/>
        <v>8.4700000000000006</v>
      </c>
      <c r="I32" s="10">
        <f t="shared" si="2"/>
        <v>1.9E-2</v>
      </c>
      <c r="J32">
        <f t="shared" si="3"/>
        <v>0.04</v>
      </c>
      <c r="P32">
        <v>18420</v>
      </c>
    </row>
    <row r="33" spans="1:16" x14ac:dyDescent="0.25">
      <c r="A33" t="s">
        <v>20</v>
      </c>
      <c r="B33" t="s">
        <v>40</v>
      </c>
      <c r="C33" s="9"/>
      <c r="D33" s="9"/>
      <c r="E33" s="9">
        <v>109170</v>
      </c>
      <c r="F33" s="9"/>
      <c r="G33" s="9">
        <f t="shared" si="0"/>
        <v>109170</v>
      </c>
      <c r="H33">
        <f t="shared" si="1"/>
        <v>48.46</v>
      </c>
      <c r="I33" s="10">
        <f t="shared" si="2"/>
        <v>0.106</v>
      </c>
      <c r="J33">
        <f t="shared" si="3"/>
        <v>0.35</v>
      </c>
      <c r="P33">
        <v>80750</v>
      </c>
    </row>
    <row r="34" spans="1:16" x14ac:dyDescent="0.25">
      <c r="A34" t="s">
        <v>44</v>
      </c>
      <c r="B34" t="s">
        <v>45</v>
      </c>
      <c r="C34" s="9">
        <v>171540</v>
      </c>
      <c r="D34" s="9"/>
      <c r="E34" s="9"/>
      <c r="F34" s="9"/>
      <c r="G34" s="9">
        <f t="shared" si="0"/>
        <v>171540</v>
      </c>
      <c r="H34">
        <f t="shared" si="1"/>
        <v>76.14</v>
      </c>
      <c r="I34" s="10">
        <f t="shared" si="2"/>
        <v>0.16700000000000001</v>
      </c>
      <c r="J34">
        <f t="shared" si="3"/>
        <v>0</v>
      </c>
      <c r="P34">
        <v>171410</v>
      </c>
    </row>
    <row r="35" spans="1:16" x14ac:dyDescent="0.25">
      <c r="A35" t="s">
        <v>44</v>
      </c>
      <c r="B35" t="s">
        <v>47</v>
      </c>
      <c r="C35" s="9"/>
      <c r="D35" s="9"/>
      <c r="E35" s="9"/>
      <c r="F35" s="9">
        <v>28625</v>
      </c>
      <c r="G35" s="9">
        <f t="shared" si="0"/>
        <v>28625</v>
      </c>
      <c r="H35">
        <f t="shared" si="1"/>
        <v>12.71</v>
      </c>
      <c r="I35" s="10">
        <f t="shared" si="2"/>
        <v>2.8000000000000001E-2</v>
      </c>
      <c r="J35">
        <f t="shared" si="3"/>
        <v>-0.11</v>
      </c>
      <c r="P35">
        <v>32240</v>
      </c>
    </row>
    <row r="36" spans="1:16" x14ac:dyDescent="0.25">
      <c r="A36" t="s">
        <v>44</v>
      </c>
      <c r="B36" t="s">
        <v>46</v>
      </c>
      <c r="C36" s="9"/>
      <c r="D36" s="9"/>
      <c r="E36" s="9">
        <v>56920</v>
      </c>
      <c r="F36" s="9"/>
      <c r="G36" s="9">
        <f t="shared" si="0"/>
        <v>56920</v>
      </c>
      <c r="H36">
        <f t="shared" si="1"/>
        <v>25.26</v>
      </c>
      <c r="I36" s="10">
        <f t="shared" si="2"/>
        <v>5.5E-2</v>
      </c>
      <c r="J36">
        <f t="shared" si="3"/>
        <v>-0.02</v>
      </c>
      <c r="P36">
        <v>58215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624860</v>
      </c>
      <c r="D49" s="12">
        <f t="shared" si="4"/>
        <v>499</v>
      </c>
      <c r="E49" s="12">
        <f t="shared" si="4"/>
        <v>374402</v>
      </c>
      <c r="F49" s="12">
        <f t="shared" si="4"/>
        <v>28755</v>
      </c>
      <c r="G49" s="12">
        <f t="shared" si="4"/>
        <v>1028516</v>
      </c>
      <c r="H49" s="11">
        <f t="shared" si="4"/>
        <v>456.52</v>
      </c>
      <c r="I49" s="4"/>
    </row>
    <row r="50" spans="1:10" x14ac:dyDescent="0.25">
      <c r="A50" s="11" t="s">
        <v>14</v>
      </c>
      <c r="C50" s="13">
        <f>ROUND(C49/G49,2)</f>
        <v>0.61</v>
      </c>
      <c r="D50" s="13">
        <f>ROUND(D49/G49,2)</f>
        <v>0</v>
      </c>
      <c r="E50" s="13">
        <f>ROUND(E49/G49,2)</f>
        <v>0.36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453320</v>
      </c>
      <c r="D54" s="15">
        <v>499</v>
      </c>
      <c r="E54" s="15">
        <v>317482</v>
      </c>
      <c r="F54" s="15">
        <v>0</v>
      </c>
      <c r="G54" s="15">
        <f>SUM(C54:F54)</f>
        <v>771301</v>
      </c>
      <c r="H54" s="17">
        <f>ROUND(G54/2253,2)</f>
        <v>342.34</v>
      </c>
      <c r="I54" s="4"/>
      <c r="J54" s="4"/>
    </row>
    <row r="55" spans="1:10" x14ac:dyDescent="0.25">
      <c r="A55" s="33" t="s">
        <v>50</v>
      </c>
      <c r="B55" s="33"/>
      <c r="C55" s="15">
        <v>171540</v>
      </c>
      <c r="D55" s="15">
        <v>0</v>
      </c>
      <c r="E55" s="15">
        <v>56920</v>
      </c>
      <c r="F55" s="15">
        <v>28625</v>
      </c>
      <c r="G55" s="15">
        <f>SUM(C55:F55)</f>
        <v>257085</v>
      </c>
      <c r="H55" s="17">
        <f>ROUND(G55/2253,2)</f>
        <v>114.11</v>
      </c>
      <c r="I55" s="4"/>
      <c r="J55" s="4"/>
    </row>
    <row r="56" spans="1:10" x14ac:dyDescent="0.25">
      <c r="A56" s="33" t="s">
        <v>51</v>
      </c>
      <c r="B56" s="33"/>
      <c r="C56" s="14">
        <v>0</v>
      </c>
      <c r="D56" s="14">
        <v>0</v>
      </c>
      <c r="E56" s="14">
        <v>0</v>
      </c>
      <c r="F56" s="14">
        <v>130</v>
      </c>
      <c r="G56" s="14">
        <f>SUM(C56:F56)</f>
        <v>130</v>
      </c>
      <c r="H56" s="16">
        <f>ROUND(G56/2253,2)</f>
        <v>0.06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ROUND(0.8033, 4)</f>
        <v>0.80330000000000001</v>
      </c>
      <c r="D60" s="18">
        <f>ROUND(0.7988, 4)</f>
        <v>0.79879999999999995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ROUND(0.7931, 4)</f>
        <v>0.79310000000000003</v>
      </c>
      <c r="D61" s="18">
        <f>ROUND(0.7882, 4)</f>
        <v>0.78820000000000001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118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76.14</v>
      </c>
      <c r="D64" s="16">
        <v>71.59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78.67</v>
      </c>
      <c r="D65" s="16">
        <v>85.28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342.34</v>
      </c>
      <c r="D66" s="16">
        <v>343.44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114.11</v>
      </c>
      <c r="D67" s="16">
        <v>107.92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7"/>
  <sheetViews>
    <sheetView workbookViewId="0"/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851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15</v>
      </c>
      <c r="G9" s="9">
        <f t="shared" ref="G9:G37" si="0">SUM(C9:F9)</f>
        <v>15</v>
      </c>
      <c r="H9">
        <f t="shared" ref="H9:H37" si="1">ROUND(G9/851,2)</f>
        <v>0.02</v>
      </c>
      <c r="I9" s="10">
        <f t="shared" ref="I9:I37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210</v>
      </c>
      <c r="G10" s="9">
        <f t="shared" si="0"/>
        <v>210</v>
      </c>
      <c r="H10">
        <f t="shared" si="1"/>
        <v>0.25</v>
      </c>
      <c r="I10" s="10">
        <f t="shared" si="2"/>
        <v>1E-3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21</v>
      </c>
      <c r="C12" s="9">
        <v>36970</v>
      </c>
      <c r="D12" s="9"/>
      <c r="E12" s="9">
        <v>2113.5500000000002</v>
      </c>
      <c r="F12" s="9"/>
      <c r="G12" s="9">
        <f t="shared" si="0"/>
        <v>39083.550000000003</v>
      </c>
      <c r="H12">
        <f t="shared" si="1"/>
        <v>45.93</v>
      </c>
      <c r="I12" s="10">
        <f t="shared" si="2"/>
        <v>0.11</v>
      </c>
      <c r="J12">
        <f>ROUND(G12/P12-1,2)</f>
        <v>-0.01</v>
      </c>
      <c r="P12">
        <v>39379.14</v>
      </c>
    </row>
    <row r="13" spans="1:16" x14ac:dyDescent="0.25">
      <c r="A13" t="s">
        <v>20</v>
      </c>
      <c r="B13" t="s">
        <v>22</v>
      </c>
      <c r="C13" s="9">
        <v>36110</v>
      </c>
      <c r="D13" s="9"/>
      <c r="E13" s="9">
        <v>643.77</v>
      </c>
      <c r="F13" s="9"/>
      <c r="G13" s="9">
        <f t="shared" si="0"/>
        <v>36753.769999999997</v>
      </c>
      <c r="H13">
        <f t="shared" si="1"/>
        <v>43.19</v>
      </c>
      <c r="I13" s="10">
        <f t="shared" si="2"/>
        <v>0.10299999999999999</v>
      </c>
      <c r="J13">
        <f>ROUND(G13/P13-1,2)</f>
        <v>0.01</v>
      </c>
      <c r="P13">
        <v>36345</v>
      </c>
    </row>
    <row r="14" spans="1:16" x14ac:dyDescent="0.25">
      <c r="A14" t="s">
        <v>20</v>
      </c>
      <c r="B14" t="s">
        <v>23</v>
      </c>
      <c r="C14" s="9"/>
      <c r="D14" s="9"/>
      <c r="E14" s="9">
        <v>312.5</v>
      </c>
      <c r="F14" s="9"/>
      <c r="G14" s="9">
        <f t="shared" si="0"/>
        <v>312.5</v>
      </c>
      <c r="H14">
        <f t="shared" si="1"/>
        <v>0.37</v>
      </c>
      <c r="I14" s="10">
        <f t="shared" si="2"/>
        <v>1E-3</v>
      </c>
      <c r="P14">
        <v>0</v>
      </c>
    </row>
    <row r="15" spans="1:16" x14ac:dyDescent="0.25">
      <c r="A15" t="s">
        <v>20</v>
      </c>
      <c r="B15" t="s">
        <v>24</v>
      </c>
      <c r="C15" s="9"/>
      <c r="D15" s="9"/>
      <c r="E15" s="9">
        <v>30707.33</v>
      </c>
      <c r="F15" s="9"/>
      <c r="G15" s="9">
        <f t="shared" si="0"/>
        <v>30707.33</v>
      </c>
      <c r="H15">
        <f t="shared" si="1"/>
        <v>36.08</v>
      </c>
      <c r="I15" s="10">
        <f t="shared" si="2"/>
        <v>8.5999999999999993E-2</v>
      </c>
      <c r="J15">
        <f>ROUND(G15/P15-1,2)</f>
        <v>-0.16</v>
      </c>
      <c r="P15">
        <v>36692.92</v>
      </c>
    </row>
    <row r="16" spans="1:16" x14ac:dyDescent="0.25">
      <c r="A16" t="s">
        <v>20</v>
      </c>
      <c r="B16" t="s">
        <v>25</v>
      </c>
      <c r="C16" s="9">
        <v>45520</v>
      </c>
      <c r="D16" s="9"/>
      <c r="E16" s="9">
        <v>4622.7700000000004</v>
      </c>
      <c r="F16" s="9"/>
      <c r="G16" s="9">
        <f t="shared" si="0"/>
        <v>50142.770000000004</v>
      </c>
      <c r="H16">
        <f t="shared" si="1"/>
        <v>58.92</v>
      </c>
      <c r="I16" s="10">
        <f t="shared" si="2"/>
        <v>0.14099999999999999</v>
      </c>
      <c r="J16">
        <f>ROUND(G16/P16-1,2)</f>
        <v>-7.0000000000000007E-2</v>
      </c>
      <c r="P16">
        <v>54067.53</v>
      </c>
    </row>
    <row r="17" spans="1:16" x14ac:dyDescent="0.25">
      <c r="A17" t="s">
        <v>20</v>
      </c>
      <c r="B17" t="s">
        <v>26</v>
      </c>
      <c r="C17" s="9">
        <v>50380</v>
      </c>
      <c r="D17" s="9"/>
      <c r="E17" s="9"/>
      <c r="F17" s="9"/>
      <c r="G17" s="9">
        <f t="shared" si="0"/>
        <v>50380</v>
      </c>
      <c r="H17">
        <f t="shared" si="1"/>
        <v>59.2</v>
      </c>
      <c r="I17" s="10">
        <f t="shared" si="2"/>
        <v>0.14199999999999999</v>
      </c>
      <c r="J17">
        <f>ROUND(G17/P17-1,2)</f>
        <v>0.18</v>
      </c>
      <c r="P17">
        <v>42870</v>
      </c>
    </row>
    <row r="18" spans="1:16" x14ac:dyDescent="0.25">
      <c r="A18" t="s">
        <v>20</v>
      </c>
      <c r="B18" t="s">
        <v>27</v>
      </c>
      <c r="C18" s="9"/>
      <c r="D18" s="9"/>
      <c r="E18" s="9">
        <v>231</v>
      </c>
      <c r="F18" s="9"/>
      <c r="G18" s="9">
        <f t="shared" si="0"/>
        <v>231</v>
      </c>
      <c r="H18">
        <f t="shared" si="1"/>
        <v>0.27</v>
      </c>
      <c r="I18" s="10">
        <f t="shared" si="2"/>
        <v>1E-3</v>
      </c>
      <c r="J18">
        <f>ROUND(G18/P18-1,2)</f>
        <v>22.1</v>
      </c>
      <c r="P18">
        <v>10</v>
      </c>
    </row>
    <row r="19" spans="1:16" x14ac:dyDescent="0.25">
      <c r="A19" t="s">
        <v>20</v>
      </c>
      <c r="B19" t="s">
        <v>28</v>
      </c>
      <c r="C19" s="9"/>
      <c r="D19" s="9"/>
      <c r="E19" s="9">
        <v>129</v>
      </c>
      <c r="F19" s="9"/>
      <c r="G19" s="9">
        <f t="shared" si="0"/>
        <v>129</v>
      </c>
      <c r="H19">
        <f t="shared" si="1"/>
        <v>0.15</v>
      </c>
      <c r="I19" s="10">
        <f t="shared" si="2"/>
        <v>0</v>
      </c>
      <c r="J19">
        <f>ROUND(G19/P19-1,2)</f>
        <v>8.92</v>
      </c>
      <c r="P19">
        <v>13</v>
      </c>
    </row>
    <row r="20" spans="1:16" x14ac:dyDescent="0.25">
      <c r="A20" t="s">
        <v>20</v>
      </c>
      <c r="B20" t="s">
        <v>29</v>
      </c>
      <c r="C20" s="9"/>
      <c r="D20" s="9"/>
      <c r="E20" s="9">
        <v>15.95</v>
      </c>
      <c r="F20" s="9"/>
      <c r="G20" s="9">
        <f t="shared" si="0"/>
        <v>15.95</v>
      </c>
      <c r="H20">
        <f t="shared" si="1"/>
        <v>0.02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30</v>
      </c>
      <c r="C21" s="9"/>
      <c r="D21" s="9"/>
      <c r="E21" s="9">
        <v>594.03</v>
      </c>
      <c r="F21" s="9"/>
      <c r="G21" s="9">
        <f t="shared" si="0"/>
        <v>594.03</v>
      </c>
      <c r="H21">
        <f t="shared" si="1"/>
        <v>0.7</v>
      </c>
      <c r="I21" s="10">
        <f t="shared" si="2"/>
        <v>2E-3</v>
      </c>
      <c r="J21">
        <f>ROUND(G21/P21-1,2)</f>
        <v>-0.33</v>
      </c>
      <c r="P21">
        <v>893.09</v>
      </c>
    </row>
    <row r="22" spans="1:16" x14ac:dyDescent="0.25">
      <c r="A22" t="s">
        <v>20</v>
      </c>
      <c r="B22" t="s">
        <v>31</v>
      </c>
      <c r="C22" s="9"/>
      <c r="D22" s="9"/>
      <c r="E22" s="9">
        <v>203.63</v>
      </c>
      <c r="F22" s="9"/>
      <c r="G22" s="9">
        <f t="shared" si="0"/>
        <v>203.63</v>
      </c>
      <c r="H22">
        <f t="shared" si="1"/>
        <v>0.24</v>
      </c>
      <c r="I22" s="10">
        <f t="shared" si="2"/>
        <v>1E-3</v>
      </c>
      <c r="J22">
        <f>ROUND(G22/P22-1,2)</f>
        <v>-0.53</v>
      </c>
      <c r="P22">
        <v>436.15</v>
      </c>
    </row>
    <row r="23" spans="1:16" x14ac:dyDescent="0.25">
      <c r="A23" t="s">
        <v>20</v>
      </c>
      <c r="B23" t="s">
        <v>32</v>
      </c>
      <c r="C23" s="9"/>
      <c r="D23" s="9"/>
      <c r="E23" s="9">
        <v>71.430000000000007</v>
      </c>
      <c r="F23" s="9"/>
      <c r="G23" s="9">
        <f t="shared" si="0"/>
        <v>71.430000000000007</v>
      </c>
      <c r="H23">
        <f t="shared" si="1"/>
        <v>0.08</v>
      </c>
      <c r="I23" s="10">
        <f t="shared" si="2"/>
        <v>0</v>
      </c>
      <c r="J23">
        <f>ROUND(G23/P23-1,2)</f>
        <v>-0.66</v>
      </c>
      <c r="P23">
        <v>210.86</v>
      </c>
    </row>
    <row r="24" spans="1:16" x14ac:dyDescent="0.25">
      <c r="A24" t="s">
        <v>20</v>
      </c>
      <c r="B24" t="s">
        <v>33</v>
      </c>
      <c r="C24" s="9"/>
      <c r="D24" s="9"/>
      <c r="E24" s="9">
        <v>347.18</v>
      </c>
      <c r="F24" s="9"/>
      <c r="G24" s="9">
        <f t="shared" si="0"/>
        <v>347.18</v>
      </c>
      <c r="H24">
        <f t="shared" si="1"/>
        <v>0.41</v>
      </c>
      <c r="I24" s="10">
        <f t="shared" si="2"/>
        <v>1E-3</v>
      </c>
      <c r="P24">
        <v>0</v>
      </c>
    </row>
    <row r="25" spans="1:16" x14ac:dyDescent="0.25">
      <c r="A25" t="s">
        <v>20</v>
      </c>
      <c r="B25" t="s">
        <v>34</v>
      </c>
      <c r="C25" s="9"/>
      <c r="D25" s="9"/>
      <c r="E25" s="9">
        <v>141.16999999999999</v>
      </c>
      <c r="F25" s="9"/>
      <c r="G25" s="9">
        <f t="shared" si="0"/>
        <v>141.16999999999999</v>
      </c>
      <c r="H25">
        <f t="shared" si="1"/>
        <v>0.17</v>
      </c>
      <c r="I25" s="10">
        <f t="shared" si="2"/>
        <v>0</v>
      </c>
      <c r="J25">
        <f t="shared" ref="J25:J33" si="3">ROUND(G25/P25-1,2)</f>
        <v>-0.66</v>
      </c>
      <c r="P25">
        <v>414.34</v>
      </c>
    </row>
    <row r="26" spans="1:16" x14ac:dyDescent="0.25">
      <c r="A26" t="s">
        <v>20</v>
      </c>
      <c r="B26" t="s">
        <v>35</v>
      </c>
      <c r="C26" s="9"/>
      <c r="D26" s="9"/>
      <c r="E26" s="9">
        <v>203.01</v>
      </c>
      <c r="F26" s="9"/>
      <c r="G26" s="9">
        <f t="shared" si="0"/>
        <v>203.01</v>
      </c>
      <c r="H26">
        <f t="shared" si="1"/>
        <v>0.24</v>
      </c>
      <c r="I26" s="10">
        <f t="shared" si="2"/>
        <v>1E-3</v>
      </c>
      <c r="J26">
        <f t="shared" si="3"/>
        <v>-0.75</v>
      </c>
      <c r="P26">
        <v>802.01</v>
      </c>
    </row>
    <row r="27" spans="1:16" x14ac:dyDescent="0.25">
      <c r="A27" t="s">
        <v>20</v>
      </c>
      <c r="B27" t="s">
        <v>36</v>
      </c>
      <c r="C27" s="9"/>
      <c r="D27" s="9"/>
      <c r="E27" s="9">
        <v>1234.58</v>
      </c>
      <c r="F27" s="9"/>
      <c r="G27" s="9">
        <f t="shared" si="0"/>
        <v>1234.58</v>
      </c>
      <c r="H27">
        <f t="shared" si="1"/>
        <v>1.45</v>
      </c>
      <c r="I27" s="10">
        <f t="shared" si="2"/>
        <v>3.0000000000000001E-3</v>
      </c>
      <c r="J27">
        <f t="shared" si="3"/>
        <v>-0.53</v>
      </c>
      <c r="P27">
        <v>2608.2800000000002</v>
      </c>
    </row>
    <row r="28" spans="1:16" x14ac:dyDescent="0.25">
      <c r="A28" t="s">
        <v>20</v>
      </c>
      <c r="B28" t="s">
        <v>37</v>
      </c>
      <c r="C28" s="9"/>
      <c r="D28" s="9"/>
      <c r="E28" s="9">
        <v>19610.25</v>
      </c>
      <c r="F28" s="9"/>
      <c r="G28" s="9">
        <f t="shared" si="0"/>
        <v>19610.25</v>
      </c>
      <c r="H28">
        <f t="shared" si="1"/>
        <v>23.04</v>
      </c>
      <c r="I28" s="10">
        <f t="shared" si="2"/>
        <v>5.5E-2</v>
      </c>
      <c r="J28">
        <f t="shared" si="3"/>
        <v>-0.24</v>
      </c>
      <c r="P28">
        <v>25961.03</v>
      </c>
    </row>
    <row r="29" spans="1:16" x14ac:dyDescent="0.25">
      <c r="A29" t="s">
        <v>20</v>
      </c>
      <c r="B29" t="s">
        <v>38</v>
      </c>
      <c r="C29" s="9"/>
      <c r="D29" s="9"/>
      <c r="E29" s="9">
        <v>795.77</v>
      </c>
      <c r="F29" s="9"/>
      <c r="G29" s="9">
        <f t="shared" si="0"/>
        <v>795.77</v>
      </c>
      <c r="H29">
        <f t="shared" si="1"/>
        <v>0.94</v>
      </c>
      <c r="I29" s="10">
        <f t="shared" si="2"/>
        <v>2E-3</v>
      </c>
      <c r="J29">
        <f t="shared" si="3"/>
        <v>-0.43</v>
      </c>
      <c r="P29">
        <v>1403.01</v>
      </c>
    </row>
    <row r="30" spans="1:16" x14ac:dyDescent="0.25">
      <c r="A30" t="s">
        <v>20</v>
      </c>
      <c r="B30" t="s">
        <v>39</v>
      </c>
      <c r="C30" s="9"/>
      <c r="D30" s="9"/>
      <c r="E30" s="9">
        <v>6022.15</v>
      </c>
      <c r="F30" s="9"/>
      <c r="G30" s="9">
        <f t="shared" si="0"/>
        <v>6022.15</v>
      </c>
      <c r="H30">
        <f t="shared" si="1"/>
        <v>7.08</v>
      </c>
      <c r="I30" s="10">
        <f t="shared" si="2"/>
        <v>1.7000000000000001E-2</v>
      </c>
      <c r="J30">
        <f t="shared" si="3"/>
        <v>-0.14000000000000001</v>
      </c>
      <c r="P30">
        <v>6982.48</v>
      </c>
    </row>
    <row r="31" spans="1:16" x14ac:dyDescent="0.25">
      <c r="A31" t="s">
        <v>20</v>
      </c>
      <c r="B31" t="s">
        <v>40</v>
      </c>
      <c r="C31" s="9"/>
      <c r="D31" s="9"/>
      <c r="E31" s="9">
        <v>15201.43</v>
      </c>
      <c r="F31" s="9"/>
      <c r="G31" s="9">
        <f t="shared" si="0"/>
        <v>15201.43</v>
      </c>
      <c r="H31">
        <f t="shared" si="1"/>
        <v>17.86</v>
      </c>
      <c r="I31" s="10">
        <f t="shared" si="2"/>
        <v>4.2999999999999997E-2</v>
      </c>
      <c r="J31">
        <f t="shared" si="3"/>
        <v>-0.05</v>
      </c>
      <c r="P31">
        <v>16051.17</v>
      </c>
    </row>
    <row r="32" spans="1:16" x14ac:dyDescent="0.25">
      <c r="A32" t="s">
        <v>20</v>
      </c>
      <c r="B32" t="s">
        <v>41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 t="shared" si="3"/>
        <v>-1</v>
      </c>
      <c r="P32">
        <v>1064</v>
      </c>
    </row>
    <row r="33" spans="1:16" x14ac:dyDescent="0.25">
      <c r="A33" t="s">
        <v>20</v>
      </c>
      <c r="B33" t="s">
        <v>42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J33">
        <f t="shared" si="3"/>
        <v>-1</v>
      </c>
      <c r="P33">
        <v>25.6</v>
      </c>
    </row>
    <row r="34" spans="1:16" x14ac:dyDescent="0.25">
      <c r="A34" t="s">
        <v>20</v>
      </c>
      <c r="B34" t="s">
        <v>43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44</v>
      </c>
      <c r="B35" t="s">
        <v>45</v>
      </c>
      <c r="C35" s="9">
        <v>85250</v>
      </c>
      <c r="D35" s="9"/>
      <c r="E35" s="9"/>
      <c r="F35" s="9"/>
      <c r="G35" s="9">
        <f t="shared" si="0"/>
        <v>85250</v>
      </c>
      <c r="H35">
        <f t="shared" si="1"/>
        <v>100.18</v>
      </c>
      <c r="I35" s="10">
        <f t="shared" si="2"/>
        <v>0.23899999999999999</v>
      </c>
      <c r="J35">
        <f>ROUND(G35/P35-1,2)</f>
        <v>0.32</v>
      </c>
      <c r="P35">
        <v>64585</v>
      </c>
    </row>
    <row r="36" spans="1:16" x14ac:dyDescent="0.25">
      <c r="A36" t="s">
        <v>44</v>
      </c>
      <c r="B36" t="s">
        <v>46</v>
      </c>
      <c r="C36" s="9"/>
      <c r="D36" s="9"/>
      <c r="E36" s="9">
        <v>18320.62</v>
      </c>
      <c r="F36" s="9"/>
      <c r="G36" s="9">
        <f t="shared" si="0"/>
        <v>18320.62</v>
      </c>
      <c r="H36">
        <f t="shared" si="1"/>
        <v>21.53</v>
      </c>
      <c r="I36" s="10">
        <f t="shared" si="2"/>
        <v>5.0999999999999997E-2</v>
      </c>
      <c r="J36">
        <f>ROUND(G36/P36-1,2)</f>
        <v>0.35</v>
      </c>
      <c r="P36">
        <v>13593.42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SUM(C8:C37)</f>
        <v>254230</v>
      </c>
      <c r="D49" s="12">
        <f t="shared" si="4"/>
        <v>0</v>
      </c>
      <c r="E49" s="12">
        <f t="shared" si="4"/>
        <v>101521.12</v>
      </c>
      <c r="F49" s="12">
        <f t="shared" si="4"/>
        <v>225</v>
      </c>
      <c r="G49" s="12">
        <f t="shared" si="4"/>
        <v>355976.12</v>
      </c>
      <c r="H49" s="11">
        <f t="shared" si="4"/>
        <v>418.32000000000005</v>
      </c>
      <c r="I49" s="4"/>
    </row>
    <row r="50" spans="1:10" x14ac:dyDescent="0.25">
      <c r="A50" s="11" t="s">
        <v>14</v>
      </c>
      <c r="C50" s="13">
        <f>ROUND(C49/G49,2)</f>
        <v>0.71</v>
      </c>
      <c r="D50" s="13">
        <f>ROUND(D49/G49,2)</f>
        <v>0</v>
      </c>
      <c r="E50" s="13">
        <f>ROUND(E49/G49,2)</f>
        <v>0.28999999999999998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168980</v>
      </c>
      <c r="D54" s="15">
        <v>0</v>
      </c>
      <c r="E54" s="15">
        <v>83200.5</v>
      </c>
      <c r="F54" s="15">
        <v>0</v>
      </c>
      <c r="G54" s="15">
        <f>SUM(C54:F54)</f>
        <v>252180.5</v>
      </c>
      <c r="H54" s="17">
        <f>ROUND(G54/851,2)</f>
        <v>296.33</v>
      </c>
      <c r="I54" s="4"/>
      <c r="J54" s="4"/>
    </row>
    <row r="55" spans="1:10" x14ac:dyDescent="0.25">
      <c r="A55" s="33" t="s">
        <v>50</v>
      </c>
      <c r="B55" s="33"/>
      <c r="C55" s="15">
        <v>85250</v>
      </c>
      <c r="D55" s="15">
        <v>0</v>
      </c>
      <c r="E55" s="15">
        <v>18320.62</v>
      </c>
      <c r="F55" s="15">
        <v>0</v>
      </c>
      <c r="G55" s="15">
        <f>SUM(C55:F55)</f>
        <v>103570.62</v>
      </c>
      <c r="H55" s="17">
        <f>ROUND(G55/851,2)</f>
        <v>121.7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225</v>
      </c>
      <c r="G56" s="15">
        <f>SUM(C56:F56)</f>
        <v>225</v>
      </c>
      <c r="H56" s="17">
        <f>ROUND(G56/851,2)</f>
        <v>0.26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ROUND(0.7314, 4)</f>
        <v>0.73140000000000005</v>
      </c>
      <c r="D60" s="19">
        <f>ROUND(0.7855, 4)</f>
        <v>0.78549999999999998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ROUND(0.6867, 4)</f>
        <v>0.68669999999999998</v>
      </c>
      <c r="D61" s="19">
        <f>ROUND(0.7377, 4)</f>
        <v>0.73770000000000002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56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100.18</v>
      </c>
      <c r="D64" s="16">
        <v>83.09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59.2</v>
      </c>
      <c r="D65" s="16">
        <v>51.4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296.33</v>
      </c>
      <c r="D66" s="16">
        <v>298.91000000000003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121.7</v>
      </c>
      <c r="D67" s="16">
        <v>103.74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P88"/>
  <sheetViews>
    <sheetView topLeftCell="A51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119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151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/>
      <c r="D9" s="9">
        <v>8625</v>
      </c>
      <c r="E9" s="9"/>
      <c r="F9" s="9"/>
      <c r="G9" s="9">
        <f t="shared" ref="G9:G20" si="0">SUM(C9:F9)</f>
        <v>8625</v>
      </c>
      <c r="H9">
        <f t="shared" ref="H9:H20" si="1">ROUND(G9/151,2)</f>
        <v>57.12</v>
      </c>
      <c r="I9" s="10">
        <f t="shared" ref="I9:I20" si="2">ROUND(G9/$G$49,3)</f>
        <v>0.111</v>
      </c>
      <c r="J9">
        <f>ROUND(G9/P9-1,2)</f>
        <v>-0.18</v>
      </c>
      <c r="P9">
        <v>10500</v>
      </c>
    </row>
    <row r="10" spans="1:16" x14ac:dyDescent="0.25">
      <c r="A10" t="s">
        <v>20</v>
      </c>
      <c r="B10" t="s">
        <v>22</v>
      </c>
      <c r="C10" s="9"/>
      <c r="D10" s="9">
        <v>8120</v>
      </c>
      <c r="E10" s="9"/>
      <c r="F10" s="9"/>
      <c r="G10" s="9">
        <f t="shared" si="0"/>
        <v>8120</v>
      </c>
      <c r="H10">
        <f t="shared" si="1"/>
        <v>53.77</v>
      </c>
      <c r="I10" s="10">
        <f t="shared" si="2"/>
        <v>0.104</v>
      </c>
      <c r="J10">
        <f>ROUND(G10/P10-1,2)</f>
        <v>-0.01</v>
      </c>
      <c r="P10">
        <v>8190</v>
      </c>
    </row>
    <row r="11" spans="1:16" x14ac:dyDescent="0.25">
      <c r="A11" t="s">
        <v>20</v>
      </c>
      <c r="B11" t="s">
        <v>25</v>
      </c>
      <c r="C11" s="9"/>
      <c r="D11" s="9">
        <v>8920</v>
      </c>
      <c r="E11" s="9"/>
      <c r="F11" s="9"/>
      <c r="G11" s="9">
        <f t="shared" si="0"/>
        <v>8920</v>
      </c>
      <c r="H11">
        <f t="shared" si="1"/>
        <v>59.07</v>
      </c>
      <c r="I11" s="10">
        <f t="shared" si="2"/>
        <v>0.114</v>
      </c>
      <c r="J11">
        <f>ROUND(G11/P11-1,2)</f>
        <v>7.0000000000000007E-2</v>
      </c>
      <c r="P11">
        <v>8370</v>
      </c>
    </row>
    <row r="12" spans="1:16" x14ac:dyDescent="0.25">
      <c r="A12" t="s">
        <v>20</v>
      </c>
      <c r="B12" t="s">
        <v>26</v>
      </c>
      <c r="C12" s="9"/>
      <c r="D12" s="9"/>
      <c r="E12" s="9"/>
      <c r="F12" s="9">
        <v>160</v>
      </c>
      <c r="G12" s="9">
        <f t="shared" si="0"/>
        <v>160</v>
      </c>
      <c r="H12">
        <f t="shared" si="1"/>
        <v>1.06</v>
      </c>
      <c r="I12" s="10">
        <f t="shared" si="2"/>
        <v>2E-3</v>
      </c>
      <c r="P12">
        <v>0</v>
      </c>
    </row>
    <row r="13" spans="1:16" x14ac:dyDescent="0.25">
      <c r="A13" t="s">
        <v>20</v>
      </c>
      <c r="B13" t="s">
        <v>43</v>
      </c>
      <c r="C13" s="9"/>
      <c r="D13" s="9">
        <v>73</v>
      </c>
      <c r="E13" s="9"/>
      <c r="F13" s="9"/>
      <c r="G13" s="9">
        <f t="shared" si="0"/>
        <v>73</v>
      </c>
      <c r="H13">
        <f t="shared" si="1"/>
        <v>0.48</v>
      </c>
      <c r="I13" s="10">
        <f t="shared" si="2"/>
        <v>1E-3</v>
      </c>
      <c r="J13">
        <f>ROUND(G13/P13-1,2)</f>
        <v>1.21</v>
      </c>
      <c r="P13">
        <v>33</v>
      </c>
    </row>
    <row r="14" spans="1:16" x14ac:dyDescent="0.25">
      <c r="A14" t="s">
        <v>20</v>
      </c>
      <c r="B14" t="s">
        <v>34</v>
      </c>
      <c r="C14" s="9"/>
      <c r="D14" s="9">
        <v>61</v>
      </c>
      <c r="E14" s="9"/>
      <c r="F14" s="9"/>
      <c r="G14" s="9">
        <f t="shared" si="0"/>
        <v>61</v>
      </c>
      <c r="H14">
        <f t="shared" si="1"/>
        <v>0.4</v>
      </c>
      <c r="I14" s="10">
        <f t="shared" si="2"/>
        <v>1E-3</v>
      </c>
      <c r="J14">
        <f>ROUND(G14/P14-1,2)</f>
        <v>0.74</v>
      </c>
      <c r="P14">
        <v>35</v>
      </c>
    </row>
    <row r="15" spans="1:16" x14ac:dyDescent="0.25">
      <c r="A15" t="s">
        <v>20</v>
      </c>
      <c r="B15" t="s">
        <v>39</v>
      </c>
      <c r="C15" s="9"/>
      <c r="D15" s="9"/>
      <c r="E15" s="9">
        <v>2830</v>
      </c>
      <c r="F15" s="9"/>
      <c r="G15" s="9">
        <f t="shared" si="0"/>
        <v>2830</v>
      </c>
      <c r="H15">
        <f t="shared" si="1"/>
        <v>18.739999999999998</v>
      </c>
      <c r="I15" s="10">
        <f t="shared" si="2"/>
        <v>3.5999999999999997E-2</v>
      </c>
      <c r="J15">
        <f>ROUND(G15/P15-1,2)</f>
        <v>-0.04</v>
      </c>
      <c r="P15">
        <v>2940</v>
      </c>
    </row>
    <row r="16" spans="1:16" x14ac:dyDescent="0.25">
      <c r="A16" t="s">
        <v>20</v>
      </c>
      <c r="B16" t="s">
        <v>40</v>
      </c>
      <c r="C16" s="9"/>
      <c r="D16" s="9"/>
      <c r="E16" s="9">
        <v>6960</v>
      </c>
      <c r="F16" s="9"/>
      <c r="G16" s="9">
        <f t="shared" si="0"/>
        <v>6960</v>
      </c>
      <c r="H16">
        <f t="shared" si="1"/>
        <v>46.09</v>
      </c>
      <c r="I16" s="10">
        <f t="shared" si="2"/>
        <v>8.8999999999999996E-2</v>
      </c>
      <c r="J16">
        <f>ROUND(G16/P16-1,2)</f>
        <v>0.75</v>
      </c>
      <c r="P16">
        <v>3970</v>
      </c>
    </row>
    <row r="17" spans="1:16" x14ac:dyDescent="0.25">
      <c r="A17" t="s">
        <v>20</v>
      </c>
      <c r="B17" t="s">
        <v>24</v>
      </c>
      <c r="C17" s="9"/>
      <c r="D17" s="9"/>
      <c r="E17" s="9"/>
      <c r="F17" s="9"/>
      <c r="G17" s="9">
        <f t="shared" si="0"/>
        <v>0</v>
      </c>
      <c r="H17">
        <f t="shared" si="1"/>
        <v>0</v>
      </c>
      <c r="I17" s="10">
        <f t="shared" si="2"/>
        <v>0</v>
      </c>
      <c r="P17">
        <v>0</v>
      </c>
    </row>
    <row r="18" spans="1:16" x14ac:dyDescent="0.25">
      <c r="A18" t="s">
        <v>44</v>
      </c>
      <c r="B18" t="s">
        <v>45</v>
      </c>
      <c r="C18" s="9">
        <v>2110</v>
      </c>
      <c r="D18" s="9">
        <v>29375</v>
      </c>
      <c r="E18" s="9"/>
      <c r="F18" s="9"/>
      <c r="G18" s="9">
        <f t="shared" si="0"/>
        <v>31485</v>
      </c>
      <c r="H18">
        <f t="shared" si="1"/>
        <v>208.51</v>
      </c>
      <c r="I18" s="10">
        <f t="shared" si="2"/>
        <v>0.40300000000000002</v>
      </c>
      <c r="J18">
        <f>ROUND(G18/P18-1,2)</f>
        <v>-0.05</v>
      </c>
      <c r="P18">
        <v>33105</v>
      </c>
    </row>
    <row r="19" spans="1:16" x14ac:dyDescent="0.25">
      <c r="A19" t="s">
        <v>44</v>
      </c>
      <c r="B19" t="s">
        <v>46</v>
      </c>
      <c r="C19" s="9"/>
      <c r="D19" s="9"/>
      <c r="E19" s="9">
        <v>10820</v>
      </c>
      <c r="F19" s="9"/>
      <c r="G19" s="9">
        <f t="shared" si="0"/>
        <v>10820</v>
      </c>
      <c r="H19">
        <f t="shared" si="1"/>
        <v>71.66</v>
      </c>
      <c r="I19" s="10">
        <f t="shared" si="2"/>
        <v>0.13900000000000001</v>
      </c>
      <c r="J19">
        <f>ROUND(G19/P19-1,2)</f>
        <v>0.63</v>
      </c>
      <c r="P19">
        <v>6640</v>
      </c>
    </row>
    <row r="20" spans="1:16" x14ac:dyDescent="0.25">
      <c r="A20" t="s">
        <v>16</v>
      </c>
      <c r="B20" t="s">
        <v>19</v>
      </c>
      <c r="C20" s="9"/>
      <c r="D20" s="9"/>
      <c r="E20" s="9"/>
      <c r="F20" s="9"/>
      <c r="G20" s="9">
        <f t="shared" si="0"/>
        <v>0</v>
      </c>
      <c r="H20">
        <f t="shared" si="1"/>
        <v>0</v>
      </c>
      <c r="I20" s="10">
        <f t="shared" si="2"/>
        <v>0</v>
      </c>
      <c r="P20">
        <v>0</v>
      </c>
    </row>
    <row r="21" spans="1:16" x14ac:dyDescent="0.25">
      <c r="C21" s="9"/>
      <c r="D21" s="9"/>
      <c r="E21" s="9"/>
      <c r="F21" s="9"/>
      <c r="G21" s="9"/>
      <c r="I21" s="10"/>
    </row>
    <row r="22" spans="1:16" x14ac:dyDescent="0.25">
      <c r="C22" s="9"/>
      <c r="D22" s="9"/>
      <c r="E22" s="9"/>
      <c r="F22" s="9"/>
      <c r="G22" s="9"/>
      <c r="I22" s="10"/>
    </row>
    <row r="23" spans="1:16" x14ac:dyDescent="0.25">
      <c r="C23" s="9"/>
      <c r="D23" s="9"/>
      <c r="E23" s="9"/>
      <c r="F23" s="9"/>
      <c r="G23" s="9"/>
      <c r="I23" s="10"/>
    </row>
    <row r="24" spans="1:16" x14ac:dyDescent="0.25">
      <c r="C24" s="9"/>
      <c r="D24" s="9"/>
      <c r="E24" s="9"/>
      <c r="F24" s="9"/>
      <c r="G24" s="9"/>
      <c r="I24" s="10"/>
    </row>
    <row r="25" spans="1:16" x14ac:dyDescent="0.25">
      <c r="C25" s="9"/>
      <c r="D25" s="9"/>
      <c r="E25" s="9"/>
      <c r="F25" s="9"/>
      <c r="G25" s="9"/>
      <c r="I25" s="10"/>
    </row>
    <row r="26" spans="1:16" x14ac:dyDescent="0.25">
      <c r="C26" s="9"/>
      <c r="D26" s="9"/>
      <c r="E26" s="9"/>
      <c r="F26" s="9"/>
      <c r="G26" s="9"/>
      <c r="I26" s="10"/>
    </row>
    <row r="27" spans="1:16" x14ac:dyDescent="0.25">
      <c r="C27" s="9"/>
      <c r="D27" s="9"/>
      <c r="E27" s="9"/>
      <c r="F27" s="9"/>
      <c r="G27" s="9"/>
      <c r="I27" s="10"/>
    </row>
    <row r="28" spans="1:16" x14ac:dyDescent="0.25">
      <c r="C28" s="9"/>
      <c r="D28" s="9"/>
      <c r="E28" s="9"/>
      <c r="F28" s="9"/>
      <c r="G28" s="9"/>
      <c r="I28" s="10"/>
    </row>
    <row r="29" spans="1:16" x14ac:dyDescent="0.25">
      <c r="C29" s="9"/>
      <c r="D29" s="9"/>
      <c r="E29" s="9"/>
      <c r="F29" s="9"/>
      <c r="G29" s="9"/>
      <c r="I29" s="10"/>
    </row>
    <row r="30" spans="1:16" x14ac:dyDescent="0.25">
      <c r="C30" s="9"/>
      <c r="D30" s="9"/>
      <c r="E30" s="9"/>
      <c r="F30" s="9"/>
      <c r="G30" s="9"/>
      <c r="I30" s="10"/>
    </row>
    <row r="31" spans="1:16" x14ac:dyDescent="0.25">
      <c r="C31" s="9"/>
      <c r="D31" s="9"/>
      <c r="E31" s="9"/>
      <c r="F31" s="9"/>
      <c r="G31" s="9"/>
      <c r="I31" s="10"/>
    </row>
    <row r="32" spans="1:16" x14ac:dyDescent="0.25">
      <c r="C32" s="9"/>
      <c r="D32" s="9"/>
      <c r="E32" s="9"/>
      <c r="F32" s="9"/>
      <c r="G32" s="9"/>
      <c r="I32" s="10"/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3">SUM(C8:C20)</f>
        <v>2110</v>
      </c>
      <c r="D49" s="12">
        <f t="shared" si="3"/>
        <v>55174</v>
      </c>
      <c r="E49" s="12">
        <f t="shared" si="3"/>
        <v>20610</v>
      </c>
      <c r="F49" s="12">
        <f t="shared" si="3"/>
        <v>160</v>
      </c>
      <c r="G49" s="12">
        <f t="shared" si="3"/>
        <v>78054</v>
      </c>
      <c r="H49" s="11">
        <f t="shared" si="3"/>
        <v>516.9</v>
      </c>
      <c r="I49" s="4"/>
    </row>
    <row r="50" spans="1:10" x14ac:dyDescent="0.25">
      <c r="A50" s="11" t="s">
        <v>14</v>
      </c>
      <c r="C50" s="13">
        <f>ROUND(C49/G49,2)</f>
        <v>0.03</v>
      </c>
      <c r="D50" s="13">
        <f>ROUND(D49/G49,2)</f>
        <v>0.71</v>
      </c>
      <c r="E50" s="13">
        <f>ROUND(E49/G49,2)</f>
        <v>0.26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0</v>
      </c>
      <c r="D54" s="15">
        <v>25799</v>
      </c>
      <c r="E54" s="15">
        <v>9790</v>
      </c>
      <c r="F54" s="15">
        <v>160</v>
      </c>
      <c r="G54" s="15">
        <f>SUM(C54:F54)</f>
        <v>35749</v>
      </c>
      <c r="H54" s="17">
        <f>ROUND(G54/151,2)</f>
        <v>236.75</v>
      </c>
      <c r="I54" s="4"/>
      <c r="J54" s="4"/>
    </row>
    <row r="55" spans="1:10" x14ac:dyDescent="0.25">
      <c r="A55" s="33" t="s">
        <v>50</v>
      </c>
      <c r="B55" s="33"/>
      <c r="C55" s="15">
        <v>2110</v>
      </c>
      <c r="D55" s="15">
        <v>29375</v>
      </c>
      <c r="E55" s="15">
        <v>10820</v>
      </c>
      <c r="F55" s="15">
        <v>0</v>
      </c>
      <c r="G55" s="15">
        <f>SUM(C55:F55)</f>
        <v>42305</v>
      </c>
      <c r="H55" s="17">
        <f>ROUND(G55/151,2)</f>
        <v>280.17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ROUND(G56/151,2)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ROUND(0.5817, 4)</f>
        <v>0.58169999999999999</v>
      </c>
      <c r="D60" s="19">
        <f>ROUND(0.5416, 4)</f>
        <v>0.54159999999999997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ROUND(0.5406, 4)</f>
        <v>0.54059999999999997</v>
      </c>
      <c r="D61" s="19">
        <f>ROUND(0.4887, 4)</f>
        <v>0.48870000000000002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120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208.51</v>
      </c>
      <c r="D64" s="17">
        <v>185.74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1.06</v>
      </c>
      <c r="D65" s="17">
        <v>41.37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236.75</v>
      </c>
      <c r="D66" s="17">
        <v>275.32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280.17</v>
      </c>
      <c r="D67" s="17">
        <v>247.41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  <row r="80" spans="1:10" x14ac:dyDescent="0.25">
      <c r="C80" s="3"/>
      <c r="D80" s="3"/>
      <c r="E80" s="3"/>
      <c r="F80" s="3"/>
      <c r="G80" s="3"/>
      <c r="H80" s="3"/>
      <c r="I80" s="4"/>
      <c r="J80" s="4"/>
    </row>
    <row r="81" spans="3:10" x14ac:dyDescent="0.25">
      <c r="C81" s="3"/>
      <c r="D81" s="3"/>
      <c r="E81" s="3"/>
      <c r="F81" s="3"/>
      <c r="G81" s="3"/>
      <c r="H81" s="3"/>
      <c r="I81" s="4"/>
      <c r="J81" s="4"/>
    </row>
    <row r="82" spans="3:10" x14ac:dyDescent="0.25">
      <c r="C82" s="3"/>
      <c r="D82" s="3"/>
      <c r="E82" s="3"/>
      <c r="F82" s="3"/>
      <c r="G82" s="3"/>
      <c r="H82" s="3"/>
      <c r="I82" s="4"/>
      <c r="J82" s="4"/>
    </row>
    <row r="83" spans="3:10" x14ac:dyDescent="0.25">
      <c r="C83" s="3"/>
      <c r="D83" s="3"/>
      <c r="E83" s="3"/>
      <c r="F83" s="3"/>
      <c r="G83" s="3"/>
      <c r="H83" s="3"/>
      <c r="I83" s="4"/>
      <c r="J83" s="4"/>
    </row>
    <row r="84" spans="3:10" x14ac:dyDescent="0.25">
      <c r="C84" s="3"/>
      <c r="D84" s="3"/>
      <c r="E84" s="3"/>
      <c r="F84" s="3"/>
      <c r="G84" s="3"/>
      <c r="H84" s="3"/>
      <c r="I84" s="4"/>
      <c r="J84" s="4"/>
    </row>
    <row r="85" spans="3:10" x14ac:dyDescent="0.25">
      <c r="C85" s="3"/>
      <c r="D85" s="3"/>
      <c r="E85" s="3"/>
      <c r="F85" s="3"/>
      <c r="G85" s="3"/>
      <c r="H85" s="3"/>
      <c r="I85" s="4"/>
      <c r="J85" s="4"/>
    </row>
    <row r="86" spans="3:10" x14ac:dyDescent="0.25">
      <c r="C86" s="3"/>
      <c r="D86" s="3"/>
      <c r="E86" s="3"/>
      <c r="F86" s="3"/>
      <c r="G86" s="3"/>
      <c r="H86" s="3"/>
      <c r="I86" s="4"/>
      <c r="J86" s="4"/>
    </row>
    <row r="87" spans="3:10" x14ac:dyDescent="0.25">
      <c r="C87" s="3"/>
      <c r="D87" s="3"/>
      <c r="E87" s="3"/>
      <c r="F87" s="3"/>
      <c r="G87" s="3"/>
      <c r="H87" s="3"/>
      <c r="I87" s="4"/>
      <c r="J87" s="4"/>
    </row>
    <row r="88" spans="3:10" x14ac:dyDescent="0.25">
      <c r="C88" s="3"/>
      <c r="D88" s="3"/>
      <c r="E88" s="3"/>
      <c r="F88" s="3"/>
      <c r="G88" s="3"/>
      <c r="H88" s="3"/>
      <c r="I88" s="4"/>
      <c r="J8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P70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6.57031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121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1268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145</v>
      </c>
      <c r="G9" s="9">
        <f t="shared" ref="G9:G41" si="0">SUM(C9:F9)</f>
        <v>145</v>
      </c>
      <c r="H9">
        <f t="shared" ref="H9:H41" si="1">ROUND(G9/1268,2)</f>
        <v>0.11</v>
      </c>
      <c r="I9" s="10">
        <f t="shared" ref="I9:I41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67</v>
      </c>
      <c r="C11" s="9"/>
      <c r="D11" s="9"/>
      <c r="E11" s="9">
        <v>65</v>
      </c>
      <c r="F11" s="9"/>
      <c r="G11" s="9">
        <f t="shared" si="0"/>
        <v>65</v>
      </c>
      <c r="H11">
        <f t="shared" si="1"/>
        <v>0.05</v>
      </c>
      <c r="I11" s="10">
        <f t="shared" si="2"/>
        <v>0</v>
      </c>
      <c r="J11">
        <f t="shared" ref="J11:J32" si="3">ROUND(G11/P11-1,2)</f>
        <v>0.86</v>
      </c>
      <c r="P11">
        <v>35</v>
      </c>
    </row>
    <row r="12" spans="1:16" x14ac:dyDescent="0.25">
      <c r="A12" t="s">
        <v>20</v>
      </c>
      <c r="B12" t="s">
        <v>21</v>
      </c>
      <c r="C12" s="9">
        <v>33970</v>
      </c>
      <c r="D12" s="9"/>
      <c r="E12" s="9"/>
      <c r="F12" s="9"/>
      <c r="G12" s="9">
        <f t="shared" si="0"/>
        <v>33970</v>
      </c>
      <c r="H12">
        <f t="shared" si="1"/>
        <v>26.79</v>
      </c>
      <c r="I12" s="10">
        <f t="shared" si="2"/>
        <v>7.8E-2</v>
      </c>
      <c r="J12">
        <f t="shared" si="3"/>
        <v>7.0000000000000007E-2</v>
      </c>
      <c r="P12">
        <v>31810</v>
      </c>
    </row>
    <row r="13" spans="1:16" x14ac:dyDescent="0.25">
      <c r="A13" t="s">
        <v>20</v>
      </c>
      <c r="B13" t="s">
        <v>22</v>
      </c>
      <c r="C13" s="9">
        <v>42885</v>
      </c>
      <c r="D13" s="9"/>
      <c r="E13" s="9">
        <v>940</v>
      </c>
      <c r="F13" s="9"/>
      <c r="G13" s="9">
        <f t="shared" si="0"/>
        <v>43825</v>
      </c>
      <c r="H13">
        <f t="shared" si="1"/>
        <v>34.56</v>
      </c>
      <c r="I13" s="10">
        <f t="shared" si="2"/>
        <v>0.10100000000000001</v>
      </c>
      <c r="J13">
        <f t="shared" si="3"/>
        <v>-0.08</v>
      </c>
      <c r="P13">
        <v>47725</v>
      </c>
    </row>
    <row r="14" spans="1:16" x14ac:dyDescent="0.25">
      <c r="A14" t="s">
        <v>20</v>
      </c>
      <c r="B14" t="s">
        <v>42</v>
      </c>
      <c r="C14" s="9"/>
      <c r="D14" s="9"/>
      <c r="E14" s="9">
        <v>105</v>
      </c>
      <c r="F14" s="9"/>
      <c r="G14" s="9">
        <f t="shared" si="0"/>
        <v>105</v>
      </c>
      <c r="H14">
        <f t="shared" si="1"/>
        <v>0.08</v>
      </c>
      <c r="I14" s="10">
        <f t="shared" si="2"/>
        <v>0</v>
      </c>
      <c r="J14">
        <f t="shared" si="3"/>
        <v>-0.42</v>
      </c>
      <c r="P14">
        <v>180</v>
      </c>
    </row>
    <row r="15" spans="1:16" x14ac:dyDescent="0.25">
      <c r="A15" t="s">
        <v>20</v>
      </c>
      <c r="B15" t="s">
        <v>24</v>
      </c>
      <c r="C15" s="9"/>
      <c r="D15" s="9"/>
      <c r="E15" s="9">
        <v>42180</v>
      </c>
      <c r="F15" s="9"/>
      <c r="G15" s="9">
        <f t="shared" si="0"/>
        <v>42180</v>
      </c>
      <c r="H15">
        <f t="shared" si="1"/>
        <v>33.26</v>
      </c>
      <c r="I15" s="10">
        <f t="shared" si="2"/>
        <v>9.7000000000000003E-2</v>
      </c>
      <c r="J15">
        <f t="shared" si="3"/>
        <v>0.33</v>
      </c>
      <c r="P15">
        <v>31700</v>
      </c>
    </row>
    <row r="16" spans="1:16" x14ac:dyDescent="0.25">
      <c r="A16" t="s">
        <v>20</v>
      </c>
      <c r="B16" t="s">
        <v>25</v>
      </c>
      <c r="C16" s="9">
        <v>36980</v>
      </c>
      <c r="D16" s="9"/>
      <c r="E16" s="9">
        <v>11420</v>
      </c>
      <c r="F16" s="9"/>
      <c r="G16" s="9">
        <f t="shared" si="0"/>
        <v>48400</v>
      </c>
      <c r="H16">
        <f t="shared" si="1"/>
        <v>38.17</v>
      </c>
      <c r="I16" s="10">
        <f t="shared" si="2"/>
        <v>0.111</v>
      </c>
      <c r="J16">
        <f t="shared" si="3"/>
        <v>0.09</v>
      </c>
      <c r="P16">
        <v>44485</v>
      </c>
    </row>
    <row r="17" spans="1:16" x14ac:dyDescent="0.25">
      <c r="A17" t="s">
        <v>20</v>
      </c>
      <c r="B17" t="s">
        <v>69</v>
      </c>
      <c r="C17" s="9"/>
      <c r="D17" s="9"/>
      <c r="E17" s="9">
        <v>2380</v>
      </c>
      <c r="F17" s="9"/>
      <c r="G17" s="9">
        <f t="shared" si="0"/>
        <v>2380</v>
      </c>
      <c r="H17">
        <f t="shared" si="1"/>
        <v>1.88</v>
      </c>
      <c r="I17" s="10">
        <f t="shared" si="2"/>
        <v>5.0000000000000001E-3</v>
      </c>
      <c r="J17">
        <f t="shared" si="3"/>
        <v>1.98</v>
      </c>
      <c r="P17">
        <v>800</v>
      </c>
    </row>
    <row r="18" spans="1:16" x14ac:dyDescent="0.25">
      <c r="A18" t="s">
        <v>20</v>
      </c>
      <c r="B18" t="s">
        <v>26</v>
      </c>
      <c r="C18" s="9">
        <v>42270</v>
      </c>
      <c r="D18" s="9"/>
      <c r="E18" s="9"/>
      <c r="F18" s="9">
        <v>80</v>
      </c>
      <c r="G18" s="9">
        <f t="shared" si="0"/>
        <v>42350</v>
      </c>
      <c r="H18">
        <f t="shared" si="1"/>
        <v>33.4</v>
      </c>
      <c r="I18" s="10">
        <f t="shared" si="2"/>
        <v>9.7000000000000003E-2</v>
      </c>
      <c r="J18">
        <f t="shared" si="3"/>
        <v>-0.25</v>
      </c>
      <c r="P18">
        <v>56310</v>
      </c>
    </row>
    <row r="19" spans="1:16" x14ac:dyDescent="0.25">
      <c r="A19" t="s">
        <v>20</v>
      </c>
      <c r="B19" t="s">
        <v>27</v>
      </c>
      <c r="C19" s="9"/>
      <c r="D19" s="9"/>
      <c r="E19" s="9">
        <v>574</v>
      </c>
      <c r="F19" s="9"/>
      <c r="G19" s="9">
        <f t="shared" si="0"/>
        <v>574</v>
      </c>
      <c r="H19">
        <f t="shared" si="1"/>
        <v>0.45</v>
      </c>
      <c r="I19" s="10">
        <f t="shared" si="2"/>
        <v>1E-3</v>
      </c>
      <c r="J19">
        <f t="shared" si="3"/>
        <v>13.35</v>
      </c>
      <c r="P19">
        <v>40</v>
      </c>
    </row>
    <row r="20" spans="1:16" x14ac:dyDescent="0.25">
      <c r="A20" t="s">
        <v>20</v>
      </c>
      <c r="B20" t="s">
        <v>28</v>
      </c>
      <c r="C20" s="9"/>
      <c r="D20" s="9"/>
      <c r="E20" s="9">
        <v>259</v>
      </c>
      <c r="F20" s="9"/>
      <c r="G20" s="9">
        <f t="shared" si="0"/>
        <v>259</v>
      </c>
      <c r="H20">
        <f t="shared" si="1"/>
        <v>0.2</v>
      </c>
      <c r="I20" s="10">
        <f t="shared" si="2"/>
        <v>1E-3</v>
      </c>
      <c r="J20">
        <f t="shared" si="3"/>
        <v>6.19</v>
      </c>
      <c r="P20">
        <v>36</v>
      </c>
    </row>
    <row r="21" spans="1:16" x14ac:dyDescent="0.25">
      <c r="A21" t="s">
        <v>20</v>
      </c>
      <c r="B21" t="s">
        <v>30</v>
      </c>
      <c r="C21" s="9"/>
      <c r="D21" s="9"/>
      <c r="E21" s="9">
        <v>1679</v>
      </c>
      <c r="F21" s="9"/>
      <c r="G21" s="9">
        <f t="shared" si="0"/>
        <v>1679</v>
      </c>
      <c r="H21">
        <f t="shared" si="1"/>
        <v>1.32</v>
      </c>
      <c r="I21" s="10">
        <f t="shared" si="2"/>
        <v>4.0000000000000001E-3</v>
      </c>
      <c r="J21">
        <f t="shared" si="3"/>
        <v>-0.28999999999999998</v>
      </c>
      <c r="P21">
        <v>2380</v>
      </c>
    </row>
    <row r="22" spans="1:16" x14ac:dyDescent="0.25">
      <c r="A22" t="s">
        <v>20</v>
      </c>
      <c r="B22" t="s">
        <v>31</v>
      </c>
      <c r="C22" s="9"/>
      <c r="D22" s="9"/>
      <c r="E22" s="9">
        <v>170</v>
      </c>
      <c r="F22" s="9"/>
      <c r="G22" s="9">
        <f t="shared" si="0"/>
        <v>170</v>
      </c>
      <c r="H22">
        <f t="shared" si="1"/>
        <v>0.13</v>
      </c>
      <c r="I22" s="10">
        <f t="shared" si="2"/>
        <v>0</v>
      </c>
      <c r="J22">
        <f t="shared" si="3"/>
        <v>-0.64</v>
      </c>
      <c r="P22">
        <v>470</v>
      </c>
    </row>
    <row r="23" spans="1:16" x14ac:dyDescent="0.25">
      <c r="A23" t="s">
        <v>20</v>
      </c>
      <c r="B23" t="s">
        <v>32</v>
      </c>
      <c r="C23" s="9"/>
      <c r="D23" s="9"/>
      <c r="E23" s="9">
        <v>660</v>
      </c>
      <c r="F23" s="9"/>
      <c r="G23" s="9">
        <f t="shared" si="0"/>
        <v>660</v>
      </c>
      <c r="H23">
        <f t="shared" si="1"/>
        <v>0.52</v>
      </c>
      <c r="I23" s="10">
        <f t="shared" si="2"/>
        <v>2E-3</v>
      </c>
      <c r="J23">
        <f t="shared" si="3"/>
        <v>0</v>
      </c>
      <c r="P23">
        <v>660</v>
      </c>
    </row>
    <row r="24" spans="1:16" x14ac:dyDescent="0.25">
      <c r="A24" t="s">
        <v>20</v>
      </c>
      <c r="B24" t="s">
        <v>33</v>
      </c>
      <c r="C24" s="9"/>
      <c r="D24" s="9"/>
      <c r="E24" s="9">
        <v>360</v>
      </c>
      <c r="F24" s="9"/>
      <c r="G24" s="9">
        <f t="shared" si="0"/>
        <v>360</v>
      </c>
      <c r="H24">
        <f t="shared" si="1"/>
        <v>0.28000000000000003</v>
      </c>
      <c r="I24" s="10">
        <f t="shared" si="2"/>
        <v>1E-3</v>
      </c>
      <c r="J24">
        <f t="shared" si="3"/>
        <v>-0.25</v>
      </c>
      <c r="P24">
        <v>480</v>
      </c>
    </row>
    <row r="25" spans="1:16" x14ac:dyDescent="0.25">
      <c r="A25" t="s">
        <v>20</v>
      </c>
      <c r="B25" t="s">
        <v>70</v>
      </c>
      <c r="C25" s="9"/>
      <c r="D25" s="9"/>
      <c r="E25" s="9">
        <v>654</v>
      </c>
      <c r="F25" s="9"/>
      <c r="G25" s="9">
        <f t="shared" si="0"/>
        <v>654</v>
      </c>
      <c r="H25">
        <f t="shared" si="1"/>
        <v>0.52</v>
      </c>
      <c r="I25" s="10">
        <f t="shared" si="2"/>
        <v>2E-3</v>
      </c>
      <c r="J25">
        <f t="shared" si="3"/>
        <v>-0.31</v>
      </c>
      <c r="P25">
        <v>950</v>
      </c>
    </row>
    <row r="26" spans="1:16" x14ac:dyDescent="0.25">
      <c r="A26" t="s">
        <v>20</v>
      </c>
      <c r="B26" t="s">
        <v>34</v>
      </c>
      <c r="C26" s="9"/>
      <c r="D26" s="9"/>
      <c r="E26" s="9">
        <v>62</v>
      </c>
      <c r="F26" s="9"/>
      <c r="G26" s="9">
        <f t="shared" si="0"/>
        <v>62</v>
      </c>
      <c r="H26">
        <f t="shared" si="1"/>
        <v>0.05</v>
      </c>
      <c r="I26" s="10">
        <f t="shared" si="2"/>
        <v>0</v>
      </c>
      <c r="J26">
        <f t="shared" si="3"/>
        <v>-0.56000000000000005</v>
      </c>
      <c r="P26">
        <v>140</v>
      </c>
    </row>
    <row r="27" spans="1:16" x14ac:dyDescent="0.25">
      <c r="A27" t="s">
        <v>20</v>
      </c>
      <c r="B27" t="s">
        <v>35</v>
      </c>
      <c r="C27" s="9"/>
      <c r="D27" s="9"/>
      <c r="E27" s="9">
        <v>1837</v>
      </c>
      <c r="F27" s="9"/>
      <c r="G27" s="9">
        <f t="shared" si="0"/>
        <v>1837</v>
      </c>
      <c r="H27">
        <f t="shared" si="1"/>
        <v>1.45</v>
      </c>
      <c r="I27" s="10">
        <f t="shared" si="2"/>
        <v>4.0000000000000001E-3</v>
      </c>
      <c r="J27">
        <f t="shared" si="3"/>
        <v>-0.33</v>
      </c>
      <c r="P27">
        <v>2732</v>
      </c>
    </row>
    <row r="28" spans="1:16" x14ac:dyDescent="0.25">
      <c r="A28" t="s">
        <v>20</v>
      </c>
      <c r="B28" t="s">
        <v>36</v>
      </c>
      <c r="C28" s="9"/>
      <c r="D28" s="9"/>
      <c r="E28" s="9">
        <v>3341</v>
      </c>
      <c r="F28" s="9"/>
      <c r="G28" s="9">
        <f t="shared" si="0"/>
        <v>3341</v>
      </c>
      <c r="H28">
        <f t="shared" si="1"/>
        <v>2.63</v>
      </c>
      <c r="I28" s="10">
        <f t="shared" si="2"/>
        <v>8.0000000000000002E-3</v>
      </c>
      <c r="J28">
        <f t="shared" si="3"/>
        <v>0.08</v>
      </c>
      <c r="P28">
        <v>3080</v>
      </c>
    </row>
    <row r="29" spans="1:16" x14ac:dyDescent="0.25">
      <c r="A29" t="s">
        <v>20</v>
      </c>
      <c r="B29" t="s">
        <v>41</v>
      </c>
      <c r="C29" s="9"/>
      <c r="D29" s="9"/>
      <c r="E29" s="9">
        <v>3252</v>
      </c>
      <c r="F29" s="9"/>
      <c r="G29" s="9">
        <f t="shared" si="0"/>
        <v>3252</v>
      </c>
      <c r="H29">
        <f t="shared" si="1"/>
        <v>2.56</v>
      </c>
      <c r="I29" s="10">
        <f t="shared" si="2"/>
        <v>7.0000000000000001E-3</v>
      </c>
      <c r="J29">
        <f t="shared" si="3"/>
        <v>-0.17</v>
      </c>
      <c r="P29">
        <v>3900</v>
      </c>
    </row>
    <row r="30" spans="1:16" x14ac:dyDescent="0.25">
      <c r="A30" t="s">
        <v>20</v>
      </c>
      <c r="B30" t="s">
        <v>37</v>
      </c>
      <c r="C30" s="9"/>
      <c r="D30" s="9"/>
      <c r="E30" s="9">
        <v>24785</v>
      </c>
      <c r="F30" s="9"/>
      <c r="G30" s="9">
        <f t="shared" si="0"/>
        <v>24785</v>
      </c>
      <c r="H30">
        <f t="shared" si="1"/>
        <v>19.55</v>
      </c>
      <c r="I30" s="10">
        <f t="shared" si="2"/>
        <v>5.7000000000000002E-2</v>
      </c>
      <c r="J30">
        <f t="shared" si="3"/>
        <v>-0.12</v>
      </c>
      <c r="P30">
        <v>28285</v>
      </c>
    </row>
    <row r="31" spans="1:16" x14ac:dyDescent="0.25">
      <c r="A31" t="s">
        <v>20</v>
      </c>
      <c r="B31" t="s">
        <v>39</v>
      </c>
      <c r="C31" s="9"/>
      <c r="D31" s="9"/>
      <c r="E31" s="9">
        <v>17080</v>
      </c>
      <c r="F31" s="9"/>
      <c r="G31" s="9">
        <f t="shared" si="0"/>
        <v>17080</v>
      </c>
      <c r="H31">
        <f t="shared" si="1"/>
        <v>13.47</v>
      </c>
      <c r="I31" s="10">
        <f t="shared" si="2"/>
        <v>3.9E-2</v>
      </c>
      <c r="J31">
        <f t="shared" si="3"/>
        <v>0.19</v>
      </c>
      <c r="P31">
        <v>14370</v>
      </c>
    </row>
    <row r="32" spans="1:16" x14ac:dyDescent="0.25">
      <c r="A32" t="s">
        <v>20</v>
      </c>
      <c r="B32" t="s">
        <v>40</v>
      </c>
      <c r="C32" s="9"/>
      <c r="D32" s="9"/>
      <c r="E32" s="9">
        <v>12515</v>
      </c>
      <c r="F32" s="9"/>
      <c r="G32" s="9">
        <f t="shared" si="0"/>
        <v>12515</v>
      </c>
      <c r="H32">
        <f t="shared" si="1"/>
        <v>9.8699999999999992</v>
      </c>
      <c r="I32" s="10">
        <f t="shared" si="2"/>
        <v>2.9000000000000001E-2</v>
      </c>
      <c r="J32">
        <f t="shared" si="3"/>
        <v>-0.09</v>
      </c>
      <c r="P32">
        <v>13685</v>
      </c>
    </row>
    <row r="33" spans="1:16" x14ac:dyDescent="0.25">
      <c r="A33" t="s">
        <v>20</v>
      </c>
      <c r="B33" t="s">
        <v>74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20</v>
      </c>
      <c r="B34" t="s">
        <v>43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J34">
        <f>ROUND(G34/P34-1,2)</f>
        <v>-1</v>
      </c>
      <c r="P34">
        <v>58</v>
      </c>
    </row>
    <row r="35" spans="1:16" x14ac:dyDescent="0.25">
      <c r="A35" t="s">
        <v>20</v>
      </c>
      <c r="B35" t="s">
        <v>38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J35">
        <f>ROUND(G35/P35-1,2)</f>
        <v>-1</v>
      </c>
      <c r="P35">
        <v>210</v>
      </c>
    </row>
    <row r="36" spans="1:16" x14ac:dyDescent="0.25">
      <c r="A36" t="s">
        <v>20</v>
      </c>
      <c r="B36" t="s">
        <v>23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20</v>
      </c>
      <c r="B37" t="s">
        <v>122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29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117080</v>
      </c>
      <c r="D39" s="9"/>
      <c r="E39" s="9"/>
      <c r="F39" s="9">
        <v>760</v>
      </c>
      <c r="G39" s="9">
        <f t="shared" si="0"/>
        <v>117840</v>
      </c>
      <c r="H39">
        <f t="shared" si="1"/>
        <v>92.93</v>
      </c>
      <c r="I39" s="10">
        <f t="shared" si="2"/>
        <v>0.27100000000000002</v>
      </c>
      <c r="J39">
        <f>ROUND(G39/P39-1,2)</f>
        <v>0.4</v>
      </c>
      <c r="P39">
        <v>84240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2650</v>
      </c>
      <c r="G40" s="9">
        <f t="shared" si="0"/>
        <v>2650</v>
      </c>
      <c r="H40">
        <f t="shared" si="1"/>
        <v>2.09</v>
      </c>
      <c r="I40" s="10">
        <f t="shared" si="2"/>
        <v>6.0000000000000001E-3</v>
      </c>
      <c r="P40">
        <v>0</v>
      </c>
    </row>
    <row r="41" spans="1:16" x14ac:dyDescent="0.25">
      <c r="A41" t="s">
        <v>44</v>
      </c>
      <c r="B41" t="s">
        <v>46</v>
      </c>
      <c r="C41" s="9"/>
      <c r="D41" s="9"/>
      <c r="E41" s="9">
        <v>33680</v>
      </c>
      <c r="F41" s="9"/>
      <c r="G41" s="9">
        <f t="shared" si="0"/>
        <v>33680</v>
      </c>
      <c r="H41">
        <f t="shared" si="1"/>
        <v>26.56</v>
      </c>
      <c r="I41" s="10">
        <f t="shared" si="2"/>
        <v>7.6999999999999999E-2</v>
      </c>
      <c r="J41">
        <f>ROUND(G41/P41-1,2)</f>
        <v>0.13</v>
      </c>
      <c r="P41">
        <v>29795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SUM(C8:C41)</f>
        <v>273185</v>
      </c>
      <c r="D49" s="12">
        <f t="shared" si="4"/>
        <v>0</v>
      </c>
      <c r="E49" s="12">
        <f t="shared" si="4"/>
        <v>157998</v>
      </c>
      <c r="F49" s="12">
        <f t="shared" si="4"/>
        <v>3635</v>
      </c>
      <c r="G49" s="12">
        <f t="shared" si="4"/>
        <v>434818</v>
      </c>
      <c r="H49" s="11">
        <f t="shared" si="4"/>
        <v>342.88</v>
      </c>
      <c r="I49" s="4"/>
    </row>
    <row r="50" spans="1:10" x14ac:dyDescent="0.25">
      <c r="A50" s="11" t="s">
        <v>14</v>
      </c>
      <c r="C50" s="13">
        <f>ROUND(C49/G49,2)</f>
        <v>0.63</v>
      </c>
      <c r="D50" s="13">
        <f>ROUND(D49/G49,2)</f>
        <v>0</v>
      </c>
      <c r="E50" s="13">
        <f>ROUND(E49/G49,2)</f>
        <v>0.36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156105</v>
      </c>
      <c r="D54" s="15">
        <v>0</v>
      </c>
      <c r="E54" s="15">
        <v>124318</v>
      </c>
      <c r="F54" s="15">
        <v>80</v>
      </c>
      <c r="G54" s="15">
        <f>SUM(C54:F54)</f>
        <v>280503</v>
      </c>
      <c r="H54" s="17">
        <f>ROUND(G54/1268,2)</f>
        <v>221.22</v>
      </c>
      <c r="I54" s="4"/>
      <c r="J54" s="4"/>
    </row>
    <row r="55" spans="1:10" x14ac:dyDescent="0.25">
      <c r="A55" s="33" t="s">
        <v>50</v>
      </c>
      <c r="B55" s="33"/>
      <c r="C55" s="15">
        <v>117080</v>
      </c>
      <c r="D55" s="15">
        <v>0</v>
      </c>
      <c r="E55" s="15">
        <v>33680</v>
      </c>
      <c r="F55" s="15">
        <v>3410</v>
      </c>
      <c r="G55" s="15">
        <f>SUM(C55:F55)</f>
        <v>154170</v>
      </c>
      <c r="H55" s="17">
        <f>ROUND(G55/1268,2)</f>
        <v>121.59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145</v>
      </c>
      <c r="G56" s="15">
        <f>SUM(C56:F56)</f>
        <v>145</v>
      </c>
      <c r="H56" s="17">
        <f>ROUND(G56/1268,2)</f>
        <v>0.11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ROUND(0.6897, 4)</f>
        <v>0.68969999999999998</v>
      </c>
      <c r="D60" s="19">
        <f>ROUND(0.7617, 4)</f>
        <v>0.76170000000000004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ROUND(0.6575, 4)</f>
        <v>0.65749999999999997</v>
      </c>
      <c r="D61" s="19">
        <f>ROUND(0.7293, 4)</f>
        <v>0.72929999999999995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123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92.93</v>
      </c>
      <c r="D64" s="17">
        <v>72.67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33.4</v>
      </c>
      <c r="D65" s="17">
        <v>44.93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221.22</v>
      </c>
      <c r="D66" s="17">
        <v>236.98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121.59</v>
      </c>
      <c r="D67" s="17">
        <v>97.52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5.2851562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124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5980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154</v>
      </c>
      <c r="F9" s="9"/>
      <c r="G9" s="9">
        <f t="shared" ref="G9:G44" si="0">SUM(C9:F9)</f>
        <v>154</v>
      </c>
      <c r="H9">
        <f t="shared" ref="H9:H44" si="1">ROUND(G9/5980,2)</f>
        <v>0.03</v>
      </c>
      <c r="I9" s="10">
        <f t="shared" ref="I9:I44" si="2">ROUND(G9/$G$49,3)</f>
        <v>0</v>
      </c>
      <c r="J9">
        <f t="shared" ref="J9:J31" si="3">ROUND(G9/P9-1,2)</f>
        <v>-0.13</v>
      </c>
      <c r="P9">
        <v>178</v>
      </c>
    </row>
    <row r="10" spans="1:16" x14ac:dyDescent="0.25">
      <c r="A10" t="s">
        <v>20</v>
      </c>
      <c r="B10" t="s">
        <v>21</v>
      </c>
      <c r="C10" s="9">
        <v>214900</v>
      </c>
      <c r="D10" s="9"/>
      <c r="E10" s="9">
        <v>3040</v>
      </c>
      <c r="F10" s="9"/>
      <c r="G10" s="9">
        <f t="shared" si="0"/>
        <v>217940</v>
      </c>
      <c r="H10">
        <f t="shared" si="1"/>
        <v>36.44</v>
      </c>
      <c r="I10" s="10">
        <f t="shared" si="2"/>
        <v>7.8E-2</v>
      </c>
      <c r="J10">
        <f t="shared" si="3"/>
        <v>0.06</v>
      </c>
      <c r="P10">
        <v>205700</v>
      </c>
    </row>
    <row r="11" spans="1:16" x14ac:dyDescent="0.25">
      <c r="A11" t="s">
        <v>20</v>
      </c>
      <c r="B11" t="s">
        <v>22</v>
      </c>
      <c r="C11" s="9">
        <v>283520</v>
      </c>
      <c r="D11" s="9"/>
      <c r="E11" s="9"/>
      <c r="F11" s="9"/>
      <c r="G11" s="9">
        <f t="shared" si="0"/>
        <v>283520</v>
      </c>
      <c r="H11">
        <f t="shared" si="1"/>
        <v>47.41</v>
      </c>
      <c r="I11" s="10">
        <f t="shared" si="2"/>
        <v>0.10199999999999999</v>
      </c>
      <c r="J11">
        <f t="shared" si="3"/>
        <v>-0.1</v>
      </c>
      <c r="P11">
        <v>315840</v>
      </c>
    </row>
    <row r="12" spans="1:16" x14ac:dyDescent="0.25">
      <c r="A12" t="s">
        <v>20</v>
      </c>
      <c r="B12" t="s">
        <v>79</v>
      </c>
      <c r="C12" s="9"/>
      <c r="D12" s="9"/>
      <c r="E12" s="9">
        <v>190</v>
      </c>
      <c r="F12" s="9"/>
      <c r="G12" s="9">
        <f t="shared" si="0"/>
        <v>190</v>
      </c>
      <c r="H12">
        <f t="shared" si="1"/>
        <v>0.03</v>
      </c>
      <c r="I12" s="10">
        <f t="shared" si="2"/>
        <v>0</v>
      </c>
      <c r="J12">
        <f t="shared" si="3"/>
        <v>-0.14000000000000001</v>
      </c>
      <c r="P12">
        <v>220</v>
      </c>
    </row>
    <row r="13" spans="1:16" x14ac:dyDescent="0.25">
      <c r="A13" t="s">
        <v>20</v>
      </c>
      <c r="B13" t="s">
        <v>42</v>
      </c>
      <c r="C13" s="9"/>
      <c r="D13" s="9"/>
      <c r="E13" s="9">
        <v>197</v>
      </c>
      <c r="F13" s="9"/>
      <c r="G13" s="9">
        <f t="shared" si="0"/>
        <v>197</v>
      </c>
      <c r="H13">
        <f t="shared" si="1"/>
        <v>0.03</v>
      </c>
      <c r="I13" s="10">
        <f t="shared" si="2"/>
        <v>0</v>
      </c>
      <c r="J13">
        <f t="shared" si="3"/>
        <v>0.11</v>
      </c>
      <c r="P13">
        <v>177</v>
      </c>
    </row>
    <row r="14" spans="1:16" x14ac:dyDescent="0.25">
      <c r="A14" t="s">
        <v>20</v>
      </c>
      <c r="B14" t="s">
        <v>23</v>
      </c>
      <c r="C14" s="9"/>
      <c r="D14" s="9"/>
      <c r="E14" s="9">
        <v>3760</v>
      </c>
      <c r="F14" s="9"/>
      <c r="G14" s="9">
        <f t="shared" si="0"/>
        <v>3760</v>
      </c>
      <c r="H14">
        <f t="shared" si="1"/>
        <v>0.63</v>
      </c>
      <c r="I14" s="10">
        <f t="shared" si="2"/>
        <v>1E-3</v>
      </c>
      <c r="J14">
        <f t="shared" si="3"/>
        <v>0.42</v>
      </c>
      <c r="P14">
        <v>2640</v>
      </c>
    </row>
    <row r="15" spans="1:16" x14ac:dyDescent="0.25">
      <c r="A15" t="s">
        <v>20</v>
      </c>
      <c r="B15" t="s">
        <v>24</v>
      </c>
      <c r="C15" s="9"/>
      <c r="D15" s="9"/>
      <c r="E15" s="9">
        <v>67500</v>
      </c>
      <c r="F15" s="9"/>
      <c r="G15" s="9">
        <f t="shared" si="0"/>
        <v>67500</v>
      </c>
      <c r="H15">
        <f t="shared" si="1"/>
        <v>11.29</v>
      </c>
      <c r="I15" s="10">
        <f t="shared" si="2"/>
        <v>2.4E-2</v>
      </c>
      <c r="J15">
        <f t="shared" si="3"/>
        <v>-0.22</v>
      </c>
      <c r="P15">
        <v>86220</v>
      </c>
    </row>
    <row r="16" spans="1:16" x14ac:dyDescent="0.25">
      <c r="A16" t="s">
        <v>20</v>
      </c>
      <c r="B16" t="s">
        <v>25</v>
      </c>
      <c r="C16" s="9">
        <v>328360</v>
      </c>
      <c r="D16" s="9"/>
      <c r="E16" s="9">
        <v>34880</v>
      </c>
      <c r="F16" s="9"/>
      <c r="G16" s="9">
        <f t="shared" si="0"/>
        <v>363240</v>
      </c>
      <c r="H16">
        <f t="shared" si="1"/>
        <v>60.74</v>
      </c>
      <c r="I16" s="10">
        <f t="shared" si="2"/>
        <v>0.13</v>
      </c>
      <c r="J16">
        <f t="shared" si="3"/>
        <v>0.01</v>
      </c>
      <c r="P16">
        <v>359210</v>
      </c>
    </row>
    <row r="17" spans="1:16" x14ac:dyDescent="0.25">
      <c r="A17" t="s">
        <v>20</v>
      </c>
      <c r="B17" t="s">
        <v>69</v>
      </c>
      <c r="C17" s="9"/>
      <c r="D17" s="9"/>
      <c r="E17" s="9">
        <v>9455</v>
      </c>
      <c r="F17" s="9"/>
      <c r="G17" s="9">
        <f t="shared" si="0"/>
        <v>9455</v>
      </c>
      <c r="H17">
        <f t="shared" si="1"/>
        <v>1.58</v>
      </c>
      <c r="I17" s="10">
        <f t="shared" si="2"/>
        <v>3.0000000000000001E-3</v>
      </c>
      <c r="J17">
        <f t="shared" si="3"/>
        <v>-0.2</v>
      </c>
      <c r="P17">
        <v>11820</v>
      </c>
    </row>
    <row r="18" spans="1:16" x14ac:dyDescent="0.25">
      <c r="A18" t="s">
        <v>20</v>
      </c>
      <c r="B18" t="s">
        <v>26</v>
      </c>
      <c r="C18" s="9">
        <v>417130</v>
      </c>
      <c r="D18" s="9"/>
      <c r="E18" s="9"/>
      <c r="F18" s="9">
        <v>590</v>
      </c>
      <c r="G18" s="9">
        <f t="shared" si="0"/>
        <v>417720</v>
      </c>
      <c r="H18">
        <f t="shared" si="1"/>
        <v>69.849999999999994</v>
      </c>
      <c r="I18" s="10">
        <f t="shared" si="2"/>
        <v>0.15</v>
      </c>
      <c r="J18">
        <f t="shared" si="3"/>
        <v>-0.04</v>
      </c>
      <c r="P18">
        <v>437080</v>
      </c>
    </row>
    <row r="19" spans="1:16" x14ac:dyDescent="0.25">
      <c r="A19" t="s">
        <v>20</v>
      </c>
      <c r="B19" t="s">
        <v>27</v>
      </c>
      <c r="C19" s="9"/>
      <c r="D19" s="9"/>
      <c r="E19" s="9">
        <v>1329</v>
      </c>
      <c r="F19" s="9"/>
      <c r="G19" s="9">
        <f t="shared" si="0"/>
        <v>1329</v>
      </c>
      <c r="H19">
        <f t="shared" si="1"/>
        <v>0.22</v>
      </c>
      <c r="I19" s="10">
        <f t="shared" si="2"/>
        <v>0</v>
      </c>
      <c r="J19">
        <f t="shared" si="3"/>
        <v>0.31</v>
      </c>
      <c r="P19">
        <v>1017</v>
      </c>
    </row>
    <row r="20" spans="1:16" x14ac:dyDescent="0.25">
      <c r="A20" t="s">
        <v>20</v>
      </c>
      <c r="B20" t="s">
        <v>28</v>
      </c>
      <c r="C20" s="9"/>
      <c r="D20" s="9"/>
      <c r="E20" s="9">
        <v>570</v>
      </c>
      <c r="F20" s="9"/>
      <c r="G20" s="9">
        <f t="shared" si="0"/>
        <v>570</v>
      </c>
      <c r="H20">
        <f t="shared" si="1"/>
        <v>0.1</v>
      </c>
      <c r="I20" s="10">
        <f t="shared" si="2"/>
        <v>0</v>
      </c>
      <c r="J20">
        <f t="shared" si="3"/>
        <v>0.99</v>
      </c>
      <c r="P20">
        <v>287</v>
      </c>
    </row>
    <row r="21" spans="1:16" x14ac:dyDescent="0.25">
      <c r="A21" t="s">
        <v>20</v>
      </c>
      <c r="B21" t="s">
        <v>29</v>
      </c>
      <c r="C21" s="9"/>
      <c r="D21" s="9"/>
      <c r="E21" s="9">
        <v>300</v>
      </c>
      <c r="F21" s="9"/>
      <c r="G21" s="9">
        <f t="shared" si="0"/>
        <v>300</v>
      </c>
      <c r="H21">
        <f t="shared" si="1"/>
        <v>0.05</v>
      </c>
      <c r="I21" s="10">
        <f t="shared" si="2"/>
        <v>0</v>
      </c>
      <c r="J21">
        <f t="shared" si="3"/>
        <v>0.15</v>
      </c>
      <c r="P21">
        <v>260</v>
      </c>
    </row>
    <row r="22" spans="1:16" x14ac:dyDescent="0.25">
      <c r="A22" t="s">
        <v>20</v>
      </c>
      <c r="B22" t="s">
        <v>30</v>
      </c>
      <c r="C22" s="9"/>
      <c r="D22" s="9"/>
      <c r="E22" s="9">
        <v>6500</v>
      </c>
      <c r="F22" s="9"/>
      <c r="G22" s="9">
        <f t="shared" si="0"/>
        <v>6500</v>
      </c>
      <c r="H22">
        <f t="shared" si="1"/>
        <v>1.0900000000000001</v>
      </c>
      <c r="I22" s="10">
        <f t="shared" si="2"/>
        <v>2E-3</v>
      </c>
      <c r="J22">
        <f t="shared" si="3"/>
        <v>-0.39</v>
      </c>
      <c r="P22">
        <v>10720</v>
      </c>
    </row>
    <row r="23" spans="1:16" x14ac:dyDescent="0.25">
      <c r="A23" t="s">
        <v>20</v>
      </c>
      <c r="B23" t="s">
        <v>31</v>
      </c>
      <c r="C23" s="9"/>
      <c r="D23" s="9"/>
      <c r="E23" s="9">
        <v>2350</v>
      </c>
      <c r="F23" s="9"/>
      <c r="G23" s="9">
        <f t="shared" si="0"/>
        <v>2350</v>
      </c>
      <c r="H23">
        <f t="shared" si="1"/>
        <v>0.39</v>
      </c>
      <c r="I23" s="10">
        <f t="shared" si="2"/>
        <v>1E-3</v>
      </c>
      <c r="J23">
        <f t="shared" si="3"/>
        <v>0.06</v>
      </c>
      <c r="P23">
        <v>2210</v>
      </c>
    </row>
    <row r="24" spans="1:16" x14ac:dyDescent="0.25">
      <c r="A24" t="s">
        <v>20</v>
      </c>
      <c r="B24" t="s">
        <v>32</v>
      </c>
      <c r="C24" s="9"/>
      <c r="D24" s="9"/>
      <c r="E24" s="9">
        <v>360</v>
      </c>
      <c r="F24" s="9"/>
      <c r="G24" s="9">
        <f t="shared" si="0"/>
        <v>360</v>
      </c>
      <c r="H24">
        <f t="shared" si="1"/>
        <v>0.06</v>
      </c>
      <c r="I24" s="10">
        <f t="shared" si="2"/>
        <v>0</v>
      </c>
      <c r="J24">
        <f t="shared" si="3"/>
        <v>-0.55000000000000004</v>
      </c>
      <c r="P24">
        <v>800</v>
      </c>
    </row>
    <row r="25" spans="1:16" x14ac:dyDescent="0.25">
      <c r="A25" t="s">
        <v>20</v>
      </c>
      <c r="B25" t="s">
        <v>33</v>
      </c>
      <c r="C25" s="9"/>
      <c r="D25" s="9"/>
      <c r="E25" s="9">
        <v>2120</v>
      </c>
      <c r="F25" s="9"/>
      <c r="G25" s="9">
        <f t="shared" si="0"/>
        <v>2120</v>
      </c>
      <c r="H25">
        <f t="shared" si="1"/>
        <v>0.35</v>
      </c>
      <c r="I25" s="10">
        <f t="shared" si="2"/>
        <v>1E-3</v>
      </c>
      <c r="J25">
        <f t="shared" si="3"/>
        <v>-0.24</v>
      </c>
      <c r="P25">
        <v>2795</v>
      </c>
    </row>
    <row r="26" spans="1:16" x14ac:dyDescent="0.25">
      <c r="A26" t="s">
        <v>20</v>
      </c>
      <c r="B26" t="s">
        <v>43</v>
      </c>
      <c r="C26" s="9"/>
      <c r="D26" s="9">
        <v>621</v>
      </c>
      <c r="E26" s="9"/>
      <c r="F26" s="9"/>
      <c r="G26" s="9">
        <f t="shared" si="0"/>
        <v>621</v>
      </c>
      <c r="H26">
        <f t="shared" si="1"/>
        <v>0.1</v>
      </c>
      <c r="I26" s="10">
        <f t="shared" si="2"/>
        <v>0</v>
      </c>
      <c r="J26">
        <f t="shared" si="3"/>
        <v>0.1</v>
      </c>
      <c r="P26">
        <v>565</v>
      </c>
    </row>
    <row r="27" spans="1:16" x14ac:dyDescent="0.25">
      <c r="A27" t="s">
        <v>20</v>
      </c>
      <c r="B27" t="s">
        <v>70</v>
      </c>
      <c r="C27" s="9"/>
      <c r="D27" s="9"/>
      <c r="E27" s="9">
        <v>680</v>
      </c>
      <c r="F27" s="9"/>
      <c r="G27" s="9">
        <f t="shared" si="0"/>
        <v>680</v>
      </c>
      <c r="H27">
        <f t="shared" si="1"/>
        <v>0.11</v>
      </c>
      <c r="I27" s="10">
        <f t="shared" si="2"/>
        <v>0</v>
      </c>
      <c r="J27">
        <f t="shared" si="3"/>
        <v>0.06</v>
      </c>
      <c r="P27">
        <v>640</v>
      </c>
    </row>
    <row r="28" spans="1:16" x14ac:dyDescent="0.25">
      <c r="A28" t="s">
        <v>20</v>
      </c>
      <c r="B28" t="s">
        <v>34</v>
      </c>
      <c r="C28" s="9"/>
      <c r="D28" s="9">
        <v>1085</v>
      </c>
      <c r="E28" s="9"/>
      <c r="F28" s="9"/>
      <c r="G28" s="9">
        <f t="shared" si="0"/>
        <v>1085</v>
      </c>
      <c r="H28">
        <f t="shared" si="1"/>
        <v>0.18</v>
      </c>
      <c r="I28" s="10">
        <f t="shared" si="2"/>
        <v>0</v>
      </c>
      <c r="J28">
        <f t="shared" si="3"/>
        <v>0.06</v>
      </c>
      <c r="P28">
        <v>1020</v>
      </c>
    </row>
    <row r="29" spans="1:16" x14ac:dyDescent="0.25">
      <c r="A29" t="s">
        <v>20</v>
      </c>
      <c r="B29" t="s">
        <v>35</v>
      </c>
      <c r="C29" s="9"/>
      <c r="D29" s="9"/>
      <c r="E29" s="9">
        <v>3902</v>
      </c>
      <c r="F29" s="9"/>
      <c r="G29" s="9">
        <f t="shared" si="0"/>
        <v>3902</v>
      </c>
      <c r="H29">
        <f t="shared" si="1"/>
        <v>0.65</v>
      </c>
      <c r="I29" s="10">
        <f t="shared" si="2"/>
        <v>1E-3</v>
      </c>
      <c r="J29">
        <f t="shared" si="3"/>
        <v>-0.39</v>
      </c>
      <c r="P29">
        <v>6347</v>
      </c>
    </row>
    <row r="30" spans="1:16" x14ac:dyDescent="0.25">
      <c r="A30" t="s">
        <v>20</v>
      </c>
      <c r="B30" t="s">
        <v>36</v>
      </c>
      <c r="C30" s="9"/>
      <c r="D30" s="9"/>
      <c r="E30" s="9">
        <v>7566</v>
      </c>
      <c r="F30" s="9"/>
      <c r="G30" s="9">
        <f t="shared" si="0"/>
        <v>7566</v>
      </c>
      <c r="H30">
        <f t="shared" si="1"/>
        <v>1.27</v>
      </c>
      <c r="I30" s="10">
        <f t="shared" si="2"/>
        <v>3.0000000000000001E-3</v>
      </c>
      <c r="J30">
        <f t="shared" si="3"/>
        <v>-0.28000000000000003</v>
      </c>
      <c r="P30">
        <v>10580</v>
      </c>
    </row>
    <row r="31" spans="1:16" x14ac:dyDescent="0.25">
      <c r="A31" t="s">
        <v>20</v>
      </c>
      <c r="B31" t="s">
        <v>41</v>
      </c>
      <c r="C31" s="9"/>
      <c r="D31" s="9"/>
      <c r="E31" s="9">
        <v>10807</v>
      </c>
      <c r="F31" s="9"/>
      <c r="G31" s="9">
        <f t="shared" si="0"/>
        <v>10807</v>
      </c>
      <c r="H31">
        <f t="shared" si="1"/>
        <v>1.81</v>
      </c>
      <c r="I31" s="10">
        <f t="shared" si="2"/>
        <v>4.0000000000000001E-3</v>
      </c>
      <c r="J31">
        <f t="shared" si="3"/>
        <v>-0.08</v>
      </c>
      <c r="P31">
        <v>11807</v>
      </c>
    </row>
    <row r="32" spans="1:16" x14ac:dyDescent="0.25">
      <c r="A32" t="s">
        <v>20</v>
      </c>
      <c r="B32" t="s">
        <v>125</v>
      </c>
      <c r="C32" s="9"/>
      <c r="D32" s="9"/>
      <c r="E32" s="9"/>
      <c r="F32" s="9">
        <v>350</v>
      </c>
      <c r="G32" s="9">
        <f t="shared" si="0"/>
        <v>350</v>
      </c>
      <c r="H32">
        <f t="shared" si="1"/>
        <v>0.06</v>
      </c>
      <c r="I32" s="10">
        <f t="shared" si="2"/>
        <v>0</v>
      </c>
      <c r="P32">
        <v>0</v>
      </c>
    </row>
    <row r="33" spans="1:16" x14ac:dyDescent="0.25">
      <c r="A33" t="s">
        <v>20</v>
      </c>
      <c r="B33" t="s">
        <v>37</v>
      </c>
      <c r="C33" s="9"/>
      <c r="D33" s="9"/>
      <c r="E33" s="9">
        <v>161420</v>
      </c>
      <c r="F33" s="9">
        <v>1370</v>
      </c>
      <c r="G33" s="9">
        <f t="shared" si="0"/>
        <v>162790</v>
      </c>
      <c r="H33">
        <f t="shared" si="1"/>
        <v>27.22</v>
      </c>
      <c r="I33" s="10">
        <f t="shared" si="2"/>
        <v>5.8000000000000003E-2</v>
      </c>
      <c r="J33">
        <f>ROUND(G33/P33-1,2)</f>
        <v>0.03</v>
      </c>
      <c r="P33">
        <v>157830</v>
      </c>
    </row>
    <row r="34" spans="1:16" x14ac:dyDescent="0.25">
      <c r="A34" t="s">
        <v>20</v>
      </c>
      <c r="B34" t="s">
        <v>38</v>
      </c>
      <c r="C34" s="9"/>
      <c r="D34" s="9"/>
      <c r="E34" s="9">
        <v>5560</v>
      </c>
      <c r="F34" s="9"/>
      <c r="G34" s="9">
        <f t="shared" si="0"/>
        <v>5560</v>
      </c>
      <c r="H34">
        <f t="shared" si="1"/>
        <v>0.93</v>
      </c>
      <c r="I34" s="10">
        <f t="shared" si="2"/>
        <v>2E-3</v>
      </c>
      <c r="J34">
        <f>ROUND(G34/P34-1,2)</f>
        <v>0.31</v>
      </c>
      <c r="P34">
        <v>4255</v>
      </c>
    </row>
    <row r="35" spans="1:16" x14ac:dyDescent="0.25">
      <c r="A35" t="s">
        <v>20</v>
      </c>
      <c r="B35" t="s">
        <v>39</v>
      </c>
      <c r="C35" s="9"/>
      <c r="D35" s="9"/>
      <c r="E35" s="9">
        <v>23930</v>
      </c>
      <c r="F35" s="9">
        <v>780</v>
      </c>
      <c r="G35" s="9">
        <f t="shared" si="0"/>
        <v>24710</v>
      </c>
      <c r="H35">
        <f t="shared" si="1"/>
        <v>4.13</v>
      </c>
      <c r="I35" s="10">
        <f t="shared" si="2"/>
        <v>8.9999999999999993E-3</v>
      </c>
      <c r="J35">
        <f>ROUND(G35/P35-1,2)</f>
        <v>0.05</v>
      </c>
      <c r="P35">
        <v>23510</v>
      </c>
    </row>
    <row r="36" spans="1:16" x14ac:dyDescent="0.25">
      <c r="A36" t="s">
        <v>20</v>
      </c>
      <c r="B36" t="s">
        <v>40</v>
      </c>
      <c r="C36" s="9"/>
      <c r="D36" s="9"/>
      <c r="E36" s="9">
        <v>386840</v>
      </c>
      <c r="F36" s="9"/>
      <c r="G36" s="9">
        <f t="shared" si="0"/>
        <v>386840</v>
      </c>
      <c r="H36">
        <f t="shared" si="1"/>
        <v>64.69</v>
      </c>
      <c r="I36" s="10">
        <f t="shared" si="2"/>
        <v>0.13900000000000001</v>
      </c>
      <c r="J36">
        <f>ROUND(G36/P36-1,2)</f>
        <v>0.23</v>
      </c>
      <c r="P36">
        <v>315650</v>
      </c>
    </row>
    <row r="37" spans="1:16" x14ac:dyDescent="0.25">
      <c r="A37" t="s">
        <v>20</v>
      </c>
      <c r="B37" t="s">
        <v>74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126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667130</v>
      </c>
      <c r="D39" s="9"/>
      <c r="E39" s="9"/>
      <c r="F39" s="9">
        <v>2620</v>
      </c>
      <c r="G39" s="9">
        <f t="shared" si="0"/>
        <v>669750</v>
      </c>
      <c r="H39">
        <f t="shared" si="1"/>
        <v>112</v>
      </c>
      <c r="I39" s="10">
        <f t="shared" si="2"/>
        <v>0.24</v>
      </c>
      <c r="J39">
        <f>ROUND(G39/P39-1,2)</f>
        <v>0.04</v>
      </c>
      <c r="P39">
        <v>643060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17770</v>
      </c>
      <c r="G40" s="9">
        <f t="shared" si="0"/>
        <v>17770</v>
      </c>
      <c r="H40">
        <f t="shared" si="1"/>
        <v>2.97</v>
      </c>
      <c r="I40" s="10">
        <f t="shared" si="2"/>
        <v>6.0000000000000001E-3</v>
      </c>
      <c r="J40">
        <f>ROUND(G40/P40-1,2)</f>
        <v>-0.57999999999999996</v>
      </c>
      <c r="P40">
        <v>42400</v>
      </c>
    </row>
    <row r="41" spans="1:16" x14ac:dyDescent="0.25">
      <c r="A41" t="s">
        <v>44</v>
      </c>
      <c r="B41" t="s">
        <v>46</v>
      </c>
      <c r="C41" s="9"/>
      <c r="D41" s="9"/>
      <c r="E41" s="9">
        <v>118420</v>
      </c>
      <c r="F41" s="9"/>
      <c r="G41" s="9">
        <f t="shared" si="0"/>
        <v>118420</v>
      </c>
      <c r="H41">
        <f t="shared" si="1"/>
        <v>19.8</v>
      </c>
      <c r="I41" s="10">
        <f t="shared" si="2"/>
        <v>4.2000000000000003E-2</v>
      </c>
      <c r="J41">
        <f>ROUND(G41/P41-1,2)</f>
        <v>-0.1</v>
      </c>
      <c r="P41">
        <v>131375</v>
      </c>
    </row>
    <row r="42" spans="1:16" x14ac:dyDescent="0.25">
      <c r="A42" t="s">
        <v>16</v>
      </c>
      <c r="B42" t="s">
        <v>19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J42">
        <f>ROUND(G42/P42-1,2)</f>
        <v>-1</v>
      </c>
      <c r="P42">
        <v>16</v>
      </c>
    </row>
    <row r="43" spans="1:16" x14ac:dyDescent="0.25">
      <c r="A43" t="s">
        <v>16</v>
      </c>
      <c r="B43" t="s">
        <v>18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16</v>
      </c>
      <c r="B44" t="s">
        <v>127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SUM(C8:C44)</f>
        <v>1911040</v>
      </c>
      <c r="D49" s="12">
        <f t="shared" si="4"/>
        <v>1706</v>
      </c>
      <c r="E49" s="12">
        <f t="shared" si="4"/>
        <v>851830</v>
      </c>
      <c r="F49" s="12">
        <f t="shared" si="4"/>
        <v>23480</v>
      </c>
      <c r="G49" s="12">
        <f t="shared" si="4"/>
        <v>2788056</v>
      </c>
      <c r="H49" s="11">
        <f t="shared" si="4"/>
        <v>466.21000000000009</v>
      </c>
      <c r="I49" s="4"/>
    </row>
    <row r="50" spans="1:10" x14ac:dyDescent="0.25">
      <c r="A50" s="11" t="s">
        <v>14</v>
      </c>
      <c r="C50" s="13">
        <f>ROUND(C49/G49,2)</f>
        <v>0.69</v>
      </c>
      <c r="D50" s="13">
        <f>ROUND(D49/G49,2)</f>
        <v>0</v>
      </c>
      <c r="E50" s="13">
        <f>ROUND(E49/G49,2)</f>
        <v>0.31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1243910</v>
      </c>
      <c r="D54" s="15">
        <v>1706</v>
      </c>
      <c r="E54" s="15">
        <v>733410</v>
      </c>
      <c r="F54" s="15">
        <v>3090</v>
      </c>
      <c r="G54" s="15">
        <f>SUM(C54:F54)</f>
        <v>1982116</v>
      </c>
      <c r="H54" s="17">
        <f>ROUND(G54/5980,2)</f>
        <v>331.46</v>
      </c>
      <c r="I54" s="4"/>
      <c r="J54" s="4"/>
    </row>
    <row r="55" spans="1:10" x14ac:dyDescent="0.25">
      <c r="A55" s="33" t="s">
        <v>50</v>
      </c>
      <c r="B55" s="33"/>
      <c r="C55" s="15">
        <v>667130</v>
      </c>
      <c r="D55" s="15">
        <v>0</v>
      </c>
      <c r="E55" s="15">
        <v>118420</v>
      </c>
      <c r="F55" s="15">
        <v>20390</v>
      </c>
      <c r="G55" s="15">
        <f>SUM(C55:F55)</f>
        <v>805940</v>
      </c>
      <c r="H55" s="17">
        <f>ROUND(G55/5980,2)</f>
        <v>134.77000000000001</v>
      </c>
      <c r="I55" s="4"/>
      <c r="J55" s="4"/>
    </row>
    <row r="56" spans="1:10" x14ac:dyDescent="0.25">
      <c r="A56" s="33" t="s">
        <v>51</v>
      </c>
      <c r="B56" s="33"/>
      <c r="C56" s="14">
        <v>0</v>
      </c>
      <c r="D56" s="14">
        <v>0</v>
      </c>
      <c r="E56" s="14">
        <v>0</v>
      </c>
      <c r="F56" s="14">
        <v>0</v>
      </c>
      <c r="G56" s="14">
        <f>SUM(C56:F56)</f>
        <v>0</v>
      </c>
      <c r="H56" s="16">
        <f>ROUND(G56/5980,2)</f>
        <v>0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ROUND(0.7479, 4)</f>
        <v>0.74790000000000001</v>
      </c>
      <c r="D60" s="18">
        <f>ROUND(0.7541, 4)</f>
        <v>0.75409999999999999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ROUND(0.7376, 4)</f>
        <v>0.73760000000000003</v>
      </c>
      <c r="D61" s="18">
        <f>ROUND(0.7443, 4)</f>
        <v>0.74429999999999996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128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112</v>
      </c>
      <c r="D64" s="16">
        <v>101.93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69.849999999999994</v>
      </c>
      <c r="D65" s="16">
        <v>70.569999999999993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331.46</v>
      </c>
      <c r="D66" s="16">
        <v>320.85000000000002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134.77000000000001</v>
      </c>
      <c r="D67" s="16">
        <v>129.76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7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129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1085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7</v>
      </c>
      <c r="G9" s="9">
        <f t="shared" ref="G9:G28" si="0">SUM(C9:F9)</f>
        <v>7</v>
      </c>
      <c r="H9">
        <f t="shared" ref="H9:H28" si="1">ROUND(G9/1085,2)</f>
        <v>0.01</v>
      </c>
      <c r="I9" s="10">
        <f t="shared" ref="I9:I28" si="2">ROUND(G9/$G$49,3)</f>
        <v>0</v>
      </c>
      <c r="P9">
        <v>0</v>
      </c>
    </row>
    <row r="10" spans="1:16" x14ac:dyDescent="0.25">
      <c r="A10" t="s">
        <v>20</v>
      </c>
      <c r="B10" t="s">
        <v>21</v>
      </c>
      <c r="C10" s="9">
        <v>34840</v>
      </c>
      <c r="D10" s="9"/>
      <c r="E10" s="9"/>
      <c r="F10" s="9">
        <v>250</v>
      </c>
      <c r="G10" s="9">
        <f t="shared" si="0"/>
        <v>35090</v>
      </c>
      <c r="H10">
        <f t="shared" si="1"/>
        <v>32.340000000000003</v>
      </c>
      <c r="I10" s="10">
        <f t="shared" si="2"/>
        <v>9.0999999999999998E-2</v>
      </c>
      <c r="J10">
        <f t="shared" ref="J10:J24" si="3">ROUND(G10/P10-1,2)</f>
        <v>-0.05</v>
      </c>
      <c r="P10">
        <v>36920</v>
      </c>
    </row>
    <row r="11" spans="1:16" x14ac:dyDescent="0.25">
      <c r="A11" t="s">
        <v>20</v>
      </c>
      <c r="B11" t="s">
        <v>22</v>
      </c>
      <c r="C11" s="9">
        <v>48640</v>
      </c>
      <c r="D11" s="9"/>
      <c r="E11" s="9"/>
      <c r="F11" s="9">
        <v>180</v>
      </c>
      <c r="G11" s="9">
        <f t="shared" si="0"/>
        <v>48820</v>
      </c>
      <c r="H11">
        <f t="shared" si="1"/>
        <v>45</v>
      </c>
      <c r="I11" s="10">
        <f t="shared" si="2"/>
        <v>0.127</v>
      </c>
      <c r="J11">
        <f t="shared" si="3"/>
        <v>-0.05</v>
      </c>
      <c r="P11">
        <v>51300</v>
      </c>
    </row>
    <row r="12" spans="1:16" x14ac:dyDescent="0.25">
      <c r="A12" t="s">
        <v>20</v>
      </c>
      <c r="B12" t="s">
        <v>79</v>
      </c>
      <c r="C12" s="9"/>
      <c r="D12" s="9"/>
      <c r="E12" s="9"/>
      <c r="F12" s="9">
        <v>11</v>
      </c>
      <c r="G12" s="9">
        <f t="shared" si="0"/>
        <v>11</v>
      </c>
      <c r="H12">
        <f t="shared" si="1"/>
        <v>0.01</v>
      </c>
      <c r="I12" s="10">
        <f t="shared" si="2"/>
        <v>0</v>
      </c>
      <c r="J12">
        <f t="shared" si="3"/>
        <v>0.1</v>
      </c>
      <c r="P12">
        <v>10</v>
      </c>
    </row>
    <row r="13" spans="1:16" x14ac:dyDescent="0.25">
      <c r="A13" t="s">
        <v>20</v>
      </c>
      <c r="B13" t="s">
        <v>42</v>
      </c>
      <c r="C13" s="9"/>
      <c r="D13" s="9"/>
      <c r="E13" s="9"/>
      <c r="F13" s="9">
        <v>12</v>
      </c>
      <c r="G13" s="9">
        <f t="shared" si="0"/>
        <v>12</v>
      </c>
      <c r="H13">
        <f t="shared" si="1"/>
        <v>0.01</v>
      </c>
      <c r="I13" s="10">
        <f t="shared" si="2"/>
        <v>0</v>
      </c>
      <c r="J13">
        <f t="shared" si="3"/>
        <v>-0.14000000000000001</v>
      </c>
      <c r="P13">
        <v>14</v>
      </c>
    </row>
    <row r="14" spans="1:16" x14ac:dyDescent="0.25">
      <c r="A14" t="s">
        <v>20</v>
      </c>
      <c r="B14" t="s">
        <v>25</v>
      </c>
      <c r="C14" s="9">
        <v>41740</v>
      </c>
      <c r="D14" s="9"/>
      <c r="E14" s="9"/>
      <c r="F14" s="9">
        <v>100</v>
      </c>
      <c r="G14" s="9">
        <f t="shared" si="0"/>
        <v>41840</v>
      </c>
      <c r="H14">
        <f t="shared" si="1"/>
        <v>38.56</v>
      </c>
      <c r="I14" s="10">
        <f t="shared" si="2"/>
        <v>0.109</v>
      </c>
      <c r="J14">
        <f t="shared" si="3"/>
        <v>0.12</v>
      </c>
      <c r="P14">
        <v>37380</v>
      </c>
    </row>
    <row r="15" spans="1:16" x14ac:dyDescent="0.25">
      <c r="A15" t="s">
        <v>20</v>
      </c>
      <c r="B15" t="s">
        <v>26</v>
      </c>
      <c r="C15" s="9">
        <v>112620</v>
      </c>
      <c r="D15" s="9"/>
      <c r="E15" s="9"/>
      <c r="F15" s="9">
        <v>250</v>
      </c>
      <c r="G15" s="9">
        <f t="shared" si="0"/>
        <v>112870</v>
      </c>
      <c r="H15">
        <f t="shared" si="1"/>
        <v>104.03</v>
      </c>
      <c r="I15" s="10">
        <f t="shared" si="2"/>
        <v>0.29399999999999998</v>
      </c>
      <c r="J15">
        <f t="shared" si="3"/>
        <v>0.09</v>
      </c>
      <c r="P15">
        <v>103420</v>
      </c>
    </row>
    <row r="16" spans="1:16" x14ac:dyDescent="0.25">
      <c r="A16" t="s">
        <v>20</v>
      </c>
      <c r="B16" t="s">
        <v>29</v>
      </c>
      <c r="C16" s="9"/>
      <c r="D16" s="9"/>
      <c r="E16" s="9"/>
      <c r="F16" s="9">
        <v>10</v>
      </c>
      <c r="G16" s="9">
        <f t="shared" si="0"/>
        <v>10</v>
      </c>
      <c r="H16">
        <f t="shared" si="1"/>
        <v>0.01</v>
      </c>
      <c r="I16" s="10">
        <f t="shared" si="2"/>
        <v>0</v>
      </c>
      <c r="J16">
        <f t="shared" si="3"/>
        <v>-0.5</v>
      </c>
      <c r="P16">
        <v>20</v>
      </c>
    </row>
    <row r="17" spans="1:16" x14ac:dyDescent="0.25">
      <c r="A17" t="s">
        <v>20</v>
      </c>
      <c r="B17" t="s">
        <v>31</v>
      </c>
      <c r="C17" s="9"/>
      <c r="D17" s="9"/>
      <c r="E17" s="9"/>
      <c r="F17" s="9">
        <v>140</v>
      </c>
      <c r="G17" s="9">
        <f t="shared" si="0"/>
        <v>140</v>
      </c>
      <c r="H17">
        <f t="shared" si="1"/>
        <v>0.13</v>
      </c>
      <c r="I17" s="10">
        <f t="shared" si="2"/>
        <v>0</v>
      </c>
      <c r="J17">
        <f t="shared" si="3"/>
        <v>0.08</v>
      </c>
      <c r="P17">
        <v>130</v>
      </c>
    </row>
    <row r="18" spans="1:16" x14ac:dyDescent="0.25">
      <c r="A18" t="s">
        <v>20</v>
      </c>
      <c r="B18" t="s">
        <v>32</v>
      </c>
      <c r="C18" s="9"/>
      <c r="D18" s="9"/>
      <c r="E18" s="9"/>
      <c r="F18" s="9">
        <v>170</v>
      </c>
      <c r="G18" s="9">
        <f t="shared" si="0"/>
        <v>170</v>
      </c>
      <c r="H18">
        <f t="shared" si="1"/>
        <v>0.16</v>
      </c>
      <c r="I18" s="10">
        <f t="shared" si="2"/>
        <v>0</v>
      </c>
      <c r="J18">
        <f t="shared" si="3"/>
        <v>2.4</v>
      </c>
      <c r="P18">
        <v>50</v>
      </c>
    </row>
    <row r="19" spans="1:16" x14ac:dyDescent="0.25">
      <c r="A19" t="s">
        <v>20</v>
      </c>
      <c r="B19" t="s">
        <v>33</v>
      </c>
      <c r="C19" s="9"/>
      <c r="D19" s="9"/>
      <c r="E19" s="9"/>
      <c r="F19" s="9">
        <v>595</v>
      </c>
      <c r="G19" s="9">
        <f t="shared" si="0"/>
        <v>595</v>
      </c>
      <c r="H19">
        <f t="shared" si="1"/>
        <v>0.55000000000000004</v>
      </c>
      <c r="I19" s="10">
        <f t="shared" si="2"/>
        <v>2E-3</v>
      </c>
      <c r="J19">
        <f t="shared" si="3"/>
        <v>4.17</v>
      </c>
      <c r="P19">
        <v>115</v>
      </c>
    </row>
    <row r="20" spans="1:16" x14ac:dyDescent="0.25">
      <c r="A20" t="s">
        <v>20</v>
      </c>
      <c r="B20" t="s">
        <v>43</v>
      </c>
      <c r="C20" s="9"/>
      <c r="D20" s="9">
        <v>113</v>
      </c>
      <c r="E20" s="9"/>
      <c r="F20" s="9"/>
      <c r="G20" s="9">
        <f t="shared" si="0"/>
        <v>113</v>
      </c>
      <c r="H20">
        <f t="shared" si="1"/>
        <v>0.1</v>
      </c>
      <c r="I20" s="10">
        <f t="shared" si="2"/>
        <v>0</v>
      </c>
      <c r="J20">
        <f t="shared" si="3"/>
        <v>0.05</v>
      </c>
      <c r="P20">
        <v>108</v>
      </c>
    </row>
    <row r="21" spans="1:16" x14ac:dyDescent="0.25">
      <c r="A21" t="s">
        <v>20</v>
      </c>
      <c r="B21" t="s">
        <v>34</v>
      </c>
      <c r="C21" s="9"/>
      <c r="D21" s="9">
        <v>195</v>
      </c>
      <c r="E21" s="9"/>
      <c r="F21" s="9">
        <v>216</v>
      </c>
      <c r="G21" s="9">
        <f t="shared" si="0"/>
        <v>411</v>
      </c>
      <c r="H21">
        <f t="shared" si="1"/>
        <v>0.38</v>
      </c>
      <c r="I21" s="10">
        <f t="shared" si="2"/>
        <v>1E-3</v>
      </c>
      <c r="J21">
        <f t="shared" si="3"/>
        <v>-0.28000000000000003</v>
      </c>
      <c r="P21">
        <v>567</v>
      </c>
    </row>
    <row r="22" spans="1:16" x14ac:dyDescent="0.25">
      <c r="A22" t="s">
        <v>20</v>
      </c>
      <c r="B22" t="s">
        <v>37</v>
      </c>
      <c r="C22" s="9"/>
      <c r="D22" s="9"/>
      <c r="E22" s="9"/>
      <c r="F22" s="9">
        <v>4460</v>
      </c>
      <c r="G22" s="9">
        <f t="shared" si="0"/>
        <v>4460</v>
      </c>
      <c r="H22">
        <f t="shared" si="1"/>
        <v>4.1100000000000003</v>
      </c>
      <c r="I22" s="10">
        <f t="shared" si="2"/>
        <v>1.2E-2</v>
      </c>
      <c r="J22">
        <f t="shared" si="3"/>
        <v>0.08</v>
      </c>
      <c r="P22">
        <v>4120</v>
      </c>
    </row>
    <row r="23" spans="1:16" x14ac:dyDescent="0.25">
      <c r="A23" t="s">
        <v>20</v>
      </c>
      <c r="B23" t="s">
        <v>39</v>
      </c>
      <c r="C23" s="9"/>
      <c r="D23" s="9"/>
      <c r="E23" s="9"/>
      <c r="F23" s="9">
        <v>3030</v>
      </c>
      <c r="G23" s="9">
        <f t="shared" si="0"/>
        <v>3030</v>
      </c>
      <c r="H23">
        <f t="shared" si="1"/>
        <v>2.79</v>
      </c>
      <c r="I23" s="10">
        <f t="shared" si="2"/>
        <v>8.0000000000000002E-3</v>
      </c>
      <c r="J23">
        <f t="shared" si="3"/>
        <v>-0.23</v>
      </c>
      <c r="P23">
        <v>3920</v>
      </c>
    </row>
    <row r="24" spans="1:16" x14ac:dyDescent="0.25">
      <c r="A24" t="s">
        <v>20</v>
      </c>
      <c r="B24" t="s">
        <v>40</v>
      </c>
      <c r="C24" s="9"/>
      <c r="D24" s="9"/>
      <c r="E24" s="9"/>
      <c r="F24" s="9">
        <v>26340</v>
      </c>
      <c r="G24" s="9">
        <f t="shared" si="0"/>
        <v>26340</v>
      </c>
      <c r="H24">
        <f t="shared" si="1"/>
        <v>24.28</v>
      </c>
      <c r="I24" s="10">
        <f t="shared" si="2"/>
        <v>6.9000000000000006E-2</v>
      </c>
      <c r="J24">
        <f t="shared" si="3"/>
        <v>0.12</v>
      </c>
      <c r="P24">
        <v>23540</v>
      </c>
    </row>
    <row r="25" spans="1:16" x14ac:dyDescent="0.25">
      <c r="A25" t="s">
        <v>20</v>
      </c>
      <c r="B25" t="s">
        <v>70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44</v>
      </c>
      <c r="B26" t="s">
        <v>45</v>
      </c>
      <c r="C26" s="9">
        <v>98540</v>
      </c>
      <c r="D26" s="9"/>
      <c r="E26" s="9"/>
      <c r="F26" s="9">
        <v>40</v>
      </c>
      <c r="G26" s="9">
        <f t="shared" si="0"/>
        <v>98580</v>
      </c>
      <c r="H26">
        <f t="shared" si="1"/>
        <v>90.86</v>
      </c>
      <c r="I26" s="10">
        <f t="shared" si="2"/>
        <v>0.25700000000000001</v>
      </c>
      <c r="J26">
        <f>ROUND(G26/P26-1,2)</f>
        <v>-0.03</v>
      </c>
      <c r="P26">
        <v>102150</v>
      </c>
    </row>
    <row r="27" spans="1:16" x14ac:dyDescent="0.25">
      <c r="A27" t="s">
        <v>44</v>
      </c>
      <c r="B27" t="s">
        <v>46</v>
      </c>
      <c r="C27" s="9"/>
      <c r="D27" s="9"/>
      <c r="E27" s="9"/>
      <c r="F27" s="9">
        <v>11200</v>
      </c>
      <c r="G27" s="9">
        <f t="shared" si="0"/>
        <v>11200</v>
      </c>
      <c r="H27">
        <f t="shared" si="1"/>
        <v>10.32</v>
      </c>
      <c r="I27" s="10">
        <f t="shared" si="2"/>
        <v>2.9000000000000001E-2</v>
      </c>
      <c r="J27">
        <f>ROUND(G27/P27-1,2)</f>
        <v>0.09</v>
      </c>
      <c r="P27">
        <v>10260</v>
      </c>
    </row>
    <row r="28" spans="1:16" x14ac:dyDescent="0.25">
      <c r="A28" t="s">
        <v>44</v>
      </c>
      <c r="B28" t="s">
        <v>47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C29" s="9"/>
      <c r="D29" s="9"/>
      <c r="E29" s="9"/>
      <c r="F29" s="9"/>
      <c r="G29" s="9"/>
      <c r="I29" s="10"/>
    </row>
    <row r="30" spans="1:16" x14ac:dyDescent="0.25">
      <c r="C30" s="9"/>
      <c r="D30" s="9"/>
      <c r="E30" s="9"/>
      <c r="F30" s="9"/>
      <c r="G30" s="9"/>
      <c r="I30" s="10"/>
    </row>
    <row r="31" spans="1:16" x14ac:dyDescent="0.25">
      <c r="C31" s="9"/>
      <c r="D31" s="9"/>
      <c r="E31" s="9"/>
      <c r="F31" s="9"/>
      <c r="G31" s="9"/>
      <c r="I31" s="10"/>
    </row>
    <row r="32" spans="1:16" x14ac:dyDescent="0.25">
      <c r="C32" s="9"/>
      <c r="D32" s="9"/>
      <c r="E32" s="9"/>
      <c r="F32" s="9"/>
      <c r="G32" s="9"/>
      <c r="I32" s="10"/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SUM(C8:C28)</f>
        <v>336380</v>
      </c>
      <c r="D49" s="12">
        <f t="shared" si="4"/>
        <v>308</v>
      </c>
      <c r="E49" s="12">
        <f t="shared" si="4"/>
        <v>0</v>
      </c>
      <c r="F49" s="12">
        <f t="shared" si="4"/>
        <v>47011</v>
      </c>
      <c r="G49" s="12">
        <f t="shared" si="4"/>
        <v>383699</v>
      </c>
      <c r="H49" s="11">
        <f t="shared" si="4"/>
        <v>353.65</v>
      </c>
      <c r="I49" s="4"/>
    </row>
    <row r="50" spans="1:10" x14ac:dyDescent="0.25">
      <c r="A50" s="11" t="s">
        <v>14</v>
      </c>
      <c r="C50" s="13">
        <f>ROUND(C49/G49,2)</f>
        <v>0.88</v>
      </c>
      <c r="D50" s="13">
        <f>ROUND(D49/G49,2)</f>
        <v>0</v>
      </c>
      <c r="E50" s="13">
        <f>ROUND(E49/G49,2)</f>
        <v>0</v>
      </c>
      <c r="F50" s="13">
        <f>ROUND(F49/G49,2)</f>
        <v>0.12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237840</v>
      </c>
      <c r="D54" s="15">
        <v>308</v>
      </c>
      <c r="E54" s="15">
        <v>0</v>
      </c>
      <c r="F54" s="15">
        <v>35764</v>
      </c>
      <c r="G54" s="15">
        <f>SUM(C54:F54)</f>
        <v>273912</v>
      </c>
      <c r="H54" s="17">
        <f>ROUND(G54/1085,2)</f>
        <v>252.45</v>
      </c>
      <c r="I54" s="4"/>
      <c r="J54" s="4"/>
    </row>
    <row r="55" spans="1:10" x14ac:dyDescent="0.25">
      <c r="A55" s="33" t="s">
        <v>50</v>
      </c>
      <c r="B55" s="33"/>
      <c r="C55" s="15">
        <v>98540</v>
      </c>
      <c r="D55" s="15">
        <v>0</v>
      </c>
      <c r="E55" s="15">
        <v>0</v>
      </c>
      <c r="F55" s="15">
        <v>11240</v>
      </c>
      <c r="G55" s="15">
        <f>SUM(C55:F55)</f>
        <v>109780</v>
      </c>
      <c r="H55" s="17">
        <f>ROUND(G55/1085,2)</f>
        <v>101.18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7</v>
      </c>
      <c r="G56" s="15">
        <f>SUM(C56:F56)</f>
        <v>7</v>
      </c>
      <c r="H56" s="17">
        <f>ROUND(G56/1085,2)</f>
        <v>0.01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ROUND(0.7399, 4)</f>
        <v>0.7399</v>
      </c>
      <c r="D60" s="19">
        <f>ROUND(0.7239, 4)</f>
        <v>0.72389999999999999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ROUND(0.7282, 4)</f>
        <v>0.72819999999999996</v>
      </c>
      <c r="D61" s="19">
        <f>ROUND(0.7112, 4)</f>
        <v>0.71120000000000005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130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90.86</v>
      </c>
      <c r="D64" s="17">
        <v>84.12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104.03</v>
      </c>
      <c r="D65" s="17">
        <v>100.58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252.45</v>
      </c>
      <c r="D66" s="17">
        <v>253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101.18</v>
      </c>
      <c r="D67" s="17">
        <v>95.85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7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131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1687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127</v>
      </c>
      <c r="C9" s="9"/>
      <c r="D9" s="9"/>
      <c r="E9" s="9">
        <v>33660</v>
      </c>
      <c r="F9" s="9"/>
      <c r="G9" s="9">
        <f t="shared" ref="G9:G38" si="0">SUM(C9:F9)</f>
        <v>33660</v>
      </c>
      <c r="H9">
        <f t="shared" ref="H9:H38" si="1">ROUND(G9/1687,2)</f>
        <v>19.95</v>
      </c>
      <c r="I9" s="10">
        <f t="shared" ref="I9:I38" si="2">ROUND(G9/$G$49,3)</f>
        <v>5.2999999999999999E-2</v>
      </c>
      <c r="J9">
        <f>ROUND(G9/P9-1,2)</f>
        <v>-0.17</v>
      </c>
      <c r="P9">
        <v>40660</v>
      </c>
    </row>
    <row r="10" spans="1:16" x14ac:dyDescent="0.25">
      <c r="A10" t="s">
        <v>16</v>
      </c>
      <c r="B10" t="s">
        <v>132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21</v>
      </c>
      <c r="C12" s="9">
        <v>54540</v>
      </c>
      <c r="D12" s="9"/>
      <c r="E12" s="9"/>
      <c r="F12" s="9"/>
      <c r="G12" s="9">
        <f t="shared" si="0"/>
        <v>54540</v>
      </c>
      <c r="H12">
        <f t="shared" si="1"/>
        <v>32.33</v>
      </c>
      <c r="I12" s="10">
        <f t="shared" si="2"/>
        <v>8.5999999999999993E-2</v>
      </c>
      <c r="J12">
        <f>ROUND(G12/P12-1,2)</f>
        <v>0</v>
      </c>
      <c r="P12">
        <v>54740</v>
      </c>
    </row>
    <row r="13" spans="1:16" x14ac:dyDescent="0.25">
      <c r="A13" t="s">
        <v>20</v>
      </c>
      <c r="B13" t="s">
        <v>22</v>
      </c>
      <c r="C13" s="9">
        <v>73960</v>
      </c>
      <c r="D13" s="9"/>
      <c r="E13" s="9"/>
      <c r="F13" s="9"/>
      <c r="G13" s="9">
        <f t="shared" si="0"/>
        <v>73960</v>
      </c>
      <c r="H13">
        <f t="shared" si="1"/>
        <v>43.84</v>
      </c>
      <c r="I13" s="10">
        <f t="shared" si="2"/>
        <v>0.11600000000000001</v>
      </c>
      <c r="J13">
        <f>ROUND(G13/P13-1,2)</f>
        <v>-0.09</v>
      </c>
      <c r="P13">
        <v>81370</v>
      </c>
    </row>
    <row r="14" spans="1:16" x14ac:dyDescent="0.25">
      <c r="A14" t="s">
        <v>20</v>
      </c>
      <c r="B14" t="s">
        <v>79</v>
      </c>
      <c r="C14" s="9"/>
      <c r="D14" s="9"/>
      <c r="E14" s="9">
        <v>52</v>
      </c>
      <c r="F14" s="9"/>
      <c r="G14" s="9">
        <f t="shared" si="0"/>
        <v>52</v>
      </c>
      <c r="H14">
        <f t="shared" si="1"/>
        <v>0.03</v>
      </c>
      <c r="I14" s="10">
        <f t="shared" si="2"/>
        <v>0</v>
      </c>
      <c r="P14">
        <v>0</v>
      </c>
    </row>
    <row r="15" spans="1:16" x14ac:dyDescent="0.25">
      <c r="A15" t="s">
        <v>20</v>
      </c>
      <c r="B15" t="s">
        <v>42</v>
      </c>
      <c r="C15" s="9"/>
      <c r="D15" s="9"/>
      <c r="E15" s="9">
        <v>345</v>
      </c>
      <c r="F15" s="9"/>
      <c r="G15" s="9">
        <f t="shared" si="0"/>
        <v>345</v>
      </c>
      <c r="H15">
        <f t="shared" si="1"/>
        <v>0.2</v>
      </c>
      <c r="I15" s="10">
        <f t="shared" si="2"/>
        <v>1E-3</v>
      </c>
      <c r="J15">
        <f t="shared" ref="J15:J32" si="3">ROUND(G15/P15-1,2)</f>
        <v>0.88</v>
      </c>
      <c r="P15">
        <v>184</v>
      </c>
    </row>
    <row r="16" spans="1:16" x14ac:dyDescent="0.25">
      <c r="A16" t="s">
        <v>20</v>
      </c>
      <c r="B16" t="s">
        <v>23</v>
      </c>
      <c r="C16" s="9"/>
      <c r="D16" s="9"/>
      <c r="E16" s="9">
        <v>1920</v>
      </c>
      <c r="F16" s="9"/>
      <c r="G16" s="9">
        <f t="shared" si="0"/>
        <v>1920</v>
      </c>
      <c r="H16">
        <f t="shared" si="1"/>
        <v>1.1399999999999999</v>
      </c>
      <c r="I16" s="10">
        <f t="shared" si="2"/>
        <v>3.0000000000000001E-3</v>
      </c>
      <c r="J16">
        <f t="shared" si="3"/>
        <v>-0.17</v>
      </c>
      <c r="P16">
        <v>2300</v>
      </c>
    </row>
    <row r="17" spans="1:16" x14ac:dyDescent="0.25">
      <c r="A17" t="s">
        <v>20</v>
      </c>
      <c r="B17" t="s">
        <v>25</v>
      </c>
      <c r="C17" s="9">
        <v>72840</v>
      </c>
      <c r="D17" s="9"/>
      <c r="E17" s="9"/>
      <c r="F17" s="9"/>
      <c r="G17" s="9">
        <f t="shared" si="0"/>
        <v>72840</v>
      </c>
      <c r="H17">
        <f t="shared" si="1"/>
        <v>43.18</v>
      </c>
      <c r="I17" s="10">
        <f t="shared" si="2"/>
        <v>0.114</v>
      </c>
      <c r="J17">
        <f t="shared" si="3"/>
        <v>-0.01</v>
      </c>
      <c r="P17">
        <v>73420</v>
      </c>
    </row>
    <row r="18" spans="1:16" x14ac:dyDescent="0.25">
      <c r="A18" t="s">
        <v>20</v>
      </c>
      <c r="B18" t="s">
        <v>69</v>
      </c>
      <c r="C18" s="9"/>
      <c r="D18" s="9"/>
      <c r="E18" s="9">
        <v>2410</v>
      </c>
      <c r="F18" s="9"/>
      <c r="G18" s="9">
        <f t="shared" si="0"/>
        <v>2410</v>
      </c>
      <c r="H18">
        <f t="shared" si="1"/>
        <v>1.43</v>
      </c>
      <c r="I18" s="10">
        <f t="shared" si="2"/>
        <v>4.0000000000000001E-3</v>
      </c>
      <c r="J18">
        <f t="shared" si="3"/>
        <v>0.06</v>
      </c>
      <c r="P18">
        <v>2270</v>
      </c>
    </row>
    <row r="19" spans="1:16" x14ac:dyDescent="0.25">
      <c r="A19" t="s">
        <v>20</v>
      </c>
      <c r="B19" t="s">
        <v>26</v>
      </c>
      <c r="C19" s="9">
        <v>120210</v>
      </c>
      <c r="D19" s="9"/>
      <c r="E19" s="9"/>
      <c r="F19" s="9">
        <v>850</v>
      </c>
      <c r="G19" s="9">
        <f t="shared" si="0"/>
        <v>121060</v>
      </c>
      <c r="H19">
        <f t="shared" si="1"/>
        <v>71.760000000000005</v>
      </c>
      <c r="I19" s="10">
        <f t="shared" si="2"/>
        <v>0.19</v>
      </c>
      <c r="J19">
        <f t="shared" si="3"/>
        <v>-0.09</v>
      </c>
      <c r="P19">
        <v>132880</v>
      </c>
    </row>
    <row r="20" spans="1:16" x14ac:dyDescent="0.25">
      <c r="A20" t="s">
        <v>20</v>
      </c>
      <c r="B20" t="s">
        <v>27</v>
      </c>
      <c r="C20" s="9"/>
      <c r="D20" s="9"/>
      <c r="E20" s="9">
        <v>1325</v>
      </c>
      <c r="F20" s="9"/>
      <c r="G20" s="9">
        <f t="shared" si="0"/>
        <v>1325</v>
      </c>
      <c r="H20">
        <f t="shared" si="1"/>
        <v>0.79</v>
      </c>
      <c r="I20" s="10">
        <f t="shared" si="2"/>
        <v>2E-3</v>
      </c>
      <c r="J20">
        <f t="shared" si="3"/>
        <v>0.24</v>
      </c>
      <c r="P20">
        <v>1067</v>
      </c>
    </row>
    <row r="21" spans="1:16" x14ac:dyDescent="0.25">
      <c r="A21" t="s">
        <v>20</v>
      </c>
      <c r="B21" t="s">
        <v>30</v>
      </c>
      <c r="C21" s="9"/>
      <c r="D21" s="9"/>
      <c r="E21" s="9">
        <v>3949</v>
      </c>
      <c r="F21" s="9"/>
      <c r="G21" s="9">
        <f t="shared" si="0"/>
        <v>3949</v>
      </c>
      <c r="H21">
        <f t="shared" si="1"/>
        <v>2.34</v>
      </c>
      <c r="I21" s="10">
        <f t="shared" si="2"/>
        <v>6.0000000000000001E-3</v>
      </c>
      <c r="J21">
        <f t="shared" si="3"/>
        <v>-0.16</v>
      </c>
      <c r="P21">
        <v>4690</v>
      </c>
    </row>
    <row r="22" spans="1:16" x14ac:dyDescent="0.25">
      <c r="A22" t="s">
        <v>20</v>
      </c>
      <c r="B22" t="s">
        <v>31</v>
      </c>
      <c r="C22" s="9"/>
      <c r="D22" s="9"/>
      <c r="E22" s="9">
        <v>700</v>
      </c>
      <c r="F22" s="9"/>
      <c r="G22" s="9">
        <f t="shared" si="0"/>
        <v>700</v>
      </c>
      <c r="H22">
        <f t="shared" si="1"/>
        <v>0.41</v>
      </c>
      <c r="I22" s="10">
        <f t="shared" si="2"/>
        <v>1E-3</v>
      </c>
      <c r="J22">
        <f t="shared" si="3"/>
        <v>-0.42</v>
      </c>
      <c r="P22">
        <v>1210</v>
      </c>
    </row>
    <row r="23" spans="1:16" x14ac:dyDescent="0.25">
      <c r="A23" t="s">
        <v>20</v>
      </c>
      <c r="B23" t="s">
        <v>33</v>
      </c>
      <c r="C23" s="9"/>
      <c r="D23" s="9"/>
      <c r="E23" s="9">
        <v>1160</v>
      </c>
      <c r="F23" s="9"/>
      <c r="G23" s="9">
        <f t="shared" si="0"/>
        <v>1160</v>
      </c>
      <c r="H23">
        <f t="shared" si="1"/>
        <v>0.69</v>
      </c>
      <c r="I23" s="10">
        <f t="shared" si="2"/>
        <v>2E-3</v>
      </c>
      <c r="J23">
        <f t="shared" si="3"/>
        <v>-0.28000000000000003</v>
      </c>
      <c r="P23">
        <v>1613</v>
      </c>
    </row>
    <row r="24" spans="1:16" x14ac:dyDescent="0.25">
      <c r="A24" t="s">
        <v>20</v>
      </c>
      <c r="B24" t="s">
        <v>43</v>
      </c>
      <c r="C24" s="9"/>
      <c r="D24" s="9">
        <v>192</v>
      </c>
      <c r="E24" s="9">
        <v>6</v>
      </c>
      <c r="F24" s="9"/>
      <c r="G24" s="9">
        <f t="shared" si="0"/>
        <v>198</v>
      </c>
      <c r="H24">
        <f t="shared" si="1"/>
        <v>0.12</v>
      </c>
      <c r="I24" s="10">
        <f t="shared" si="2"/>
        <v>0</v>
      </c>
      <c r="J24">
        <f t="shared" si="3"/>
        <v>0.17</v>
      </c>
      <c r="P24">
        <v>169</v>
      </c>
    </row>
    <row r="25" spans="1:16" x14ac:dyDescent="0.25">
      <c r="A25" t="s">
        <v>20</v>
      </c>
      <c r="B25" t="s">
        <v>70</v>
      </c>
      <c r="C25" s="9"/>
      <c r="D25" s="9"/>
      <c r="E25" s="9">
        <v>935</v>
      </c>
      <c r="F25" s="9"/>
      <c r="G25" s="9">
        <f t="shared" si="0"/>
        <v>935</v>
      </c>
      <c r="H25">
        <f t="shared" si="1"/>
        <v>0.55000000000000004</v>
      </c>
      <c r="I25" s="10">
        <f t="shared" si="2"/>
        <v>1E-3</v>
      </c>
      <c r="J25">
        <f t="shared" si="3"/>
        <v>0.14000000000000001</v>
      </c>
      <c r="P25">
        <v>820</v>
      </c>
    </row>
    <row r="26" spans="1:16" x14ac:dyDescent="0.25">
      <c r="A26" t="s">
        <v>20</v>
      </c>
      <c r="B26" t="s">
        <v>34</v>
      </c>
      <c r="C26" s="9"/>
      <c r="D26" s="9">
        <v>330</v>
      </c>
      <c r="E26" s="9"/>
      <c r="F26" s="9"/>
      <c r="G26" s="9">
        <f t="shared" si="0"/>
        <v>330</v>
      </c>
      <c r="H26">
        <f t="shared" si="1"/>
        <v>0.2</v>
      </c>
      <c r="I26" s="10">
        <f t="shared" si="2"/>
        <v>1E-3</v>
      </c>
      <c r="J26">
        <f t="shared" si="3"/>
        <v>0.22</v>
      </c>
      <c r="P26">
        <v>271</v>
      </c>
    </row>
    <row r="27" spans="1:16" x14ac:dyDescent="0.25">
      <c r="A27" t="s">
        <v>20</v>
      </c>
      <c r="B27" t="s">
        <v>35</v>
      </c>
      <c r="C27" s="9"/>
      <c r="D27" s="9"/>
      <c r="E27" s="9">
        <v>2420</v>
      </c>
      <c r="F27" s="9"/>
      <c r="G27" s="9">
        <f t="shared" si="0"/>
        <v>2420</v>
      </c>
      <c r="H27">
        <f t="shared" si="1"/>
        <v>1.43</v>
      </c>
      <c r="I27" s="10">
        <f t="shared" si="2"/>
        <v>4.0000000000000001E-3</v>
      </c>
      <c r="J27">
        <f t="shared" si="3"/>
        <v>-0.39</v>
      </c>
      <c r="P27">
        <v>3970</v>
      </c>
    </row>
    <row r="28" spans="1:16" x14ac:dyDescent="0.25">
      <c r="A28" t="s">
        <v>20</v>
      </c>
      <c r="B28" t="s">
        <v>36</v>
      </c>
      <c r="C28" s="9"/>
      <c r="D28" s="9"/>
      <c r="E28" s="9">
        <v>4110</v>
      </c>
      <c r="F28" s="9"/>
      <c r="G28" s="9">
        <f t="shared" si="0"/>
        <v>4110</v>
      </c>
      <c r="H28">
        <f t="shared" si="1"/>
        <v>2.44</v>
      </c>
      <c r="I28" s="10">
        <f t="shared" si="2"/>
        <v>6.0000000000000001E-3</v>
      </c>
      <c r="J28">
        <f t="shared" si="3"/>
        <v>-0.36</v>
      </c>
      <c r="P28">
        <v>6380</v>
      </c>
    </row>
    <row r="29" spans="1:16" x14ac:dyDescent="0.25">
      <c r="A29" t="s">
        <v>20</v>
      </c>
      <c r="B29" t="s">
        <v>41</v>
      </c>
      <c r="C29" s="9"/>
      <c r="D29" s="9"/>
      <c r="E29" s="9">
        <v>4954</v>
      </c>
      <c r="F29" s="9"/>
      <c r="G29" s="9">
        <f t="shared" si="0"/>
        <v>4954</v>
      </c>
      <c r="H29">
        <f t="shared" si="1"/>
        <v>2.94</v>
      </c>
      <c r="I29" s="10">
        <f t="shared" si="2"/>
        <v>8.0000000000000002E-3</v>
      </c>
      <c r="J29">
        <f t="shared" si="3"/>
        <v>0.34</v>
      </c>
      <c r="P29">
        <v>3696</v>
      </c>
    </row>
    <row r="30" spans="1:16" x14ac:dyDescent="0.25">
      <c r="A30" t="s">
        <v>20</v>
      </c>
      <c r="B30" t="s">
        <v>37</v>
      </c>
      <c r="C30" s="9"/>
      <c r="D30" s="9"/>
      <c r="E30" s="9">
        <v>46050</v>
      </c>
      <c r="F30" s="9"/>
      <c r="G30" s="9">
        <f t="shared" si="0"/>
        <v>46050</v>
      </c>
      <c r="H30">
        <f t="shared" si="1"/>
        <v>27.3</v>
      </c>
      <c r="I30" s="10">
        <f t="shared" si="2"/>
        <v>7.1999999999999995E-2</v>
      </c>
      <c r="J30">
        <f t="shared" si="3"/>
        <v>-0.04</v>
      </c>
      <c r="P30">
        <v>48040</v>
      </c>
    </row>
    <row r="31" spans="1:16" x14ac:dyDescent="0.25">
      <c r="A31" t="s">
        <v>20</v>
      </c>
      <c r="B31" t="s">
        <v>39</v>
      </c>
      <c r="C31" s="9"/>
      <c r="D31" s="9"/>
      <c r="E31" s="9">
        <v>16700</v>
      </c>
      <c r="F31" s="9"/>
      <c r="G31" s="9">
        <f t="shared" si="0"/>
        <v>16700</v>
      </c>
      <c r="H31">
        <f t="shared" si="1"/>
        <v>9.9</v>
      </c>
      <c r="I31" s="10">
        <f t="shared" si="2"/>
        <v>2.5999999999999999E-2</v>
      </c>
      <c r="J31">
        <f t="shared" si="3"/>
        <v>-0.01</v>
      </c>
      <c r="P31">
        <v>16840</v>
      </c>
    </row>
    <row r="32" spans="1:16" x14ac:dyDescent="0.25">
      <c r="A32" t="s">
        <v>20</v>
      </c>
      <c r="B32" t="s">
        <v>40</v>
      </c>
      <c r="C32" s="9"/>
      <c r="D32" s="9"/>
      <c r="E32" s="9">
        <v>21040</v>
      </c>
      <c r="F32" s="9"/>
      <c r="G32" s="9">
        <f t="shared" si="0"/>
        <v>21040</v>
      </c>
      <c r="H32">
        <f t="shared" si="1"/>
        <v>12.47</v>
      </c>
      <c r="I32" s="10">
        <f t="shared" si="2"/>
        <v>3.3000000000000002E-2</v>
      </c>
      <c r="J32">
        <f t="shared" si="3"/>
        <v>-0.03</v>
      </c>
      <c r="P32">
        <v>21640</v>
      </c>
    </row>
    <row r="33" spans="1:16" x14ac:dyDescent="0.25">
      <c r="A33" t="s">
        <v>20</v>
      </c>
      <c r="B33" t="s">
        <v>73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20</v>
      </c>
      <c r="B34" t="s">
        <v>106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20</v>
      </c>
      <c r="B35" t="s">
        <v>29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44</v>
      </c>
      <c r="B36" t="s">
        <v>45</v>
      </c>
      <c r="C36" s="9">
        <v>133690</v>
      </c>
      <c r="D36" s="9"/>
      <c r="E36" s="9"/>
      <c r="F36" s="9"/>
      <c r="G36" s="9">
        <f t="shared" si="0"/>
        <v>133690</v>
      </c>
      <c r="H36">
        <f t="shared" si="1"/>
        <v>79.25</v>
      </c>
      <c r="I36" s="10">
        <f t="shared" si="2"/>
        <v>0.21</v>
      </c>
      <c r="J36">
        <f>ROUND(G36/P36-1,2)</f>
        <v>0.08</v>
      </c>
      <c r="P36">
        <v>124080</v>
      </c>
    </row>
    <row r="37" spans="1:16" x14ac:dyDescent="0.25">
      <c r="A37" t="s">
        <v>44</v>
      </c>
      <c r="B37" t="s">
        <v>46</v>
      </c>
      <c r="C37" s="9"/>
      <c r="D37" s="9"/>
      <c r="E37" s="9">
        <v>38140</v>
      </c>
      <c r="F37" s="9"/>
      <c r="G37" s="9">
        <f t="shared" si="0"/>
        <v>38140</v>
      </c>
      <c r="H37">
        <f t="shared" si="1"/>
        <v>22.61</v>
      </c>
      <c r="I37" s="10">
        <f t="shared" si="2"/>
        <v>0.06</v>
      </c>
      <c r="J37">
        <f>ROUND(G37/P37-1,2)</f>
        <v>0.17</v>
      </c>
      <c r="P37">
        <v>32660</v>
      </c>
    </row>
    <row r="38" spans="1:16" x14ac:dyDescent="0.25">
      <c r="A38" t="s">
        <v>44</v>
      </c>
      <c r="B38" t="s">
        <v>47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SUM(C8:C38)</f>
        <v>455240</v>
      </c>
      <c r="D49" s="12">
        <f t="shared" si="4"/>
        <v>522</v>
      </c>
      <c r="E49" s="12">
        <f t="shared" si="4"/>
        <v>179876</v>
      </c>
      <c r="F49" s="12">
        <f t="shared" si="4"/>
        <v>850</v>
      </c>
      <c r="G49" s="12">
        <f t="shared" si="4"/>
        <v>636488</v>
      </c>
      <c r="H49" s="11">
        <f t="shared" si="4"/>
        <v>377.30000000000007</v>
      </c>
      <c r="I49" s="4"/>
    </row>
    <row r="50" spans="1:10" x14ac:dyDescent="0.25">
      <c r="A50" s="11" t="s">
        <v>14</v>
      </c>
      <c r="C50" s="13">
        <f>ROUND(C49/G49,2)</f>
        <v>0.72</v>
      </c>
      <c r="D50" s="13">
        <f>ROUND(D49/G49,2)</f>
        <v>0</v>
      </c>
      <c r="E50" s="13">
        <f>ROUND(E49/G49,2)</f>
        <v>0.28000000000000003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321550</v>
      </c>
      <c r="D54" s="15">
        <v>522</v>
      </c>
      <c r="E54" s="15">
        <v>108076</v>
      </c>
      <c r="F54" s="15">
        <v>850</v>
      </c>
      <c r="G54" s="15">
        <f>SUM(C54:F54)</f>
        <v>430998</v>
      </c>
      <c r="H54" s="17">
        <f>ROUND(G54/1687,2)</f>
        <v>255.48</v>
      </c>
      <c r="I54" s="4"/>
      <c r="J54" s="4"/>
    </row>
    <row r="55" spans="1:10" x14ac:dyDescent="0.25">
      <c r="A55" s="33" t="s">
        <v>50</v>
      </c>
      <c r="B55" s="33"/>
      <c r="C55" s="15">
        <v>133690</v>
      </c>
      <c r="D55" s="15">
        <v>0</v>
      </c>
      <c r="E55" s="15">
        <v>38140</v>
      </c>
      <c r="F55" s="15">
        <v>0</v>
      </c>
      <c r="G55" s="15">
        <f>SUM(C55:F55)</f>
        <v>171830</v>
      </c>
      <c r="H55" s="17">
        <f>ROUND(G55/1687,2)</f>
        <v>101.86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33660</v>
      </c>
      <c r="F56" s="15">
        <v>0</v>
      </c>
      <c r="G56" s="15">
        <f>SUM(C56:F56)</f>
        <v>33660</v>
      </c>
      <c r="H56" s="17">
        <f>ROUND(G56/1687,2)</f>
        <v>19.95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ROUND(0.771, 4)</f>
        <v>0.77100000000000002</v>
      </c>
      <c r="D60" s="19">
        <f>ROUND(0.7915, 4)</f>
        <v>0.79149999999999998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ROUND(0.7593, 4)</f>
        <v>0.75929999999999997</v>
      </c>
      <c r="D61" s="19">
        <f>ROUND(0.78, 4)</f>
        <v>0.78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133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79.25</v>
      </c>
      <c r="D64" s="17">
        <v>71.38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71.760000000000005</v>
      </c>
      <c r="D65" s="17">
        <v>73.040000000000006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6">
        <v>255.48</v>
      </c>
      <c r="D66" s="16">
        <v>270.04000000000002</v>
      </c>
      <c r="E66" s="16">
        <v>291.85000000000002</v>
      </c>
      <c r="F66" s="16">
        <v>285.41000000000003</v>
      </c>
    </row>
    <row r="67" spans="1:10" x14ac:dyDescent="0.25">
      <c r="A67" s="32" t="s">
        <v>62</v>
      </c>
      <c r="B67" s="32"/>
      <c r="C67" s="16">
        <v>101.86</v>
      </c>
      <c r="D67" s="16">
        <v>93.18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P69"/>
  <sheetViews>
    <sheetView topLeftCell="A48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94.2851562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134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501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11</v>
      </c>
      <c r="G9" s="9">
        <f t="shared" ref="G9:G36" si="0">SUM(C9:F9)</f>
        <v>11</v>
      </c>
      <c r="H9">
        <f t="shared" ref="H9:H36" si="1">ROUND(G9/501,2)</f>
        <v>0.02</v>
      </c>
      <c r="I9" s="10">
        <f t="shared" ref="I9:I36" si="2">ROUND(G9/$G$49,3)</f>
        <v>0</v>
      </c>
      <c r="J9">
        <f>ROUND(G9/P9-1,2)</f>
        <v>-0.08</v>
      </c>
      <c r="P9">
        <v>12</v>
      </c>
    </row>
    <row r="10" spans="1:16" x14ac:dyDescent="0.25">
      <c r="A10" t="s">
        <v>20</v>
      </c>
      <c r="B10" t="s">
        <v>21</v>
      </c>
      <c r="C10" s="9">
        <v>26320</v>
      </c>
      <c r="D10" s="9"/>
      <c r="E10" s="9">
        <v>179.15</v>
      </c>
      <c r="F10" s="9">
        <v>310</v>
      </c>
      <c r="G10" s="9">
        <f t="shared" si="0"/>
        <v>26809.15</v>
      </c>
      <c r="H10">
        <f t="shared" si="1"/>
        <v>53.51</v>
      </c>
      <c r="I10" s="10">
        <f t="shared" si="2"/>
        <v>0.11600000000000001</v>
      </c>
      <c r="J10">
        <f>ROUND(G10/P10-1,2)</f>
        <v>0.4</v>
      </c>
      <c r="P10">
        <v>19109.52</v>
      </c>
    </row>
    <row r="11" spans="1:16" x14ac:dyDescent="0.25">
      <c r="A11" t="s">
        <v>20</v>
      </c>
      <c r="B11" t="s">
        <v>22</v>
      </c>
      <c r="C11" s="9">
        <v>37270</v>
      </c>
      <c r="D11" s="9"/>
      <c r="E11" s="9"/>
      <c r="F11" s="9"/>
      <c r="G11" s="9">
        <f t="shared" si="0"/>
        <v>37270</v>
      </c>
      <c r="H11">
        <f t="shared" si="1"/>
        <v>74.39</v>
      </c>
      <c r="I11" s="10">
        <f t="shared" si="2"/>
        <v>0.16200000000000001</v>
      </c>
      <c r="J11">
        <f>ROUND(G11/P11-1,2)</f>
        <v>-0.03</v>
      </c>
      <c r="P11">
        <v>38605</v>
      </c>
    </row>
    <row r="12" spans="1:16" x14ac:dyDescent="0.25">
      <c r="A12" t="s">
        <v>20</v>
      </c>
      <c r="B12" t="s">
        <v>135</v>
      </c>
      <c r="C12" s="9"/>
      <c r="D12" s="9"/>
      <c r="E12" s="9"/>
      <c r="F12" s="9">
        <v>217</v>
      </c>
      <c r="G12" s="9">
        <f t="shared" si="0"/>
        <v>217</v>
      </c>
      <c r="H12">
        <f t="shared" si="1"/>
        <v>0.43</v>
      </c>
      <c r="I12" s="10">
        <f t="shared" si="2"/>
        <v>1E-3</v>
      </c>
      <c r="P12">
        <v>0</v>
      </c>
    </row>
    <row r="13" spans="1:16" x14ac:dyDescent="0.25">
      <c r="A13" t="s">
        <v>20</v>
      </c>
      <c r="B13" t="s">
        <v>24</v>
      </c>
      <c r="C13" s="9"/>
      <c r="D13" s="9"/>
      <c r="E13" s="9">
        <v>3249.33</v>
      </c>
      <c r="F13" s="9"/>
      <c r="G13" s="9">
        <f t="shared" si="0"/>
        <v>3249.33</v>
      </c>
      <c r="H13">
        <f t="shared" si="1"/>
        <v>6.49</v>
      </c>
      <c r="I13" s="10">
        <f t="shared" si="2"/>
        <v>1.4E-2</v>
      </c>
      <c r="J13">
        <f t="shared" ref="J13:J22" si="3">ROUND(G13/P13-1,2)</f>
        <v>0.83</v>
      </c>
      <c r="P13">
        <v>1775.83</v>
      </c>
    </row>
    <row r="14" spans="1:16" x14ac:dyDescent="0.25">
      <c r="A14" t="s">
        <v>20</v>
      </c>
      <c r="B14" t="s">
        <v>25</v>
      </c>
      <c r="C14" s="9">
        <v>35970</v>
      </c>
      <c r="D14" s="9"/>
      <c r="E14" s="9">
        <v>226.22</v>
      </c>
      <c r="F14" s="9">
        <v>80</v>
      </c>
      <c r="G14" s="9">
        <f t="shared" si="0"/>
        <v>36276.22</v>
      </c>
      <c r="H14">
        <f t="shared" si="1"/>
        <v>72.41</v>
      </c>
      <c r="I14" s="10">
        <f t="shared" si="2"/>
        <v>0.158</v>
      </c>
      <c r="J14">
        <f t="shared" si="3"/>
        <v>0.18</v>
      </c>
      <c r="P14">
        <v>30668.36</v>
      </c>
    </row>
    <row r="15" spans="1:16" x14ac:dyDescent="0.25">
      <c r="A15" t="s">
        <v>20</v>
      </c>
      <c r="B15" t="s">
        <v>26</v>
      </c>
      <c r="C15" s="9">
        <v>34550</v>
      </c>
      <c r="D15" s="9"/>
      <c r="E15" s="9"/>
      <c r="F15" s="9"/>
      <c r="G15" s="9">
        <f t="shared" si="0"/>
        <v>34550</v>
      </c>
      <c r="H15">
        <f t="shared" si="1"/>
        <v>68.959999999999994</v>
      </c>
      <c r="I15" s="10">
        <f t="shared" si="2"/>
        <v>0.15</v>
      </c>
      <c r="J15">
        <f t="shared" si="3"/>
        <v>0.11</v>
      </c>
      <c r="P15">
        <v>31190</v>
      </c>
    </row>
    <row r="16" spans="1:16" x14ac:dyDescent="0.25">
      <c r="A16" t="s">
        <v>20</v>
      </c>
      <c r="B16" t="s">
        <v>30</v>
      </c>
      <c r="C16" s="9"/>
      <c r="D16" s="9"/>
      <c r="E16" s="9">
        <v>354.44</v>
      </c>
      <c r="F16" s="9"/>
      <c r="G16" s="9">
        <f t="shared" si="0"/>
        <v>354.44</v>
      </c>
      <c r="H16">
        <f t="shared" si="1"/>
        <v>0.71</v>
      </c>
      <c r="I16" s="10">
        <f t="shared" si="2"/>
        <v>2E-3</v>
      </c>
      <c r="J16">
        <f t="shared" si="3"/>
        <v>-0.28000000000000003</v>
      </c>
      <c r="P16">
        <v>489.76</v>
      </c>
    </row>
    <row r="17" spans="1:16" x14ac:dyDescent="0.25">
      <c r="A17" t="s">
        <v>20</v>
      </c>
      <c r="B17" t="s">
        <v>31</v>
      </c>
      <c r="C17" s="9"/>
      <c r="D17" s="9"/>
      <c r="E17" s="9">
        <v>6.01</v>
      </c>
      <c r="F17" s="9">
        <v>150</v>
      </c>
      <c r="G17" s="9">
        <f t="shared" si="0"/>
        <v>156.01</v>
      </c>
      <c r="H17">
        <f t="shared" si="1"/>
        <v>0.31</v>
      </c>
      <c r="I17" s="10">
        <f t="shared" si="2"/>
        <v>1E-3</v>
      </c>
      <c r="J17">
        <f t="shared" si="3"/>
        <v>-0.38</v>
      </c>
      <c r="P17">
        <v>250</v>
      </c>
    </row>
    <row r="18" spans="1:16" x14ac:dyDescent="0.25">
      <c r="A18" t="s">
        <v>20</v>
      </c>
      <c r="B18" t="s">
        <v>35</v>
      </c>
      <c r="C18" s="9"/>
      <c r="D18" s="9"/>
      <c r="E18" s="9">
        <v>393.54</v>
      </c>
      <c r="F18" s="9"/>
      <c r="G18" s="9">
        <f t="shared" si="0"/>
        <v>393.54</v>
      </c>
      <c r="H18">
        <f t="shared" si="1"/>
        <v>0.79</v>
      </c>
      <c r="I18" s="10">
        <f t="shared" si="2"/>
        <v>2E-3</v>
      </c>
      <c r="J18">
        <f t="shared" si="3"/>
        <v>-0.42</v>
      </c>
      <c r="P18">
        <v>684.06</v>
      </c>
    </row>
    <row r="19" spans="1:16" x14ac:dyDescent="0.25">
      <c r="A19" t="s">
        <v>20</v>
      </c>
      <c r="B19" t="s">
        <v>36</v>
      </c>
      <c r="C19" s="9"/>
      <c r="D19" s="9"/>
      <c r="E19" s="9">
        <v>233.19</v>
      </c>
      <c r="F19" s="9"/>
      <c r="G19" s="9">
        <f t="shared" si="0"/>
        <v>233.19</v>
      </c>
      <c r="H19">
        <f t="shared" si="1"/>
        <v>0.47</v>
      </c>
      <c r="I19" s="10">
        <f t="shared" si="2"/>
        <v>1E-3</v>
      </c>
      <c r="J19">
        <f t="shared" si="3"/>
        <v>-0.78</v>
      </c>
      <c r="P19">
        <v>1074.23</v>
      </c>
    </row>
    <row r="20" spans="1:16" x14ac:dyDescent="0.25">
      <c r="A20" t="s">
        <v>20</v>
      </c>
      <c r="B20" t="s">
        <v>37</v>
      </c>
      <c r="C20" s="9"/>
      <c r="D20" s="9"/>
      <c r="E20" s="9">
        <v>2184.09</v>
      </c>
      <c r="F20" s="9"/>
      <c r="G20" s="9">
        <f t="shared" si="0"/>
        <v>2184.09</v>
      </c>
      <c r="H20">
        <f t="shared" si="1"/>
        <v>4.3600000000000003</v>
      </c>
      <c r="I20" s="10">
        <f t="shared" si="2"/>
        <v>8.9999999999999993E-3</v>
      </c>
      <c r="J20">
        <f t="shared" si="3"/>
        <v>-0.33</v>
      </c>
      <c r="P20">
        <v>3264.38</v>
      </c>
    </row>
    <row r="21" spans="1:16" x14ac:dyDescent="0.25">
      <c r="A21" t="s">
        <v>20</v>
      </c>
      <c r="B21" t="s">
        <v>39</v>
      </c>
      <c r="C21" s="9"/>
      <c r="D21" s="9"/>
      <c r="E21" s="9">
        <v>1081.93</v>
      </c>
      <c r="F21" s="9"/>
      <c r="G21" s="9">
        <f t="shared" si="0"/>
        <v>1081.93</v>
      </c>
      <c r="H21">
        <f t="shared" si="1"/>
        <v>2.16</v>
      </c>
      <c r="I21" s="10">
        <f t="shared" si="2"/>
        <v>5.0000000000000001E-3</v>
      </c>
      <c r="J21">
        <f t="shared" si="3"/>
        <v>-0.08</v>
      </c>
      <c r="P21">
        <v>1177.3900000000001</v>
      </c>
    </row>
    <row r="22" spans="1:16" x14ac:dyDescent="0.25">
      <c r="A22" t="s">
        <v>20</v>
      </c>
      <c r="B22" t="s">
        <v>40</v>
      </c>
      <c r="C22" s="9"/>
      <c r="D22" s="9"/>
      <c r="E22" s="9">
        <v>95.73</v>
      </c>
      <c r="F22" s="9"/>
      <c r="G22" s="9">
        <f t="shared" si="0"/>
        <v>95.73</v>
      </c>
      <c r="H22">
        <f t="shared" si="1"/>
        <v>0.19</v>
      </c>
      <c r="I22" s="10">
        <f t="shared" si="2"/>
        <v>0</v>
      </c>
      <c r="J22">
        <f t="shared" si="3"/>
        <v>0.22</v>
      </c>
      <c r="P22">
        <v>78.41</v>
      </c>
    </row>
    <row r="23" spans="1:16" x14ac:dyDescent="0.25">
      <c r="A23" t="s">
        <v>20</v>
      </c>
      <c r="B23" t="s">
        <v>136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34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J24">
        <f>ROUND(G24/P24-1,2)</f>
        <v>-1</v>
      </c>
      <c r="P24">
        <v>24.79</v>
      </c>
    </row>
    <row r="25" spans="1:16" x14ac:dyDescent="0.25">
      <c r="A25" t="s">
        <v>20</v>
      </c>
      <c r="B25" t="s">
        <v>29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J25">
        <f>ROUND(G25/P25-1,2)</f>
        <v>-1</v>
      </c>
      <c r="P25">
        <v>28.12</v>
      </c>
    </row>
    <row r="26" spans="1:16" x14ac:dyDescent="0.25">
      <c r="A26" t="s">
        <v>20</v>
      </c>
      <c r="B26" t="s">
        <v>74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137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42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23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32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33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43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20</v>
      </c>
      <c r="B33" t="s">
        <v>38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44</v>
      </c>
      <c r="B34" t="s">
        <v>45</v>
      </c>
      <c r="C34" s="9">
        <v>85060</v>
      </c>
      <c r="D34" s="9"/>
      <c r="E34" s="9"/>
      <c r="F34" s="9">
        <v>740</v>
      </c>
      <c r="G34" s="9">
        <f t="shared" si="0"/>
        <v>85800</v>
      </c>
      <c r="H34">
        <f t="shared" si="1"/>
        <v>171.26</v>
      </c>
      <c r="I34" s="10">
        <f t="shared" si="2"/>
        <v>0.373</v>
      </c>
      <c r="J34">
        <f>ROUND(G34/P34-1,2)</f>
        <v>0.32</v>
      </c>
      <c r="P34">
        <v>65110</v>
      </c>
    </row>
    <row r="35" spans="1:16" x14ac:dyDescent="0.25">
      <c r="A35" t="s">
        <v>44</v>
      </c>
      <c r="B35" t="s">
        <v>46</v>
      </c>
      <c r="C35" s="9"/>
      <c r="D35" s="9"/>
      <c r="E35" s="9">
        <v>1604.15</v>
      </c>
      <c r="F35" s="9"/>
      <c r="G35" s="9">
        <f t="shared" si="0"/>
        <v>1604.15</v>
      </c>
      <c r="H35">
        <f t="shared" si="1"/>
        <v>3.2</v>
      </c>
      <c r="I35" s="10">
        <f t="shared" si="2"/>
        <v>7.0000000000000001E-3</v>
      </c>
      <c r="J35">
        <f>ROUND(G35/P35-1,2)</f>
        <v>-0.37</v>
      </c>
      <c r="P35">
        <v>2551.35</v>
      </c>
    </row>
    <row r="36" spans="1:16" x14ac:dyDescent="0.25">
      <c r="A36" t="s">
        <v>44</v>
      </c>
      <c r="B36" t="s">
        <v>47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219170</v>
      </c>
      <c r="D49" s="12">
        <f t="shared" si="4"/>
        <v>0</v>
      </c>
      <c r="E49" s="12">
        <f t="shared" si="4"/>
        <v>9607.7800000000007</v>
      </c>
      <c r="F49" s="12">
        <f t="shared" si="4"/>
        <v>1508</v>
      </c>
      <c r="G49" s="12">
        <f t="shared" si="4"/>
        <v>230285.78000000003</v>
      </c>
      <c r="H49" s="11">
        <f t="shared" si="4"/>
        <v>459.66</v>
      </c>
      <c r="I49" s="4"/>
    </row>
    <row r="50" spans="1:10" x14ac:dyDescent="0.25">
      <c r="A50" s="11" t="s">
        <v>14</v>
      </c>
      <c r="C50" s="13">
        <f>ROUND(C49/G49,2)</f>
        <v>0.95</v>
      </c>
      <c r="D50" s="13">
        <f>ROUND(D49/G49,2)</f>
        <v>0</v>
      </c>
      <c r="E50" s="13">
        <f>ROUND(E49/G49,2)</f>
        <v>0.04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134110</v>
      </c>
      <c r="D54" s="15">
        <v>0</v>
      </c>
      <c r="E54" s="15">
        <v>8003.63</v>
      </c>
      <c r="F54" s="15">
        <v>757</v>
      </c>
      <c r="G54" s="15">
        <f>SUM(C54:F54)</f>
        <v>142870.63</v>
      </c>
      <c r="H54" s="17">
        <f>ROUND(G54/501,2)</f>
        <v>285.17</v>
      </c>
      <c r="I54" s="4"/>
      <c r="J54" s="4"/>
    </row>
    <row r="55" spans="1:10" x14ac:dyDescent="0.25">
      <c r="A55" s="33" t="s">
        <v>50</v>
      </c>
      <c r="B55" s="33"/>
      <c r="C55" s="15">
        <v>85060</v>
      </c>
      <c r="D55" s="15">
        <v>0</v>
      </c>
      <c r="E55" s="15">
        <v>1604.15</v>
      </c>
      <c r="F55" s="15">
        <v>740</v>
      </c>
      <c r="G55" s="15">
        <f>SUM(C55:F55)</f>
        <v>87404.15</v>
      </c>
      <c r="H55" s="17">
        <f>ROUND(G55/501,2)</f>
        <v>174.46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11</v>
      </c>
      <c r="G56" s="15">
        <f>SUM(C56:F56)</f>
        <v>11</v>
      </c>
      <c r="H56" s="17">
        <f>ROUND(G56/501,2)</f>
        <v>0.02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ROUND(0.6213, 4)</f>
        <v>0.62129999999999996</v>
      </c>
      <c r="D60" s="19">
        <f>ROUND(0.6635, 4)</f>
        <v>0.66349999999999998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ROUND(0.5774, 4)</f>
        <v>0.57740000000000002</v>
      </c>
      <c r="D61" s="19">
        <f>ROUND(0.6269, 4)</f>
        <v>0.62690000000000001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138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171.26</v>
      </c>
      <c r="D64" s="17">
        <v>140.02000000000001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68.959999999999994</v>
      </c>
      <c r="D65" s="17">
        <v>69.849999999999994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285.17</v>
      </c>
      <c r="D66" s="17">
        <v>275.18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174.46</v>
      </c>
      <c r="D67" s="17">
        <v>144.79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1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1.7109375" hidden="1" customWidth="1"/>
  </cols>
  <sheetData>
    <row r="2" spans="1:16" ht="18.75" x14ac:dyDescent="0.3">
      <c r="A2" s="1" t="s">
        <v>0</v>
      </c>
      <c r="B2" s="8" t="s">
        <v>139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921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30</v>
      </c>
      <c r="F9" s="9"/>
      <c r="G9" s="9">
        <f t="shared" ref="G9:G38" si="0">SUM(C9:F9)</f>
        <v>30</v>
      </c>
      <c r="H9">
        <f t="shared" ref="H9:H38" si="1">ROUND(G9/921,2)</f>
        <v>0.03</v>
      </c>
      <c r="I9" s="10">
        <f t="shared" ref="I9:I38" si="2">ROUND(G9/$G$49,3)</f>
        <v>0</v>
      </c>
      <c r="J9">
        <f t="shared" ref="J9:J21" si="3">ROUND(G9/P9-1,2)</f>
        <v>-0.25</v>
      </c>
      <c r="P9">
        <v>40</v>
      </c>
    </row>
    <row r="10" spans="1:16" x14ac:dyDescent="0.25">
      <c r="A10" t="s">
        <v>20</v>
      </c>
      <c r="B10" t="s">
        <v>21</v>
      </c>
      <c r="C10" s="9">
        <v>45260</v>
      </c>
      <c r="D10" s="9"/>
      <c r="E10" s="9">
        <v>9921.5499999999993</v>
      </c>
      <c r="F10" s="9"/>
      <c r="G10" s="9">
        <f t="shared" si="0"/>
        <v>55181.55</v>
      </c>
      <c r="H10">
        <f t="shared" si="1"/>
        <v>59.91</v>
      </c>
      <c r="I10" s="10">
        <f t="shared" si="2"/>
        <v>7.4999999999999997E-2</v>
      </c>
      <c r="J10">
        <f t="shared" si="3"/>
        <v>0.15</v>
      </c>
      <c r="P10">
        <v>48083.08</v>
      </c>
    </row>
    <row r="11" spans="1:16" x14ac:dyDescent="0.25">
      <c r="A11" t="s">
        <v>20</v>
      </c>
      <c r="B11" t="s">
        <v>22</v>
      </c>
      <c r="C11" s="9">
        <v>79285</v>
      </c>
      <c r="D11" s="9"/>
      <c r="E11" s="9">
        <v>3366.32</v>
      </c>
      <c r="F11" s="9"/>
      <c r="G11" s="9">
        <f t="shared" si="0"/>
        <v>82651.320000000007</v>
      </c>
      <c r="H11">
        <f t="shared" si="1"/>
        <v>89.74</v>
      </c>
      <c r="I11" s="10">
        <f t="shared" si="2"/>
        <v>0.112</v>
      </c>
      <c r="J11">
        <f t="shared" si="3"/>
        <v>0.15</v>
      </c>
      <c r="P11">
        <v>72174.55</v>
      </c>
    </row>
    <row r="12" spans="1:16" x14ac:dyDescent="0.25">
      <c r="A12" t="s">
        <v>20</v>
      </c>
      <c r="B12" t="s">
        <v>23</v>
      </c>
      <c r="C12" s="9"/>
      <c r="D12" s="9"/>
      <c r="E12" s="9">
        <v>2120</v>
      </c>
      <c r="F12" s="9"/>
      <c r="G12" s="9">
        <f t="shared" si="0"/>
        <v>2120</v>
      </c>
      <c r="H12">
        <f t="shared" si="1"/>
        <v>2.2999999999999998</v>
      </c>
      <c r="I12" s="10">
        <f t="shared" si="2"/>
        <v>3.0000000000000001E-3</v>
      </c>
      <c r="J12">
        <f t="shared" si="3"/>
        <v>0.84</v>
      </c>
      <c r="P12">
        <v>1155</v>
      </c>
    </row>
    <row r="13" spans="1:16" x14ac:dyDescent="0.25">
      <c r="A13" t="s">
        <v>20</v>
      </c>
      <c r="B13" t="s">
        <v>24</v>
      </c>
      <c r="C13" s="9"/>
      <c r="D13" s="9"/>
      <c r="E13" s="9">
        <v>103710.73</v>
      </c>
      <c r="F13" s="9"/>
      <c r="G13" s="9">
        <f t="shared" si="0"/>
        <v>103710.73</v>
      </c>
      <c r="H13">
        <f t="shared" si="1"/>
        <v>112.61</v>
      </c>
      <c r="I13" s="10">
        <f t="shared" si="2"/>
        <v>0.14099999999999999</v>
      </c>
      <c r="J13">
        <f t="shared" si="3"/>
        <v>-0.13</v>
      </c>
      <c r="P13">
        <v>119419.85</v>
      </c>
    </row>
    <row r="14" spans="1:16" x14ac:dyDescent="0.25">
      <c r="A14" t="s">
        <v>20</v>
      </c>
      <c r="B14" t="s">
        <v>25</v>
      </c>
      <c r="C14" s="9">
        <v>52820</v>
      </c>
      <c r="D14" s="9"/>
      <c r="E14" s="9">
        <v>22112.43</v>
      </c>
      <c r="F14" s="9"/>
      <c r="G14" s="9">
        <f t="shared" si="0"/>
        <v>74932.429999999993</v>
      </c>
      <c r="H14">
        <f t="shared" si="1"/>
        <v>81.36</v>
      </c>
      <c r="I14" s="10">
        <f t="shared" si="2"/>
        <v>0.10199999999999999</v>
      </c>
      <c r="J14">
        <f t="shared" si="3"/>
        <v>-0.03</v>
      </c>
      <c r="P14">
        <v>77480.69</v>
      </c>
    </row>
    <row r="15" spans="1:16" x14ac:dyDescent="0.25">
      <c r="A15" t="s">
        <v>20</v>
      </c>
      <c r="B15" t="s">
        <v>69</v>
      </c>
      <c r="C15" s="9"/>
      <c r="D15" s="9"/>
      <c r="E15" s="9">
        <v>4420</v>
      </c>
      <c r="F15" s="9"/>
      <c r="G15" s="9">
        <f t="shared" si="0"/>
        <v>4420</v>
      </c>
      <c r="H15">
        <f t="shared" si="1"/>
        <v>4.8</v>
      </c>
      <c r="I15" s="10">
        <f t="shared" si="2"/>
        <v>6.0000000000000001E-3</v>
      </c>
      <c r="J15">
        <f t="shared" si="3"/>
        <v>1.73</v>
      </c>
      <c r="P15">
        <v>1620</v>
      </c>
    </row>
    <row r="16" spans="1:16" x14ac:dyDescent="0.25">
      <c r="A16" t="s">
        <v>20</v>
      </c>
      <c r="B16" t="s">
        <v>26</v>
      </c>
      <c r="C16" s="9">
        <v>63040</v>
      </c>
      <c r="D16" s="9"/>
      <c r="E16" s="9"/>
      <c r="F16" s="9"/>
      <c r="G16" s="9">
        <f t="shared" si="0"/>
        <v>63040</v>
      </c>
      <c r="H16">
        <f t="shared" si="1"/>
        <v>68.45</v>
      </c>
      <c r="I16" s="10">
        <f t="shared" si="2"/>
        <v>8.5000000000000006E-2</v>
      </c>
      <c r="J16">
        <f t="shared" si="3"/>
        <v>-0.17</v>
      </c>
      <c r="P16">
        <v>75940</v>
      </c>
    </row>
    <row r="17" spans="1:16" x14ac:dyDescent="0.25">
      <c r="A17" t="s">
        <v>20</v>
      </c>
      <c r="B17" t="s">
        <v>27</v>
      </c>
      <c r="C17" s="9"/>
      <c r="D17" s="9"/>
      <c r="E17" s="9">
        <v>778</v>
      </c>
      <c r="F17" s="9"/>
      <c r="G17" s="9">
        <f t="shared" si="0"/>
        <v>778</v>
      </c>
      <c r="H17">
        <f t="shared" si="1"/>
        <v>0.84</v>
      </c>
      <c r="I17" s="10">
        <f t="shared" si="2"/>
        <v>1E-3</v>
      </c>
      <c r="J17">
        <f t="shared" si="3"/>
        <v>4.4000000000000004</v>
      </c>
      <c r="P17">
        <v>144</v>
      </c>
    </row>
    <row r="18" spans="1:16" x14ac:dyDescent="0.25">
      <c r="A18" t="s">
        <v>20</v>
      </c>
      <c r="B18" t="s">
        <v>28</v>
      </c>
      <c r="C18" s="9"/>
      <c r="D18" s="9"/>
      <c r="E18" s="9">
        <v>502</v>
      </c>
      <c r="F18" s="9"/>
      <c r="G18" s="9">
        <f t="shared" si="0"/>
        <v>502</v>
      </c>
      <c r="H18">
        <f t="shared" si="1"/>
        <v>0.55000000000000004</v>
      </c>
      <c r="I18" s="10">
        <f t="shared" si="2"/>
        <v>1E-3</v>
      </c>
      <c r="J18">
        <f t="shared" si="3"/>
        <v>3.22</v>
      </c>
      <c r="P18">
        <v>119</v>
      </c>
    </row>
    <row r="19" spans="1:16" x14ac:dyDescent="0.25">
      <c r="A19" t="s">
        <v>20</v>
      </c>
      <c r="B19" t="s">
        <v>30</v>
      </c>
      <c r="C19" s="9"/>
      <c r="D19" s="9"/>
      <c r="E19" s="9">
        <v>4070</v>
      </c>
      <c r="F19" s="9"/>
      <c r="G19" s="9">
        <f t="shared" si="0"/>
        <v>4070</v>
      </c>
      <c r="H19">
        <f t="shared" si="1"/>
        <v>4.42</v>
      </c>
      <c r="I19" s="10">
        <f t="shared" si="2"/>
        <v>6.0000000000000001E-3</v>
      </c>
      <c r="J19">
        <f t="shared" si="3"/>
        <v>-0.32</v>
      </c>
      <c r="P19">
        <v>6000</v>
      </c>
    </row>
    <row r="20" spans="1:16" x14ac:dyDescent="0.25">
      <c r="A20" t="s">
        <v>20</v>
      </c>
      <c r="B20" t="s">
        <v>31</v>
      </c>
      <c r="C20" s="9"/>
      <c r="D20" s="9"/>
      <c r="E20" s="9">
        <v>380</v>
      </c>
      <c r="F20" s="9"/>
      <c r="G20" s="9">
        <f t="shared" si="0"/>
        <v>380</v>
      </c>
      <c r="H20">
        <f t="shared" si="1"/>
        <v>0.41</v>
      </c>
      <c r="I20" s="10">
        <f t="shared" si="2"/>
        <v>1E-3</v>
      </c>
      <c r="J20">
        <f t="shared" si="3"/>
        <v>-0.42</v>
      </c>
      <c r="P20">
        <v>650</v>
      </c>
    </row>
    <row r="21" spans="1:16" x14ac:dyDescent="0.25">
      <c r="A21" t="s">
        <v>20</v>
      </c>
      <c r="B21" t="s">
        <v>33</v>
      </c>
      <c r="C21" s="9"/>
      <c r="D21" s="9"/>
      <c r="E21" s="9">
        <v>1260</v>
      </c>
      <c r="F21" s="9"/>
      <c r="G21" s="9">
        <f t="shared" si="0"/>
        <v>1260</v>
      </c>
      <c r="H21">
        <f t="shared" si="1"/>
        <v>1.37</v>
      </c>
      <c r="I21" s="10">
        <f t="shared" si="2"/>
        <v>2E-3</v>
      </c>
      <c r="J21">
        <f t="shared" si="3"/>
        <v>0.34</v>
      </c>
      <c r="P21">
        <v>940</v>
      </c>
    </row>
    <row r="22" spans="1:16" x14ac:dyDescent="0.25">
      <c r="A22" t="s">
        <v>20</v>
      </c>
      <c r="B22" t="s">
        <v>43</v>
      </c>
      <c r="C22" s="9"/>
      <c r="D22" s="9"/>
      <c r="E22" s="9">
        <v>80</v>
      </c>
      <c r="F22" s="9"/>
      <c r="G22" s="9">
        <f t="shared" si="0"/>
        <v>80</v>
      </c>
      <c r="H22">
        <f t="shared" si="1"/>
        <v>0.09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70</v>
      </c>
      <c r="C23" s="9"/>
      <c r="D23" s="9"/>
      <c r="E23" s="9">
        <v>921</v>
      </c>
      <c r="F23" s="9"/>
      <c r="G23" s="9">
        <f t="shared" si="0"/>
        <v>921</v>
      </c>
      <c r="H23">
        <f t="shared" si="1"/>
        <v>1</v>
      </c>
      <c r="I23" s="10">
        <f t="shared" si="2"/>
        <v>1E-3</v>
      </c>
      <c r="J23">
        <f>ROUND(G23/P23-1,2)</f>
        <v>-0.38</v>
      </c>
      <c r="P23">
        <v>1480</v>
      </c>
    </row>
    <row r="24" spans="1:16" x14ac:dyDescent="0.25">
      <c r="A24" t="s">
        <v>20</v>
      </c>
      <c r="B24" t="s">
        <v>34</v>
      </c>
      <c r="C24" s="9"/>
      <c r="D24" s="9"/>
      <c r="E24" s="9">
        <v>240</v>
      </c>
      <c r="F24" s="9"/>
      <c r="G24" s="9">
        <f t="shared" si="0"/>
        <v>240</v>
      </c>
      <c r="H24">
        <f t="shared" si="1"/>
        <v>0.26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35</v>
      </c>
      <c r="C25" s="9"/>
      <c r="D25" s="9"/>
      <c r="E25" s="9">
        <v>2778.89</v>
      </c>
      <c r="F25" s="9"/>
      <c r="G25" s="9">
        <f t="shared" si="0"/>
        <v>2778.89</v>
      </c>
      <c r="H25">
        <f t="shared" si="1"/>
        <v>3.02</v>
      </c>
      <c r="I25" s="10">
        <f t="shared" si="2"/>
        <v>4.0000000000000001E-3</v>
      </c>
      <c r="J25">
        <f t="shared" ref="J25:J30" si="4">ROUND(G25/P25-1,2)</f>
        <v>-0.37</v>
      </c>
      <c r="P25">
        <v>4394.63</v>
      </c>
    </row>
    <row r="26" spans="1:16" x14ac:dyDescent="0.25">
      <c r="A26" t="s">
        <v>20</v>
      </c>
      <c r="B26" t="s">
        <v>41</v>
      </c>
      <c r="C26" s="9"/>
      <c r="D26" s="9"/>
      <c r="E26" s="9">
        <v>11180</v>
      </c>
      <c r="F26" s="9"/>
      <c r="G26" s="9">
        <f t="shared" si="0"/>
        <v>11180</v>
      </c>
      <c r="H26">
        <f t="shared" si="1"/>
        <v>12.14</v>
      </c>
      <c r="I26" s="10">
        <f t="shared" si="2"/>
        <v>1.4999999999999999E-2</v>
      </c>
      <c r="J26">
        <f t="shared" si="4"/>
        <v>0.28999999999999998</v>
      </c>
      <c r="P26">
        <v>8693</v>
      </c>
    </row>
    <row r="27" spans="1:16" x14ac:dyDescent="0.25">
      <c r="A27" t="s">
        <v>20</v>
      </c>
      <c r="B27" t="s">
        <v>36</v>
      </c>
      <c r="C27" s="9"/>
      <c r="D27" s="9"/>
      <c r="E27" s="9">
        <v>4250</v>
      </c>
      <c r="F27" s="9"/>
      <c r="G27" s="9">
        <f t="shared" si="0"/>
        <v>4250</v>
      </c>
      <c r="H27">
        <f t="shared" si="1"/>
        <v>4.6100000000000003</v>
      </c>
      <c r="I27" s="10">
        <f t="shared" si="2"/>
        <v>6.0000000000000001E-3</v>
      </c>
      <c r="J27">
        <f t="shared" si="4"/>
        <v>-0.35</v>
      </c>
      <c r="P27">
        <v>6504.87</v>
      </c>
    </row>
    <row r="28" spans="1:16" x14ac:dyDescent="0.25">
      <c r="A28" t="s">
        <v>20</v>
      </c>
      <c r="B28" t="s">
        <v>37</v>
      </c>
      <c r="C28" s="9"/>
      <c r="D28" s="9"/>
      <c r="E28" s="9">
        <v>58445.84</v>
      </c>
      <c r="F28" s="9"/>
      <c r="G28" s="9">
        <f t="shared" si="0"/>
        <v>58445.84</v>
      </c>
      <c r="H28">
        <f t="shared" si="1"/>
        <v>63.46</v>
      </c>
      <c r="I28" s="10">
        <f t="shared" si="2"/>
        <v>7.9000000000000001E-2</v>
      </c>
      <c r="J28">
        <f t="shared" si="4"/>
        <v>0.12</v>
      </c>
      <c r="P28">
        <v>52327.12</v>
      </c>
    </row>
    <row r="29" spans="1:16" x14ac:dyDescent="0.25">
      <c r="A29" t="s">
        <v>20</v>
      </c>
      <c r="B29" t="s">
        <v>39</v>
      </c>
      <c r="C29" s="9"/>
      <c r="D29" s="9"/>
      <c r="E29" s="9">
        <v>21389.54</v>
      </c>
      <c r="F29" s="9"/>
      <c r="G29" s="9">
        <f t="shared" si="0"/>
        <v>21389.54</v>
      </c>
      <c r="H29">
        <f t="shared" si="1"/>
        <v>23.22</v>
      </c>
      <c r="I29" s="10">
        <f t="shared" si="2"/>
        <v>2.9000000000000001E-2</v>
      </c>
      <c r="J29">
        <f t="shared" si="4"/>
        <v>0.18</v>
      </c>
      <c r="P29">
        <v>18166.54</v>
      </c>
    </row>
    <row r="30" spans="1:16" x14ac:dyDescent="0.25">
      <c r="A30" t="s">
        <v>20</v>
      </c>
      <c r="B30" t="s">
        <v>40</v>
      </c>
      <c r="C30" s="9"/>
      <c r="D30" s="9"/>
      <c r="E30" s="9">
        <v>10218.91</v>
      </c>
      <c r="F30" s="9"/>
      <c r="G30" s="9">
        <f t="shared" si="0"/>
        <v>10218.91</v>
      </c>
      <c r="H30">
        <f t="shared" si="1"/>
        <v>11.1</v>
      </c>
      <c r="I30" s="10">
        <f t="shared" si="2"/>
        <v>1.4E-2</v>
      </c>
      <c r="J30">
        <f t="shared" si="4"/>
        <v>0.61</v>
      </c>
      <c r="P30">
        <v>6342.71</v>
      </c>
    </row>
    <row r="31" spans="1:16" x14ac:dyDescent="0.25">
      <c r="A31" t="s">
        <v>20</v>
      </c>
      <c r="B31" t="s">
        <v>29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42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20</v>
      </c>
      <c r="B33" t="s">
        <v>32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20</v>
      </c>
      <c r="B34" t="s">
        <v>38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44</v>
      </c>
      <c r="B35" t="s">
        <v>45</v>
      </c>
      <c r="C35" s="9">
        <v>185380</v>
      </c>
      <c r="D35" s="9"/>
      <c r="E35" s="9"/>
      <c r="F35" s="9">
        <v>380</v>
      </c>
      <c r="G35" s="9">
        <f t="shared" si="0"/>
        <v>185760</v>
      </c>
      <c r="H35">
        <f t="shared" si="1"/>
        <v>201.69</v>
      </c>
      <c r="I35" s="10">
        <f t="shared" si="2"/>
        <v>0.252</v>
      </c>
      <c r="J35">
        <f>ROUND(G35/P35-1,2)</f>
        <v>0.31</v>
      </c>
      <c r="P35">
        <v>142230</v>
      </c>
    </row>
    <row r="36" spans="1:16" x14ac:dyDescent="0.25">
      <c r="A36" t="s">
        <v>44</v>
      </c>
      <c r="B36" t="s">
        <v>46</v>
      </c>
      <c r="C36" s="9"/>
      <c r="D36" s="9"/>
      <c r="E36" s="9">
        <v>49482.48</v>
      </c>
      <c r="F36" s="9"/>
      <c r="G36" s="9">
        <f t="shared" si="0"/>
        <v>49482.48</v>
      </c>
      <c r="H36">
        <f t="shared" si="1"/>
        <v>53.73</v>
      </c>
      <c r="I36" s="10">
        <f t="shared" si="2"/>
        <v>6.7000000000000004E-2</v>
      </c>
      <c r="J36">
        <f>ROUND(G36/P36-1,2)</f>
        <v>0.11</v>
      </c>
      <c r="P36">
        <v>44761.39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16</v>
      </c>
      <c r="B38" t="s">
        <v>19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SUM(C8:C38)</f>
        <v>425785</v>
      </c>
      <c r="D49" s="12">
        <f t="shared" si="5"/>
        <v>0</v>
      </c>
      <c r="E49" s="12">
        <f t="shared" si="5"/>
        <v>311657.69</v>
      </c>
      <c r="F49" s="12">
        <f t="shared" si="5"/>
        <v>380</v>
      </c>
      <c r="G49" s="12">
        <f t="shared" si="5"/>
        <v>737822.69</v>
      </c>
      <c r="H49" s="11">
        <f t="shared" si="5"/>
        <v>801.11000000000013</v>
      </c>
      <c r="I49" s="4"/>
    </row>
    <row r="50" spans="1:10" x14ac:dyDescent="0.25">
      <c r="A50" s="11" t="s">
        <v>14</v>
      </c>
      <c r="C50" s="13">
        <f>ROUND(C49/G49,2)</f>
        <v>0.57999999999999996</v>
      </c>
      <c r="D50" s="13">
        <f>ROUND(D49/G49,2)</f>
        <v>0</v>
      </c>
      <c r="E50" s="13">
        <f>ROUND(E49/G49,2)</f>
        <v>0.42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240405</v>
      </c>
      <c r="D54" s="15">
        <v>0</v>
      </c>
      <c r="E54" s="15">
        <v>262175.21000000002</v>
      </c>
      <c r="F54" s="15">
        <v>0</v>
      </c>
      <c r="G54" s="15">
        <f>SUM(C54:F54)</f>
        <v>502580.21</v>
      </c>
      <c r="H54" s="17">
        <f>ROUND(G54/921,2)</f>
        <v>545.69000000000005</v>
      </c>
      <c r="I54" s="4"/>
      <c r="J54" s="4"/>
    </row>
    <row r="55" spans="1:10" x14ac:dyDescent="0.25">
      <c r="A55" s="33" t="s">
        <v>50</v>
      </c>
      <c r="B55" s="33"/>
      <c r="C55" s="15">
        <v>185380</v>
      </c>
      <c r="D55" s="15">
        <v>0</v>
      </c>
      <c r="E55" s="15">
        <v>49482.48</v>
      </c>
      <c r="F55" s="15">
        <v>380</v>
      </c>
      <c r="G55" s="15">
        <f>SUM(C55:F55)</f>
        <v>235242.48</v>
      </c>
      <c r="H55" s="17">
        <f>ROUND(G55/921,2)</f>
        <v>255.42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ROUND(G56/921,2)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ROUND(0.6976, 4)</f>
        <v>0.6976</v>
      </c>
      <c r="D60" s="19">
        <f>ROUND(0.7414, 4)</f>
        <v>0.74139999999999995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ROUND(0.6652, 4)</f>
        <v>0.66520000000000001</v>
      </c>
      <c r="D61" s="19">
        <f>ROUND(0.7096, 4)</f>
        <v>0.70960000000000001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140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201.69</v>
      </c>
      <c r="D64" s="16">
        <v>160.27000000000001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68.45</v>
      </c>
      <c r="D65" s="16">
        <v>82.67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545.69000000000005</v>
      </c>
      <c r="D66" s="16">
        <v>527.11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255.42</v>
      </c>
      <c r="D67" s="16">
        <v>228.97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P83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31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141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548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22000</v>
      </c>
      <c r="D9" s="9"/>
      <c r="E9" s="9">
        <v>378.45</v>
      </c>
      <c r="F9" s="9"/>
      <c r="G9" s="9">
        <f t="shared" ref="G9:G32" si="0">SUM(C9:F9)</f>
        <v>22378.45</v>
      </c>
      <c r="H9">
        <f t="shared" ref="H9:H32" si="1">ROUND(G9/548,2)</f>
        <v>40.840000000000003</v>
      </c>
      <c r="I9" s="10">
        <f t="shared" ref="I9:I32" si="2">ROUND(G9/$G$49,3)</f>
        <v>0.111</v>
      </c>
      <c r="J9">
        <f t="shared" ref="J9:J18" si="3">ROUND(G9/P9-1,2)</f>
        <v>0.06</v>
      </c>
      <c r="P9">
        <v>21141.919999999998</v>
      </c>
    </row>
    <row r="10" spans="1:16" x14ac:dyDescent="0.25">
      <c r="A10" t="s">
        <v>20</v>
      </c>
      <c r="B10" t="s">
        <v>22</v>
      </c>
      <c r="C10" s="9">
        <v>22810</v>
      </c>
      <c r="D10" s="9"/>
      <c r="E10" s="9">
        <v>223.68</v>
      </c>
      <c r="F10" s="9"/>
      <c r="G10" s="9">
        <f t="shared" si="0"/>
        <v>23033.68</v>
      </c>
      <c r="H10">
        <f t="shared" si="1"/>
        <v>42.03</v>
      </c>
      <c r="I10" s="10">
        <f t="shared" si="2"/>
        <v>0.114</v>
      </c>
      <c r="J10">
        <f t="shared" si="3"/>
        <v>-0.26</v>
      </c>
      <c r="P10">
        <v>31040.45</v>
      </c>
    </row>
    <row r="11" spans="1:16" x14ac:dyDescent="0.25">
      <c r="A11" t="s">
        <v>20</v>
      </c>
      <c r="B11" t="s">
        <v>24</v>
      </c>
      <c r="C11" s="9"/>
      <c r="D11" s="9"/>
      <c r="E11" s="9">
        <v>6869.27</v>
      </c>
      <c r="F11" s="9"/>
      <c r="G11" s="9">
        <f t="shared" si="0"/>
        <v>6869.27</v>
      </c>
      <c r="H11">
        <f t="shared" si="1"/>
        <v>12.54</v>
      </c>
      <c r="I11" s="10">
        <f t="shared" si="2"/>
        <v>3.4000000000000002E-2</v>
      </c>
      <c r="J11">
        <f t="shared" si="3"/>
        <v>-0.14000000000000001</v>
      </c>
      <c r="P11">
        <v>7970.15</v>
      </c>
    </row>
    <row r="12" spans="1:16" x14ac:dyDescent="0.25">
      <c r="A12" t="s">
        <v>20</v>
      </c>
      <c r="B12" t="s">
        <v>25</v>
      </c>
      <c r="C12" s="9">
        <v>29070</v>
      </c>
      <c r="D12" s="9"/>
      <c r="E12" s="9">
        <v>887.57</v>
      </c>
      <c r="F12" s="9"/>
      <c r="G12" s="9">
        <f t="shared" si="0"/>
        <v>29957.57</v>
      </c>
      <c r="H12">
        <f t="shared" si="1"/>
        <v>54.67</v>
      </c>
      <c r="I12" s="10">
        <f t="shared" si="2"/>
        <v>0.14899999999999999</v>
      </c>
      <c r="J12">
        <f t="shared" si="3"/>
        <v>0.2</v>
      </c>
      <c r="P12">
        <v>25044.31</v>
      </c>
    </row>
    <row r="13" spans="1:16" x14ac:dyDescent="0.25">
      <c r="A13" t="s">
        <v>20</v>
      </c>
      <c r="B13" t="s">
        <v>26</v>
      </c>
      <c r="C13" s="9">
        <v>22730</v>
      </c>
      <c r="D13" s="9"/>
      <c r="E13" s="9"/>
      <c r="F13" s="9"/>
      <c r="G13" s="9">
        <f t="shared" si="0"/>
        <v>22730</v>
      </c>
      <c r="H13">
        <f t="shared" si="1"/>
        <v>41.48</v>
      </c>
      <c r="I13" s="10">
        <f t="shared" si="2"/>
        <v>0.113</v>
      </c>
      <c r="J13">
        <f t="shared" si="3"/>
        <v>-0.22</v>
      </c>
      <c r="P13">
        <v>29070</v>
      </c>
    </row>
    <row r="14" spans="1:16" x14ac:dyDescent="0.25">
      <c r="A14" t="s">
        <v>20</v>
      </c>
      <c r="B14" t="s">
        <v>35</v>
      </c>
      <c r="C14" s="9"/>
      <c r="D14" s="9"/>
      <c r="E14" s="9">
        <v>621.11</v>
      </c>
      <c r="F14" s="9"/>
      <c r="G14" s="9">
        <f t="shared" si="0"/>
        <v>621.11</v>
      </c>
      <c r="H14">
        <f t="shared" si="1"/>
        <v>1.1299999999999999</v>
      </c>
      <c r="I14" s="10">
        <f t="shared" si="2"/>
        <v>3.0000000000000001E-3</v>
      </c>
      <c r="J14">
        <f t="shared" si="3"/>
        <v>-7.0000000000000007E-2</v>
      </c>
      <c r="P14">
        <v>670.37</v>
      </c>
    </row>
    <row r="15" spans="1:16" x14ac:dyDescent="0.25">
      <c r="A15" t="s">
        <v>20</v>
      </c>
      <c r="B15" t="s">
        <v>37</v>
      </c>
      <c r="C15" s="9"/>
      <c r="D15" s="9"/>
      <c r="E15" s="9">
        <v>4149.16</v>
      </c>
      <c r="F15" s="9"/>
      <c r="G15" s="9">
        <f t="shared" si="0"/>
        <v>4149.16</v>
      </c>
      <c r="H15">
        <f t="shared" si="1"/>
        <v>7.57</v>
      </c>
      <c r="I15" s="10">
        <f t="shared" si="2"/>
        <v>2.1000000000000001E-2</v>
      </c>
      <c r="J15">
        <f t="shared" si="3"/>
        <v>-0.42</v>
      </c>
      <c r="P15">
        <v>7147.88</v>
      </c>
    </row>
    <row r="16" spans="1:16" x14ac:dyDescent="0.25">
      <c r="A16" t="s">
        <v>20</v>
      </c>
      <c r="B16" t="s">
        <v>39</v>
      </c>
      <c r="C16" s="9"/>
      <c r="D16" s="9"/>
      <c r="E16" s="9">
        <v>1500.46</v>
      </c>
      <c r="F16" s="9"/>
      <c r="G16" s="9">
        <f t="shared" si="0"/>
        <v>1500.46</v>
      </c>
      <c r="H16">
        <f t="shared" si="1"/>
        <v>2.74</v>
      </c>
      <c r="I16" s="10">
        <f t="shared" si="2"/>
        <v>7.0000000000000001E-3</v>
      </c>
      <c r="J16">
        <f t="shared" si="3"/>
        <v>-0.61</v>
      </c>
      <c r="P16">
        <v>3823.46</v>
      </c>
    </row>
    <row r="17" spans="1:16" x14ac:dyDescent="0.25">
      <c r="A17" t="s">
        <v>20</v>
      </c>
      <c r="B17" t="s">
        <v>40</v>
      </c>
      <c r="C17" s="9"/>
      <c r="D17" s="9"/>
      <c r="E17" s="9">
        <v>1896.09</v>
      </c>
      <c r="F17" s="9"/>
      <c r="G17" s="9">
        <f t="shared" si="0"/>
        <v>1896.09</v>
      </c>
      <c r="H17">
        <f t="shared" si="1"/>
        <v>3.46</v>
      </c>
      <c r="I17" s="10">
        <f t="shared" si="2"/>
        <v>8.9999999999999993E-3</v>
      </c>
      <c r="J17">
        <f t="shared" si="3"/>
        <v>22.04</v>
      </c>
      <c r="P17">
        <v>82.29</v>
      </c>
    </row>
    <row r="18" spans="1:16" x14ac:dyDescent="0.25">
      <c r="A18" t="s">
        <v>20</v>
      </c>
      <c r="B18" t="s">
        <v>36</v>
      </c>
      <c r="C18" s="9"/>
      <c r="D18" s="9"/>
      <c r="E18" s="9"/>
      <c r="F18" s="9"/>
      <c r="G18" s="9">
        <f t="shared" si="0"/>
        <v>0</v>
      </c>
      <c r="H18">
        <f t="shared" si="1"/>
        <v>0</v>
      </c>
      <c r="I18" s="10">
        <f t="shared" si="2"/>
        <v>0</v>
      </c>
      <c r="J18">
        <f t="shared" si="3"/>
        <v>-1</v>
      </c>
      <c r="P18">
        <v>775.13</v>
      </c>
    </row>
    <row r="19" spans="1:16" x14ac:dyDescent="0.25">
      <c r="A19" t="s">
        <v>20</v>
      </c>
      <c r="B19" t="s">
        <v>42</v>
      </c>
      <c r="C19" s="9"/>
      <c r="D19" s="9"/>
      <c r="E19" s="9"/>
      <c r="F19" s="9"/>
      <c r="G19" s="9">
        <f t="shared" si="0"/>
        <v>0</v>
      </c>
      <c r="H19">
        <f t="shared" si="1"/>
        <v>0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23</v>
      </c>
      <c r="C20" s="9"/>
      <c r="D20" s="9"/>
      <c r="E20" s="9"/>
      <c r="F20" s="9"/>
      <c r="G20" s="9">
        <f t="shared" si="0"/>
        <v>0</v>
      </c>
      <c r="H20">
        <f t="shared" si="1"/>
        <v>0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29</v>
      </c>
      <c r="C21" s="9"/>
      <c r="D21" s="9"/>
      <c r="E21" s="9"/>
      <c r="F21" s="9"/>
      <c r="G21" s="9">
        <f t="shared" si="0"/>
        <v>0</v>
      </c>
      <c r="H21">
        <f t="shared" si="1"/>
        <v>0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30</v>
      </c>
      <c r="C22" s="9"/>
      <c r="D22" s="9"/>
      <c r="E22" s="9"/>
      <c r="F22" s="9"/>
      <c r="G22" s="9">
        <f t="shared" si="0"/>
        <v>0</v>
      </c>
      <c r="H22">
        <f t="shared" si="1"/>
        <v>0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31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32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33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43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77090</v>
      </c>
      <c r="D29" s="9"/>
      <c r="E29" s="9"/>
      <c r="F29" s="9">
        <v>300</v>
      </c>
      <c r="G29" s="9">
        <f t="shared" si="0"/>
        <v>77390</v>
      </c>
      <c r="H29">
        <f t="shared" si="1"/>
        <v>141.22</v>
      </c>
      <c r="I29" s="10">
        <f t="shared" si="2"/>
        <v>0.38400000000000001</v>
      </c>
      <c r="J29">
        <f>ROUND(G29/P29-1,2)</f>
        <v>0.54</v>
      </c>
      <c r="P29">
        <v>50310</v>
      </c>
    </row>
    <row r="30" spans="1:16" x14ac:dyDescent="0.25">
      <c r="A30" t="s">
        <v>44</v>
      </c>
      <c r="B30" t="s">
        <v>47</v>
      </c>
      <c r="C30" s="9"/>
      <c r="D30" s="9"/>
      <c r="E30" s="9"/>
      <c r="F30" s="9">
        <v>6765</v>
      </c>
      <c r="G30" s="9">
        <f t="shared" si="0"/>
        <v>6765</v>
      </c>
      <c r="H30">
        <f t="shared" si="1"/>
        <v>12.34</v>
      </c>
      <c r="I30" s="10">
        <f t="shared" si="2"/>
        <v>3.4000000000000002E-2</v>
      </c>
      <c r="J30">
        <f>ROUND(G30/P30-1,2)</f>
        <v>-0.67</v>
      </c>
      <c r="P30">
        <v>20560</v>
      </c>
    </row>
    <row r="31" spans="1:16" x14ac:dyDescent="0.25">
      <c r="A31" t="s">
        <v>44</v>
      </c>
      <c r="B31" t="s">
        <v>46</v>
      </c>
      <c r="C31" s="9"/>
      <c r="D31" s="9"/>
      <c r="E31" s="9">
        <v>4137.5200000000004</v>
      </c>
      <c r="F31" s="9"/>
      <c r="G31" s="9">
        <f t="shared" si="0"/>
        <v>4137.5200000000004</v>
      </c>
      <c r="H31">
        <f t="shared" si="1"/>
        <v>7.55</v>
      </c>
      <c r="I31" s="10">
        <f t="shared" si="2"/>
        <v>2.1000000000000001E-2</v>
      </c>
      <c r="J31">
        <f>ROUND(G31/P31-1,2)</f>
        <v>-0.39</v>
      </c>
      <c r="P31">
        <v>6838.61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173700</v>
      </c>
      <c r="D49" s="12">
        <f t="shared" si="4"/>
        <v>0</v>
      </c>
      <c r="E49" s="12">
        <f t="shared" si="4"/>
        <v>20663.310000000001</v>
      </c>
      <c r="F49" s="12">
        <f t="shared" si="4"/>
        <v>7065</v>
      </c>
      <c r="G49" s="12">
        <f t="shared" si="4"/>
        <v>201428.31</v>
      </c>
      <c r="H49" s="11">
        <f t="shared" si="4"/>
        <v>367.56999999999994</v>
      </c>
      <c r="I49" s="4"/>
    </row>
    <row r="50" spans="1:10" x14ac:dyDescent="0.25">
      <c r="A50" s="11" t="s">
        <v>14</v>
      </c>
      <c r="C50" s="13">
        <f>ROUND(C49/G49,2)</f>
        <v>0.86</v>
      </c>
      <c r="D50" s="13">
        <f>ROUND(D49/G49,2)</f>
        <v>0</v>
      </c>
      <c r="E50" s="13">
        <f>ROUND(E49/G49,2)</f>
        <v>0.1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96610</v>
      </c>
      <c r="D54" s="15">
        <v>0</v>
      </c>
      <c r="E54" s="15">
        <v>16525.79</v>
      </c>
      <c r="F54" s="15">
        <v>0</v>
      </c>
      <c r="G54" s="15">
        <f>SUM(C54:F54)</f>
        <v>113135.79000000001</v>
      </c>
      <c r="H54" s="17">
        <f>ROUND(G54/548,2)</f>
        <v>206.45</v>
      </c>
      <c r="I54" s="4"/>
      <c r="J54" s="4"/>
    </row>
    <row r="55" spans="1:10" x14ac:dyDescent="0.25">
      <c r="A55" s="33" t="s">
        <v>50</v>
      </c>
      <c r="B55" s="33"/>
      <c r="C55" s="15">
        <v>77090</v>
      </c>
      <c r="D55" s="15">
        <v>0</v>
      </c>
      <c r="E55" s="15">
        <v>4137.5200000000004</v>
      </c>
      <c r="F55" s="15">
        <v>7065</v>
      </c>
      <c r="G55" s="15">
        <f>SUM(C55:F55)</f>
        <v>88292.52</v>
      </c>
      <c r="H55" s="17">
        <f>ROUND(G55/548,2)</f>
        <v>161.12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ROUND(G56/548,2)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ROUND(0.595, 4)</f>
        <v>0.59499999999999997</v>
      </c>
      <c r="D60" s="19">
        <f>ROUND(0.7254, 4)</f>
        <v>0.72540000000000004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ROUND(0.5522, 4)</f>
        <v>0.55220000000000002</v>
      </c>
      <c r="D61" s="19">
        <f>ROUND(0.6853, 4)</f>
        <v>0.68530000000000002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142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141.22</v>
      </c>
      <c r="D64" s="17">
        <v>110.95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41.48</v>
      </c>
      <c r="D65" s="17">
        <v>51.09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206.45</v>
      </c>
      <c r="D66" s="17">
        <v>240.89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161.12</v>
      </c>
      <c r="D67" s="17">
        <v>142.36000000000001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  <row r="80" spans="1:10" x14ac:dyDescent="0.25">
      <c r="C80" s="3"/>
      <c r="D80" s="3"/>
      <c r="E80" s="3"/>
      <c r="F80" s="3"/>
      <c r="G80" s="3"/>
      <c r="H80" s="3"/>
      <c r="I80" s="4"/>
      <c r="J80" s="4"/>
    </row>
    <row r="81" spans="3:10" x14ac:dyDescent="0.25">
      <c r="C81" s="3"/>
      <c r="D81" s="3"/>
      <c r="E81" s="3"/>
      <c r="F81" s="3"/>
      <c r="G81" s="3"/>
      <c r="H81" s="3"/>
      <c r="I81" s="4"/>
      <c r="J81" s="4"/>
    </row>
    <row r="82" spans="3:10" x14ac:dyDescent="0.25">
      <c r="C82" s="3"/>
      <c r="D82" s="3"/>
      <c r="E82" s="3"/>
      <c r="F82" s="3"/>
      <c r="G82" s="3"/>
      <c r="H82" s="3"/>
      <c r="I82" s="4"/>
      <c r="J82" s="4"/>
    </row>
    <row r="83" spans="3:10" x14ac:dyDescent="0.25">
      <c r="C83" s="3"/>
      <c r="D83" s="3"/>
      <c r="E83" s="3"/>
      <c r="F83" s="3"/>
      <c r="G83" s="3"/>
      <c r="H83" s="3"/>
      <c r="I83" s="4"/>
      <c r="J83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5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143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10461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402</v>
      </c>
      <c r="F9" s="9">
        <v>116</v>
      </c>
      <c r="G9" s="9">
        <f t="shared" ref="G9:G48" si="0">SUM(C9:F9)</f>
        <v>518</v>
      </c>
      <c r="H9">
        <f t="shared" ref="H9:H48" si="1">ROUND(G9/10461,2)</f>
        <v>0.05</v>
      </c>
      <c r="I9" s="10">
        <f t="shared" ref="I9:I48" si="2">ROUND(G9/$G$49,3)</f>
        <v>0</v>
      </c>
      <c r="J9">
        <f t="shared" ref="J9:J37" si="3">ROUND(G9/P9-1,2)</f>
        <v>0.21</v>
      </c>
      <c r="P9">
        <v>428</v>
      </c>
    </row>
    <row r="10" spans="1:16" x14ac:dyDescent="0.25">
      <c r="A10" t="s">
        <v>20</v>
      </c>
      <c r="B10" t="s">
        <v>68</v>
      </c>
      <c r="C10" s="9"/>
      <c r="D10" s="9"/>
      <c r="E10" s="9">
        <v>30860</v>
      </c>
      <c r="F10" s="9">
        <v>23540</v>
      </c>
      <c r="G10" s="9">
        <f t="shared" si="0"/>
        <v>54400</v>
      </c>
      <c r="H10">
        <f t="shared" si="1"/>
        <v>5.2</v>
      </c>
      <c r="I10" s="10">
        <f t="shared" si="2"/>
        <v>1.2999999999999999E-2</v>
      </c>
      <c r="J10">
        <f t="shared" si="3"/>
        <v>0.14000000000000001</v>
      </c>
      <c r="P10">
        <v>47900</v>
      </c>
    </row>
    <row r="11" spans="1:16" x14ac:dyDescent="0.25">
      <c r="A11" t="s">
        <v>20</v>
      </c>
      <c r="B11" t="s">
        <v>73</v>
      </c>
      <c r="C11" s="9"/>
      <c r="D11" s="9"/>
      <c r="E11" s="9">
        <v>9380</v>
      </c>
      <c r="F11" s="9">
        <v>2580</v>
      </c>
      <c r="G11" s="9">
        <f t="shared" si="0"/>
        <v>11960</v>
      </c>
      <c r="H11">
        <f t="shared" si="1"/>
        <v>1.1399999999999999</v>
      </c>
      <c r="I11" s="10">
        <f t="shared" si="2"/>
        <v>3.0000000000000001E-3</v>
      </c>
      <c r="J11">
        <f t="shared" si="3"/>
        <v>0.15</v>
      </c>
      <c r="P11">
        <v>10420</v>
      </c>
    </row>
    <row r="12" spans="1:16" x14ac:dyDescent="0.25">
      <c r="A12" t="s">
        <v>20</v>
      </c>
      <c r="B12" t="s">
        <v>21</v>
      </c>
      <c r="C12" s="9">
        <v>365480</v>
      </c>
      <c r="D12" s="9"/>
      <c r="E12" s="9"/>
      <c r="F12" s="9">
        <v>3260</v>
      </c>
      <c r="G12" s="9">
        <f t="shared" si="0"/>
        <v>368740</v>
      </c>
      <c r="H12">
        <f t="shared" si="1"/>
        <v>35.25</v>
      </c>
      <c r="I12" s="10">
        <f t="shared" si="2"/>
        <v>9.0999999999999998E-2</v>
      </c>
      <c r="J12">
        <f t="shared" si="3"/>
        <v>-0.01</v>
      </c>
      <c r="P12">
        <v>371300</v>
      </c>
    </row>
    <row r="13" spans="1:16" x14ac:dyDescent="0.25">
      <c r="A13" t="s">
        <v>20</v>
      </c>
      <c r="B13" t="s">
        <v>22</v>
      </c>
      <c r="C13" s="9">
        <v>449530</v>
      </c>
      <c r="D13" s="9"/>
      <c r="E13" s="9"/>
      <c r="F13" s="9">
        <v>1080</v>
      </c>
      <c r="G13" s="9">
        <f t="shared" si="0"/>
        <v>450610</v>
      </c>
      <c r="H13">
        <f t="shared" si="1"/>
        <v>43.08</v>
      </c>
      <c r="I13" s="10">
        <f t="shared" si="2"/>
        <v>0.112</v>
      </c>
      <c r="J13">
        <f t="shared" si="3"/>
        <v>-0.12</v>
      </c>
      <c r="P13">
        <v>510830</v>
      </c>
    </row>
    <row r="14" spans="1:16" x14ac:dyDescent="0.25">
      <c r="A14" t="s">
        <v>20</v>
      </c>
      <c r="B14" t="s">
        <v>79</v>
      </c>
      <c r="C14" s="9"/>
      <c r="D14" s="9"/>
      <c r="E14" s="9">
        <v>411</v>
      </c>
      <c r="F14" s="9"/>
      <c r="G14" s="9">
        <f t="shared" si="0"/>
        <v>411</v>
      </c>
      <c r="H14">
        <f t="shared" si="1"/>
        <v>0.04</v>
      </c>
      <c r="I14" s="10">
        <f t="shared" si="2"/>
        <v>0</v>
      </c>
      <c r="J14">
        <f t="shared" si="3"/>
        <v>1.0900000000000001</v>
      </c>
      <c r="P14">
        <v>197</v>
      </c>
    </row>
    <row r="15" spans="1:16" x14ac:dyDescent="0.25">
      <c r="A15" t="s">
        <v>20</v>
      </c>
      <c r="B15" t="s">
        <v>42</v>
      </c>
      <c r="C15" s="9"/>
      <c r="D15" s="9"/>
      <c r="E15" s="9">
        <v>1010</v>
      </c>
      <c r="F15" s="9"/>
      <c r="G15" s="9">
        <f t="shared" si="0"/>
        <v>1010</v>
      </c>
      <c r="H15">
        <f t="shared" si="1"/>
        <v>0.1</v>
      </c>
      <c r="I15" s="10">
        <f t="shared" si="2"/>
        <v>0</v>
      </c>
      <c r="J15">
        <f t="shared" si="3"/>
        <v>0.09</v>
      </c>
      <c r="P15">
        <v>928</v>
      </c>
    </row>
    <row r="16" spans="1:16" x14ac:dyDescent="0.25">
      <c r="A16" t="s">
        <v>20</v>
      </c>
      <c r="B16" t="s">
        <v>23</v>
      </c>
      <c r="C16" s="9"/>
      <c r="D16" s="9"/>
      <c r="E16" s="9">
        <v>5460</v>
      </c>
      <c r="F16" s="9"/>
      <c r="G16" s="9">
        <f t="shared" si="0"/>
        <v>5460</v>
      </c>
      <c r="H16">
        <f t="shared" si="1"/>
        <v>0.52</v>
      </c>
      <c r="I16" s="10">
        <f t="shared" si="2"/>
        <v>1E-3</v>
      </c>
      <c r="J16">
        <f t="shared" si="3"/>
        <v>0.66</v>
      </c>
      <c r="P16">
        <v>3290</v>
      </c>
    </row>
    <row r="17" spans="1:16" x14ac:dyDescent="0.25">
      <c r="A17" t="s">
        <v>20</v>
      </c>
      <c r="B17" t="s">
        <v>24</v>
      </c>
      <c r="C17" s="9"/>
      <c r="D17" s="9"/>
      <c r="E17" s="9">
        <v>231260</v>
      </c>
      <c r="F17" s="9"/>
      <c r="G17" s="9">
        <f t="shared" si="0"/>
        <v>231260</v>
      </c>
      <c r="H17">
        <f t="shared" si="1"/>
        <v>22.11</v>
      </c>
      <c r="I17" s="10">
        <f t="shared" si="2"/>
        <v>5.7000000000000002E-2</v>
      </c>
      <c r="J17">
        <f t="shared" si="3"/>
        <v>0.2</v>
      </c>
      <c r="P17">
        <v>192200</v>
      </c>
    </row>
    <row r="18" spans="1:16" x14ac:dyDescent="0.25">
      <c r="A18" t="s">
        <v>20</v>
      </c>
      <c r="B18" t="s">
        <v>25</v>
      </c>
      <c r="C18" s="9">
        <v>569500</v>
      </c>
      <c r="D18" s="9"/>
      <c r="E18" s="9">
        <v>19160</v>
      </c>
      <c r="F18" s="9">
        <v>2170</v>
      </c>
      <c r="G18" s="9">
        <f t="shared" si="0"/>
        <v>590830</v>
      </c>
      <c r="H18">
        <f t="shared" si="1"/>
        <v>56.48</v>
      </c>
      <c r="I18" s="10">
        <f t="shared" si="2"/>
        <v>0.14699999999999999</v>
      </c>
      <c r="J18">
        <f t="shared" si="3"/>
        <v>-0.01</v>
      </c>
      <c r="P18">
        <v>599400</v>
      </c>
    </row>
    <row r="19" spans="1:16" x14ac:dyDescent="0.25">
      <c r="A19" t="s">
        <v>20</v>
      </c>
      <c r="B19" t="s">
        <v>69</v>
      </c>
      <c r="C19" s="9"/>
      <c r="D19" s="9"/>
      <c r="E19" s="9">
        <v>16835</v>
      </c>
      <c r="F19" s="9"/>
      <c r="G19" s="9">
        <f t="shared" si="0"/>
        <v>16835</v>
      </c>
      <c r="H19">
        <f t="shared" si="1"/>
        <v>1.61</v>
      </c>
      <c r="I19" s="10">
        <f t="shared" si="2"/>
        <v>4.0000000000000001E-3</v>
      </c>
      <c r="J19">
        <f t="shared" si="3"/>
        <v>-0.17</v>
      </c>
      <c r="P19">
        <v>20330</v>
      </c>
    </row>
    <row r="20" spans="1:16" x14ac:dyDescent="0.25">
      <c r="A20" t="s">
        <v>20</v>
      </c>
      <c r="B20" t="s">
        <v>26</v>
      </c>
      <c r="C20" s="9">
        <v>747340</v>
      </c>
      <c r="D20" s="9"/>
      <c r="E20" s="9"/>
      <c r="F20" s="9">
        <v>1960</v>
      </c>
      <c r="G20" s="9">
        <f t="shared" si="0"/>
        <v>749300</v>
      </c>
      <c r="H20">
        <f t="shared" si="1"/>
        <v>71.63</v>
      </c>
      <c r="I20" s="10">
        <f t="shared" si="2"/>
        <v>0.186</v>
      </c>
      <c r="J20">
        <f t="shared" si="3"/>
        <v>-0.02</v>
      </c>
      <c r="P20">
        <v>762350</v>
      </c>
    </row>
    <row r="21" spans="1:16" x14ac:dyDescent="0.25">
      <c r="A21" t="s">
        <v>20</v>
      </c>
      <c r="B21" t="s">
        <v>27</v>
      </c>
      <c r="C21" s="9"/>
      <c r="D21" s="9"/>
      <c r="E21" s="9">
        <v>1162</v>
      </c>
      <c r="F21" s="9"/>
      <c r="G21" s="9">
        <f t="shared" si="0"/>
        <v>1162</v>
      </c>
      <c r="H21">
        <f t="shared" si="1"/>
        <v>0.11</v>
      </c>
      <c r="I21" s="10">
        <f t="shared" si="2"/>
        <v>0</v>
      </c>
      <c r="J21">
        <f t="shared" si="3"/>
        <v>3.63</v>
      </c>
      <c r="P21">
        <v>251</v>
      </c>
    </row>
    <row r="22" spans="1:16" x14ac:dyDescent="0.25">
      <c r="A22" t="s">
        <v>20</v>
      </c>
      <c r="B22" t="s">
        <v>28</v>
      </c>
      <c r="C22" s="9"/>
      <c r="D22" s="9"/>
      <c r="E22" s="9">
        <v>787</v>
      </c>
      <c r="F22" s="9"/>
      <c r="G22" s="9">
        <f t="shared" si="0"/>
        <v>787</v>
      </c>
      <c r="H22">
        <f t="shared" si="1"/>
        <v>0.08</v>
      </c>
      <c r="I22" s="10">
        <f t="shared" si="2"/>
        <v>0</v>
      </c>
      <c r="J22">
        <f t="shared" si="3"/>
        <v>3.58</v>
      </c>
      <c r="P22">
        <v>172</v>
      </c>
    </row>
    <row r="23" spans="1:16" x14ac:dyDescent="0.25">
      <c r="A23" t="s">
        <v>20</v>
      </c>
      <c r="B23" t="s">
        <v>29</v>
      </c>
      <c r="C23" s="9"/>
      <c r="D23" s="9"/>
      <c r="E23" s="9">
        <v>688</v>
      </c>
      <c r="F23" s="9"/>
      <c r="G23" s="9">
        <f t="shared" si="0"/>
        <v>688</v>
      </c>
      <c r="H23">
        <f t="shared" si="1"/>
        <v>7.0000000000000007E-2</v>
      </c>
      <c r="I23" s="10">
        <f t="shared" si="2"/>
        <v>0</v>
      </c>
      <c r="J23">
        <f t="shared" si="3"/>
        <v>-0.66</v>
      </c>
      <c r="P23">
        <v>2025</v>
      </c>
    </row>
    <row r="24" spans="1:16" x14ac:dyDescent="0.25">
      <c r="A24" t="s">
        <v>20</v>
      </c>
      <c r="B24" t="s">
        <v>30</v>
      </c>
      <c r="C24" s="9"/>
      <c r="D24" s="9"/>
      <c r="E24" s="9">
        <v>23830</v>
      </c>
      <c r="F24" s="9"/>
      <c r="G24" s="9">
        <f t="shared" si="0"/>
        <v>23830</v>
      </c>
      <c r="H24">
        <f t="shared" si="1"/>
        <v>2.2799999999999998</v>
      </c>
      <c r="I24" s="10">
        <f t="shared" si="2"/>
        <v>6.0000000000000001E-3</v>
      </c>
      <c r="J24">
        <f t="shared" si="3"/>
        <v>-0.28999999999999998</v>
      </c>
      <c r="P24">
        <v>33660</v>
      </c>
    </row>
    <row r="25" spans="1:16" x14ac:dyDescent="0.25">
      <c r="A25" t="s">
        <v>20</v>
      </c>
      <c r="B25" t="s">
        <v>31</v>
      </c>
      <c r="C25" s="9"/>
      <c r="D25" s="9"/>
      <c r="E25" s="9">
        <v>3550</v>
      </c>
      <c r="F25" s="9"/>
      <c r="G25" s="9">
        <f t="shared" si="0"/>
        <v>3550</v>
      </c>
      <c r="H25">
        <f t="shared" si="1"/>
        <v>0.34</v>
      </c>
      <c r="I25" s="10">
        <f t="shared" si="2"/>
        <v>1E-3</v>
      </c>
      <c r="J25">
        <f t="shared" si="3"/>
        <v>-0.04</v>
      </c>
      <c r="P25">
        <v>3700</v>
      </c>
    </row>
    <row r="26" spans="1:16" x14ac:dyDescent="0.25">
      <c r="A26" t="s">
        <v>20</v>
      </c>
      <c r="B26" t="s">
        <v>32</v>
      </c>
      <c r="C26" s="9"/>
      <c r="D26" s="9"/>
      <c r="E26" s="9">
        <v>2050</v>
      </c>
      <c r="F26" s="9"/>
      <c r="G26" s="9">
        <f t="shared" si="0"/>
        <v>2050</v>
      </c>
      <c r="H26">
        <f t="shared" si="1"/>
        <v>0.2</v>
      </c>
      <c r="I26" s="10">
        <f t="shared" si="2"/>
        <v>1E-3</v>
      </c>
      <c r="J26">
        <f t="shared" si="3"/>
        <v>0.43</v>
      </c>
      <c r="P26">
        <v>1430</v>
      </c>
    </row>
    <row r="27" spans="1:16" x14ac:dyDescent="0.25">
      <c r="A27" t="s">
        <v>20</v>
      </c>
      <c r="B27" t="s">
        <v>33</v>
      </c>
      <c r="C27" s="9"/>
      <c r="D27" s="9"/>
      <c r="E27" s="9">
        <v>5750</v>
      </c>
      <c r="F27" s="9"/>
      <c r="G27" s="9">
        <f t="shared" si="0"/>
        <v>5750</v>
      </c>
      <c r="H27">
        <f t="shared" si="1"/>
        <v>0.55000000000000004</v>
      </c>
      <c r="I27" s="10">
        <f t="shared" si="2"/>
        <v>1E-3</v>
      </c>
      <c r="J27">
        <f t="shared" si="3"/>
        <v>0.06</v>
      </c>
      <c r="P27">
        <v>5400</v>
      </c>
    </row>
    <row r="28" spans="1:16" x14ac:dyDescent="0.25">
      <c r="A28" t="s">
        <v>20</v>
      </c>
      <c r="B28" t="s">
        <v>43</v>
      </c>
      <c r="C28" s="9"/>
      <c r="D28" s="9">
        <v>1228</v>
      </c>
      <c r="E28" s="9"/>
      <c r="F28" s="9"/>
      <c r="G28" s="9">
        <f t="shared" si="0"/>
        <v>1228</v>
      </c>
      <c r="H28">
        <f t="shared" si="1"/>
        <v>0.12</v>
      </c>
      <c r="I28" s="10">
        <f t="shared" si="2"/>
        <v>0</v>
      </c>
      <c r="J28">
        <f t="shared" si="3"/>
        <v>-0.03</v>
      </c>
      <c r="P28">
        <v>1265</v>
      </c>
    </row>
    <row r="29" spans="1:16" x14ac:dyDescent="0.25">
      <c r="A29" t="s">
        <v>20</v>
      </c>
      <c r="B29" t="s">
        <v>70</v>
      </c>
      <c r="C29" s="9"/>
      <c r="D29" s="9"/>
      <c r="E29" s="9">
        <v>6140</v>
      </c>
      <c r="F29" s="9"/>
      <c r="G29" s="9">
        <f t="shared" si="0"/>
        <v>6140</v>
      </c>
      <c r="H29">
        <f t="shared" si="1"/>
        <v>0.59</v>
      </c>
      <c r="I29" s="10">
        <f t="shared" si="2"/>
        <v>2E-3</v>
      </c>
      <c r="J29">
        <f t="shared" si="3"/>
        <v>0.35</v>
      </c>
      <c r="P29">
        <v>4560</v>
      </c>
    </row>
    <row r="30" spans="1:16" x14ac:dyDescent="0.25">
      <c r="A30" t="s">
        <v>20</v>
      </c>
      <c r="B30" t="s">
        <v>34</v>
      </c>
      <c r="C30" s="9"/>
      <c r="D30" s="9">
        <v>1500</v>
      </c>
      <c r="E30" s="9"/>
      <c r="F30" s="9"/>
      <c r="G30" s="9">
        <f t="shared" si="0"/>
        <v>1500</v>
      </c>
      <c r="H30">
        <f t="shared" si="1"/>
        <v>0.14000000000000001</v>
      </c>
      <c r="I30" s="10">
        <f t="shared" si="2"/>
        <v>0</v>
      </c>
      <c r="J30">
        <f t="shared" si="3"/>
        <v>-0.34</v>
      </c>
      <c r="P30">
        <v>2270</v>
      </c>
    </row>
    <row r="31" spans="1:16" x14ac:dyDescent="0.25">
      <c r="A31" t="s">
        <v>20</v>
      </c>
      <c r="B31" t="s">
        <v>35</v>
      </c>
      <c r="C31" s="9"/>
      <c r="D31" s="9"/>
      <c r="E31" s="9">
        <v>9310</v>
      </c>
      <c r="F31" s="9"/>
      <c r="G31" s="9">
        <f t="shared" si="0"/>
        <v>9310</v>
      </c>
      <c r="H31">
        <f t="shared" si="1"/>
        <v>0.89</v>
      </c>
      <c r="I31" s="10">
        <f t="shared" si="2"/>
        <v>2E-3</v>
      </c>
      <c r="J31">
        <f t="shared" si="3"/>
        <v>-0.44</v>
      </c>
      <c r="P31">
        <v>16714</v>
      </c>
    </row>
    <row r="32" spans="1:16" x14ac:dyDescent="0.25">
      <c r="A32" t="s">
        <v>20</v>
      </c>
      <c r="B32" t="s">
        <v>41</v>
      </c>
      <c r="C32" s="9"/>
      <c r="D32" s="9"/>
      <c r="E32" s="9">
        <v>20460</v>
      </c>
      <c r="F32" s="9"/>
      <c r="G32" s="9">
        <f t="shared" si="0"/>
        <v>20460</v>
      </c>
      <c r="H32">
        <f t="shared" si="1"/>
        <v>1.96</v>
      </c>
      <c r="I32" s="10">
        <f t="shared" si="2"/>
        <v>5.0000000000000001E-3</v>
      </c>
      <c r="J32">
        <f t="shared" si="3"/>
        <v>-0.31</v>
      </c>
      <c r="P32">
        <v>29753</v>
      </c>
    </row>
    <row r="33" spans="1:16" x14ac:dyDescent="0.25">
      <c r="A33" t="s">
        <v>20</v>
      </c>
      <c r="B33" t="s">
        <v>36</v>
      </c>
      <c r="C33" s="9"/>
      <c r="D33" s="9"/>
      <c r="E33" s="9">
        <v>42870</v>
      </c>
      <c r="F33" s="9"/>
      <c r="G33" s="9">
        <f t="shared" si="0"/>
        <v>42870</v>
      </c>
      <c r="H33">
        <f t="shared" si="1"/>
        <v>4.0999999999999996</v>
      </c>
      <c r="I33" s="10">
        <f t="shared" si="2"/>
        <v>1.0999999999999999E-2</v>
      </c>
      <c r="J33">
        <f t="shared" si="3"/>
        <v>0</v>
      </c>
      <c r="P33">
        <v>42700</v>
      </c>
    </row>
    <row r="34" spans="1:16" x14ac:dyDescent="0.25">
      <c r="A34" t="s">
        <v>20</v>
      </c>
      <c r="B34" t="s">
        <v>37</v>
      </c>
      <c r="C34" s="9"/>
      <c r="D34" s="9"/>
      <c r="E34" s="9">
        <v>231660</v>
      </c>
      <c r="F34" s="9"/>
      <c r="G34" s="9">
        <f t="shared" si="0"/>
        <v>231660</v>
      </c>
      <c r="H34">
        <f t="shared" si="1"/>
        <v>22.15</v>
      </c>
      <c r="I34" s="10">
        <f t="shared" si="2"/>
        <v>5.7000000000000002E-2</v>
      </c>
      <c r="J34">
        <f t="shared" si="3"/>
        <v>0.15</v>
      </c>
      <c r="P34">
        <v>201660</v>
      </c>
    </row>
    <row r="35" spans="1:16" x14ac:dyDescent="0.25">
      <c r="A35" t="s">
        <v>20</v>
      </c>
      <c r="B35" t="s">
        <v>38</v>
      </c>
      <c r="C35" s="9"/>
      <c r="D35" s="9"/>
      <c r="E35" s="9">
        <v>15930</v>
      </c>
      <c r="F35" s="9"/>
      <c r="G35" s="9">
        <f t="shared" si="0"/>
        <v>15930</v>
      </c>
      <c r="H35">
        <f t="shared" si="1"/>
        <v>1.52</v>
      </c>
      <c r="I35" s="10">
        <f t="shared" si="2"/>
        <v>4.0000000000000001E-3</v>
      </c>
      <c r="J35">
        <f t="shared" si="3"/>
        <v>0.11</v>
      </c>
      <c r="P35">
        <v>14320</v>
      </c>
    </row>
    <row r="36" spans="1:16" x14ac:dyDescent="0.25">
      <c r="A36" t="s">
        <v>20</v>
      </c>
      <c r="B36" t="s">
        <v>39</v>
      </c>
      <c r="C36" s="9"/>
      <c r="D36" s="9"/>
      <c r="E36" s="9">
        <v>55390</v>
      </c>
      <c r="F36" s="9"/>
      <c r="G36" s="9">
        <f t="shared" si="0"/>
        <v>55390</v>
      </c>
      <c r="H36">
        <f t="shared" si="1"/>
        <v>5.29</v>
      </c>
      <c r="I36" s="10">
        <f t="shared" si="2"/>
        <v>1.4E-2</v>
      </c>
      <c r="J36">
        <f t="shared" si="3"/>
        <v>0.11</v>
      </c>
      <c r="P36">
        <v>49960</v>
      </c>
    </row>
    <row r="37" spans="1:16" x14ac:dyDescent="0.25">
      <c r="A37" t="s">
        <v>20</v>
      </c>
      <c r="B37" t="s">
        <v>40</v>
      </c>
      <c r="C37" s="9"/>
      <c r="D37" s="9"/>
      <c r="E37" s="9">
        <v>179830</v>
      </c>
      <c r="F37" s="9">
        <v>2200</v>
      </c>
      <c r="G37" s="9">
        <f t="shared" si="0"/>
        <v>182030</v>
      </c>
      <c r="H37">
        <f t="shared" si="1"/>
        <v>17.399999999999999</v>
      </c>
      <c r="I37" s="10">
        <f t="shared" si="2"/>
        <v>4.4999999999999998E-2</v>
      </c>
      <c r="J37">
        <f t="shared" si="3"/>
        <v>0.17</v>
      </c>
      <c r="P37">
        <v>155040</v>
      </c>
    </row>
    <row r="38" spans="1:16" x14ac:dyDescent="0.25">
      <c r="A38" t="s">
        <v>20</v>
      </c>
      <c r="B38" t="s">
        <v>81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20</v>
      </c>
      <c r="B39" t="s">
        <v>144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J39">
        <f>ROUND(G39/P39-1,2)</f>
        <v>-1</v>
      </c>
      <c r="P39">
        <v>6430</v>
      </c>
    </row>
    <row r="40" spans="1:16" x14ac:dyDescent="0.25">
      <c r="A40" t="s">
        <v>20</v>
      </c>
      <c r="B40" t="s">
        <v>74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20</v>
      </c>
      <c r="B41" t="s">
        <v>136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>ROUND(G41/P41-1,2)</f>
        <v>-1</v>
      </c>
      <c r="P41">
        <v>36150</v>
      </c>
    </row>
    <row r="42" spans="1:16" x14ac:dyDescent="0.25">
      <c r="A42" t="s">
        <v>44</v>
      </c>
      <c r="B42" t="s">
        <v>45</v>
      </c>
      <c r="C42" s="9">
        <v>777700</v>
      </c>
      <c r="D42" s="9"/>
      <c r="E42" s="9"/>
      <c r="F42" s="9">
        <v>3580</v>
      </c>
      <c r="G42" s="9">
        <f t="shared" si="0"/>
        <v>781280</v>
      </c>
      <c r="H42">
        <f t="shared" si="1"/>
        <v>74.69</v>
      </c>
      <c r="I42" s="10">
        <f t="shared" si="2"/>
        <v>0.19400000000000001</v>
      </c>
      <c r="J42">
        <f>ROUND(G42/P42-1,2)</f>
        <v>0.04</v>
      </c>
      <c r="P42">
        <v>748800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56460</v>
      </c>
      <c r="G43" s="9">
        <f t="shared" si="0"/>
        <v>56460</v>
      </c>
      <c r="H43">
        <f t="shared" si="1"/>
        <v>5.4</v>
      </c>
      <c r="I43" s="10">
        <f t="shared" si="2"/>
        <v>1.4E-2</v>
      </c>
      <c r="J43">
        <f>ROUND(G43/P43-1,2)</f>
        <v>-0.54</v>
      </c>
      <c r="P43">
        <v>123350</v>
      </c>
    </row>
    <row r="44" spans="1:16" x14ac:dyDescent="0.25">
      <c r="A44" t="s">
        <v>44</v>
      </c>
      <c r="B44" t="s">
        <v>46</v>
      </c>
      <c r="C44" s="9"/>
      <c r="D44" s="9"/>
      <c r="E44" s="9">
        <v>107480</v>
      </c>
      <c r="F44" s="9"/>
      <c r="G44" s="9">
        <f t="shared" si="0"/>
        <v>107480</v>
      </c>
      <c r="H44">
        <f t="shared" si="1"/>
        <v>10.27</v>
      </c>
      <c r="I44" s="10">
        <f t="shared" si="2"/>
        <v>2.7E-2</v>
      </c>
      <c r="J44">
        <f>ROUND(G44/P44-1,2)</f>
        <v>-0.04</v>
      </c>
      <c r="P44">
        <v>111400</v>
      </c>
    </row>
    <row r="45" spans="1:16" x14ac:dyDescent="0.25">
      <c r="A45" t="s">
        <v>16</v>
      </c>
      <c r="B45" t="s">
        <v>19</v>
      </c>
      <c r="C45" s="9"/>
      <c r="D45" s="9"/>
      <c r="E45" s="9"/>
      <c r="F45" s="9"/>
      <c r="G45" s="9">
        <f t="shared" si="0"/>
        <v>0</v>
      </c>
      <c r="H45">
        <f t="shared" si="1"/>
        <v>0</v>
      </c>
      <c r="I45" s="10">
        <f t="shared" si="2"/>
        <v>0</v>
      </c>
      <c r="P45">
        <v>0</v>
      </c>
    </row>
    <row r="46" spans="1:16" x14ac:dyDescent="0.25">
      <c r="A46" t="s">
        <v>16</v>
      </c>
      <c r="B46" t="s">
        <v>18</v>
      </c>
      <c r="C46" s="9"/>
      <c r="D46" s="9"/>
      <c r="E46" s="9"/>
      <c r="F46" s="9"/>
      <c r="G46" s="9">
        <f t="shared" si="0"/>
        <v>0</v>
      </c>
      <c r="H46">
        <f t="shared" si="1"/>
        <v>0</v>
      </c>
      <c r="I46" s="10">
        <f t="shared" si="2"/>
        <v>0</v>
      </c>
      <c r="J46">
        <f>ROUND(G46/P46-1,2)</f>
        <v>-1</v>
      </c>
      <c r="P46">
        <v>220</v>
      </c>
    </row>
    <row r="47" spans="1:16" x14ac:dyDescent="0.25">
      <c r="A47" t="s">
        <v>16</v>
      </c>
      <c r="B47" t="s">
        <v>78</v>
      </c>
      <c r="C47" s="9"/>
      <c r="D47" s="9"/>
      <c r="E47" s="9"/>
      <c r="F47" s="9"/>
      <c r="G47" s="9">
        <f t="shared" si="0"/>
        <v>0</v>
      </c>
      <c r="H47">
        <f t="shared" si="1"/>
        <v>0</v>
      </c>
      <c r="I47" s="10">
        <f t="shared" si="2"/>
        <v>0</v>
      </c>
      <c r="P47">
        <v>0</v>
      </c>
    </row>
    <row r="48" spans="1:16" x14ac:dyDescent="0.25">
      <c r="A48" t="s">
        <v>16</v>
      </c>
      <c r="B48" t="s">
        <v>132</v>
      </c>
      <c r="C48" s="9"/>
      <c r="D48" s="9"/>
      <c r="E48" s="9"/>
      <c r="F48" s="9"/>
      <c r="G48" s="9">
        <f t="shared" si="0"/>
        <v>0</v>
      </c>
      <c r="H48">
        <f t="shared" si="1"/>
        <v>0</v>
      </c>
      <c r="I48" s="10">
        <f t="shared" si="2"/>
        <v>0</v>
      </c>
      <c r="J48">
        <f>ROUND(G48/P48-1,2)</f>
        <v>-1</v>
      </c>
      <c r="P48">
        <v>11990</v>
      </c>
    </row>
    <row r="49" spans="1:10" x14ac:dyDescent="0.25">
      <c r="A49" s="11" t="s">
        <v>12</v>
      </c>
      <c r="C49" s="12">
        <f t="shared" ref="C49:H49" si="4">SUM(C8:C48)</f>
        <v>2909550</v>
      </c>
      <c r="D49" s="12">
        <f t="shared" si="4"/>
        <v>2728</v>
      </c>
      <c r="E49" s="12">
        <f t="shared" si="4"/>
        <v>1021665</v>
      </c>
      <c r="F49" s="12">
        <f t="shared" si="4"/>
        <v>96946</v>
      </c>
      <c r="G49" s="12">
        <f t="shared" si="4"/>
        <v>4030889</v>
      </c>
      <c r="H49" s="11">
        <f t="shared" si="4"/>
        <v>385.35999999999996</v>
      </c>
      <c r="I49" s="4"/>
    </row>
    <row r="50" spans="1:10" x14ac:dyDescent="0.25">
      <c r="A50" s="11" t="s">
        <v>14</v>
      </c>
      <c r="C50" s="13">
        <f>ROUND(C49/G49,2)</f>
        <v>0.72</v>
      </c>
      <c r="D50" s="13">
        <f>ROUND(D49/G49,2)</f>
        <v>0</v>
      </c>
      <c r="E50" s="13">
        <f>ROUND(E49/G49,2)</f>
        <v>0.25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2131850</v>
      </c>
      <c r="D54" s="15">
        <v>2728</v>
      </c>
      <c r="E54" s="15">
        <v>914185</v>
      </c>
      <c r="F54" s="15">
        <v>36906</v>
      </c>
      <c r="G54" s="15">
        <f>SUM(C54:F54)</f>
        <v>3085669</v>
      </c>
      <c r="H54" s="17">
        <f>ROUND(G54/10461,2)</f>
        <v>294.97000000000003</v>
      </c>
      <c r="I54" s="4"/>
      <c r="J54" s="4"/>
    </row>
    <row r="55" spans="1:10" x14ac:dyDescent="0.25">
      <c r="A55" s="33" t="s">
        <v>50</v>
      </c>
      <c r="B55" s="33"/>
      <c r="C55" s="15">
        <v>777700</v>
      </c>
      <c r="D55" s="15">
        <v>0</v>
      </c>
      <c r="E55" s="15">
        <v>107480</v>
      </c>
      <c r="F55" s="15">
        <v>60040</v>
      </c>
      <c r="G55" s="15">
        <f>SUM(C55:F55)</f>
        <v>945220</v>
      </c>
      <c r="H55" s="17">
        <f>ROUND(G55/10461,2)</f>
        <v>90.36</v>
      </c>
      <c r="I55" s="4"/>
      <c r="J55" s="4"/>
    </row>
    <row r="56" spans="1:10" x14ac:dyDescent="0.25">
      <c r="A56" s="33" t="s">
        <v>51</v>
      </c>
      <c r="B56" s="33"/>
      <c r="C56" s="14">
        <v>0</v>
      </c>
      <c r="D56" s="14">
        <v>0</v>
      </c>
      <c r="E56" s="14">
        <v>0</v>
      </c>
      <c r="F56" s="14">
        <v>0</v>
      </c>
      <c r="G56" s="14">
        <f>SUM(C56:F56)</f>
        <v>0</v>
      </c>
      <c r="H56" s="16">
        <f>ROUND(G56/10461,2)</f>
        <v>0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ROUND(0.7897, 4)</f>
        <v>0.78969999999999996</v>
      </c>
      <c r="D60" s="18">
        <f>ROUND(0.8018, 4)</f>
        <v>0.80179999999999996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ROUND(0.7772, 4)</f>
        <v>0.7772</v>
      </c>
      <c r="D61" s="18">
        <f>ROUND(0.7896, 4)</f>
        <v>0.78959999999999997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145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74.69</v>
      </c>
      <c r="D64" s="16">
        <v>79.27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71.63</v>
      </c>
      <c r="D65" s="16">
        <v>71.930000000000007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296.3</v>
      </c>
      <c r="D66" s="16">
        <v>297.33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90.36</v>
      </c>
      <c r="D67" s="16">
        <v>100.5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P78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146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657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20940</v>
      </c>
      <c r="D9" s="9"/>
      <c r="E9" s="9">
        <v>459.54</v>
      </c>
      <c r="F9" s="9"/>
      <c r="G9" s="9">
        <f t="shared" ref="G9:G32" si="0">SUM(C9:F9)</f>
        <v>21399.54</v>
      </c>
      <c r="H9">
        <f t="shared" ref="H9:H32" si="1">ROUND(G9/657,2)</f>
        <v>32.57</v>
      </c>
      <c r="I9" s="10">
        <f t="shared" ref="I9:I32" si="2">ROUND(G9/$G$49,3)</f>
        <v>0.121</v>
      </c>
      <c r="J9">
        <f>ROUND(G9/P9-1,2)</f>
        <v>0.03</v>
      </c>
      <c r="P9">
        <v>20706.14</v>
      </c>
    </row>
    <row r="10" spans="1:16" x14ac:dyDescent="0.25">
      <c r="A10" t="s">
        <v>20</v>
      </c>
      <c r="B10" t="s">
        <v>22</v>
      </c>
      <c r="C10" s="9">
        <v>22830</v>
      </c>
      <c r="D10" s="9"/>
      <c r="E10" s="9"/>
      <c r="F10" s="9"/>
      <c r="G10" s="9">
        <f t="shared" si="0"/>
        <v>22830</v>
      </c>
      <c r="H10">
        <f t="shared" si="1"/>
        <v>34.75</v>
      </c>
      <c r="I10" s="10">
        <f t="shared" si="2"/>
        <v>0.129</v>
      </c>
      <c r="J10">
        <f>ROUND(G10/P10-1,2)</f>
        <v>0.01</v>
      </c>
      <c r="P10">
        <v>22660</v>
      </c>
    </row>
    <row r="11" spans="1:16" x14ac:dyDescent="0.25">
      <c r="A11" t="s">
        <v>20</v>
      </c>
      <c r="B11" t="s">
        <v>24</v>
      </c>
      <c r="C11" s="9"/>
      <c r="D11" s="9"/>
      <c r="E11" s="9">
        <v>5202.37</v>
      </c>
      <c r="F11" s="9"/>
      <c r="G11" s="9">
        <f t="shared" si="0"/>
        <v>5202.37</v>
      </c>
      <c r="H11">
        <f t="shared" si="1"/>
        <v>7.92</v>
      </c>
      <c r="I11" s="10">
        <f t="shared" si="2"/>
        <v>2.9000000000000001E-2</v>
      </c>
      <c r="J11">
        <f>ROUND(G11/P11-1,2)</f>
        <v>-0.73</v>
      </c>
      <c r="P11">
        <v>19313.830000000002</v>
      </c>
    </row>
    <row r="12" spans="1:16" x14ac:dyDescent="0.25">
      <c r="A12" t="s">
        <v>20</v>
      </c>
      <c r="B12" t="s">
        <v>25</v>
      </c>
      <c r="C12" s="9">
        <v>19610</v>
      </c>
      <c r="D12" s="9"/>
      <c r="E12" s="9">
        <v>1092.97</v>
      </c>
      <c r="F12" s="9"/>
      <c r="G12" s="9">
        <f t="shared" si="0"/>
        <v>20702.97</v>
      </c>
      <c r="H12">
        <f t="shared" si="1"/>
        <v>31.51</v>
      </c>
      <c r="I12" s="10">
        <f t="shared" si="2"/>
        <v>0.11700000000000001</v>
      </c>
      <c r="J12">
        <f>ROUND(G12/P12-1,2)</f>
        <v>0.06</v>
      </c>
      <c r="P12">
        <v>19476.37</v>
      </c>
    </row>
    <row r="13" spans="1:16" x14ac:dyDescent="0.25">
      <c r="A13" t="s">
        <v>20</v>
      </c>
      <c r="B13" t="s">
        <v>26</v>
      </c>
      <c r="C13" s="9">
        <v>22970</v>
      </c>
      <c r="D13" s="9"/>
      <c r="E13" s="9"/>
      <c r="F13" s="9"/>
      <c r="G13" s="9">
        <f t="shared" si="0"/>
        <v>22970</v>
      </c>
      <c r="H13">
        <f t="shared" si="1"/>
        <v>34.96</v>
      </c>
      <c r="I13" s="10">
        <f t="shared" si="2"/>
        <v>0.13</v>
      </c>
      <c r="J13">
        <f>ROUND(G13/P13-1,2)</f>
        <v>0.02</v>
      </c>
      <c r="P13">
        <v>22460</v>
      </c>
    </row>
    <row r="14" spans="1:16" x14ac:dyDescent="0.25">
      <c r="A14" t="s">
        <v>20</v>
      </c>
      <c r="B14" t="s">
        <v>29</v>
      </c>
      <c r="C14" s="9"/>
      <c r="D14" s="9"/>
      <c r="E14" s="9">
        <v>37.24</v>
      </c>
      <c r="F14" s="9"/>
      <c r="G14" s="9">
        <f t="shared" si="0"/>
        <v>37.24</v>
      </c>
      <c r="H14">
        <f t="shared" si="1"/>
        <v>0.06</v>
      </c>
      <c r="I14" s="10">
        <f t="shared" si="2"/>
        <v>0</v>
      </c>
      <c r="P14">
        <v>0</v>
      </c>
    </row>
    <row r="15" spans="1:16" x14ac:dyDescent="0.25">
      <c r="A15" t="s">
        <v>20</v>
      </c>
      <c r="B15" t="s">
        <v>30</v>
      </c>
      <c r="C15" s="9"/>
      <c r="D15" s="9"/>
      <c r="E15" s="9">
        <v>428.57</v>
      </c>
      <c r="F15" s="9"/>
      <c r="G15" s="9">
        <f t="shared" si="0"/>
        <v>428.57</v>
      </c>
      <c r="H15">
        <f t="shared" si="1"/>
        <v>0.65</v>
      </c>
      <c r="I15" s="10">
        <f t="shared" si="2"/>
        <v>2E-3</v>
      </c>
      <c r="J15">
        <f t="shared" ref="J15:J24" si="3">ROUND(G15/P15-1,2)</f>
        <v>-0.6</v>
      </c>
      <c r="P15">
        <v>1068.97</v>
      </c>
    </row>
    <row r="16" spans="1:16" x14ac:dyDescent="0.25">
      <c r="A16" t="s">
        <v>20</v>
      </c>
      <c r="B16" t="s">
        <v>31</v>
      </c>
      <c r="C16" s="9"/>
      <c r="D16" s="9"/>
      <c r="E16" s="9">
        <v>33.619999999999997</v>
      </c>
      <c r="F16" s="9"/>
      <c r="G16" s="9">
        <f t="shared" si="0"/>
        <v>33.619999999999997</v>
      </c>
      <c r="H16">
        <f t="shared" si="1"/>
        <v>0.05</v>
      </c>
      <c r="I16" s="10">
        <f t="shared" si="2"/>
        <v>0</v>
      </c>
      <c r="J16">
        <f t="shared" si="3"/>
        <v>-0.27</v>
      </c>
      <c r="P16">
        <v>46.02</v>
      </c>
    </row>
    <row r="17" spans="1:16" x14ac:dyDescent="0.25">
      <c r="A17" t="s">
        <v>20</v>
      </c>
      <c r="B17" t="s">
        <v>32</v>
      </c>
      <c r="C17" s="9"/>
      <c r="D17" s="9"/>
      <c r="E17" s="9">
        <v>42.86</v>
      </c>
      <c r="F17" s="9"/>
      <c r="G17" s="9">
        <f t="shared" si="0"/>
        <v>42.86</v>
      </c>
      <c r="H17">
        <f t="shared" si="1"/>
        <v>7.0000000000000007E-2</v>
      </c>
      <c r="I17" s="10">
        <f t="shared" si="2"/>
        <v>0</v>
      </c>
      <c r="J17">
        <f t="shared" si="3"/>
        <v>-0.8</v>
      </c>
      <c r="P17">
        <v>210.94</v>
      </c>
    </row>
    <row r="18" spans="1:16" x14ac:dyDescent="0.25">
      <c r="A18" t="s">
        <v>20</v>
      </c>
      <c r="B18" t="s">
        <v>35</v>
      </c>
      <c r="C18" s="9"/>
      <c r="D18" s="9"/>
      <c r="E18" s="9">
        <v>499.69</v>
      </c>
      <c r="F18" s="9"/>
      <c r="G18" s="9">
        <f t="shared" si="0"/>
        <v>499.69</v>
      </c>
      <c r="H18">
        <f t="shared" si="1"/>
        <v>0.76</v>
      </c>
      <c r="I18" s="10">
        <f t="shared" si="2"/>
        <v>3.0000000000000001E-3</v>
      </c>
      <c r="J18">
        <f t="shared" si="3"/>
        <v>-0.02</v>
      </c>
      <c r="P18">
        <v>510.78</v>
      </c>
    </row>
    <row r="19" spans="1:16" x14ac:dyDescent="0.25">
      <c r="A19" t="s">
        <v>20</v>
      </c>
      <c r="B19" t="s">
        <v>36</v>
      </c>
      <c r="C19" s="9"/>
      <c r="D19" s="9"/>
      <c r="E19" s="9">
        <v>58.02</v>
      </c>
      <c r="F19" s="9"/>
      <c r="G19" s="9">
        <f t="shared" si="0"/>
        <v>58.02</v>
      </c>
      <c r="H19">
        <f t="shared" si="1"/>
        <v>0.09</v>
      </c>
      <c r="I19" s="10">
        <f t="shared" si="2"/>
        <v>0</v>
      </c>
      <c r="J19">
        <f t="shared" si="3"/>
        <v>-0.97</v>
      </c>
      <c r="P19">
        <v>2060.5500000000002</v>
      </c>
    </row>
    <row r="20" spans="1:16" x14ac:dyDescent="0.25">
      <c r="A20" t="s">
        <v>20</v>
      </c>
      <c r="B20" t="s">
        <v>37</v>
      </c>
      <c r="C20" s="9"/>
      <c r="D20" s="9"/>
      <c r="E20" s="9">
        <v>6507.65</v>
      </c>
      <c r="F20" s="9"/>
      <c r="G20" s="9">
        <f t="shared" si="0"/>
        <v>6507.65</v>
      </c>
      <c r="H20">
        <f t="shared" si="1"/>
        <v>9.91</v>
      </c>
      <c r="I20" s="10">
        <f t="shared" si="2"/>
        <v>3.6999999999999998E-2</v>
      </c>
      <c r="J20">
        <f t="shared" si="3"/>
        <v>-0.47</v>
      </c>
      <c r="P20">
        <v>12178.53</v>
      </c>
    </row>
    <row r="21" spans="1:16" x14ac:dyDescent="0.25">
      <c r="A21" t="s">
        <v>20</v>
      </c>
      <c r="B21" t="s">
        <v>39</v>
      </c>
      <c r="C21" s="9"/>
      <c r="D21" s="9"/>
      <c r="E21" s="9">
        <v>2866.29</v>
      </c>
      <c r="F21" s="9"/>
      <c r="G21" s="9">
        <f t="shared" si="0"/>
        <v>2866.29</v>
      </c>
      <c r="H21">
        <f t="shared" si="1"/>
        <v>4.3600000000000003</v>
      </c>
      <c r="I21" s="10">
        <f t="shared" si="2"/>
        <v>1.6E-2</v>
      </c>
      <c r="J21">
        <f t="shared" si="3"/>
        <v>-0.56999999999999995</v>
      </c>
      <c r="P21">
        <v>6740.63</v>
      </c>
    </row>
    <row r="22" spans="1:16" x14ac:dyDescent="0.25">
      <c r="A22" t="s">
        <v>20</v>
      </c>
      <c r="B22" t="s">
        <v>40</v>
      </c>
      <c r="C22" s="9"/>
      <c r="D22" s="9"/>
      <c r="E22" s="9">
        <v>730.07</v>
      </c>
      <c r="F22" s="9"/>
      <c r="G22" s="9">
        <f t="shared" si="0"/>
        <v>730.07</v>
      </c>
      <c r="H22">
        <f t="shared" si="1"/>
        <v>1.1100000000000001</v>
      </c>
      <c r="I22" s="10">
        <f t="shared" si="2"/>
        <v>4.0000000000000001E-3</v>
      </c>
      <c r="J22">
        <f t="shared" si="3"/>
        <v>-0.19</v>
      </c>
      <c r="P22">
        <v>899.64</v>
      </c>
    </row>
    <row r="23" spans="1:16" x14ac:dyDescent="0.25">
      <c r="A23" t="s">
        <v>20</v>
      </c>
      <c r="B23" t="s">
        <v>42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J23">
        <f t="shared" si="3"/>
        <v>-1</v>
      </c>
      <c r="P23">
        <v>42.5</v>
      </c>
    </row>
    <row r="24" spans="1:16" x14ac:dyDescent="0.25">
      <c r="A24" t="s">
        <v>20</v>
      </c>
      <c r="B24" t="s">
        <v>23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J24">
        <f t="shared" si="3"/>
        <v>-1</v>
      </c>
      <c r="P24">
        <v>540</v>
      </c>
    </row>
    <row r="25" spans="1:16" x14ac:dyDescent="0.25">
      <c r="A25" t="s">
        <v>20</v>
      </c>
      <c r="B25" t="s">
        <v>33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43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68640</v>
      </c>
      <c r="D29" s="9"/>
      <c r="E29" s="9"/>
      <c r="F29" s="9">
        <v>340</v>
      </c>
      <c r="G29" s="9">
        <f t="shared" si="0"/>
        <v>68980</v>
      </c>
      <c r="H29">
        <f t="shared" si="1"/>
        <v>104.99</v>
      </c>
      <c r="I29" s="10">
        <f t="shared" si="2"/>
        <v>0.39</v>
      </c>
      <c r="J29">
        <f>ROUND(G29/P29-1,2)</f>
        <v>0.23</v>
      </c>
      <c r="P29">
        <v>56030</v>
      </c>
    </row>
    <row r="30" spans="1:16" x14ac:dyDescent="0.25">
      <c r="A30" t="s">
        <v>44</v>
      </c>
      <c r="B30" t="s">
        <v>46</v>
      </c>
      <c r="C30" s="9"/>
      <c r="D30" s="9"/>
      <c r="E30" s="9">
        <v>3473.55</v>
      </c>
      <c r="F30" s="9"/>
      <c r="G30" s="9">
        <f t="shared" si="0"/>
        <v>3473.55</v>
      </c>
      <c r="H30">
        <f t="shared" si="1"/>
        <v>5.29</v>
      </c>
      <c r="I30" s="10">
        <f t="shared" si="2"/>
        <v>0.02</v>
      </c>
      <c r="J30">
        <f>ROUND(G30/P30-1,2)</f>
        <v>-0.62</v>
      </c>
      <c r="P30">
        <v>9230.48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>ROUND(G32/P32-1,2)</f>
        <v>-1</v>
      </c>
      <c r="P32">
        <v>6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154990</v>
      </c>
      <c r="D49" s="12">
        <f t="shared" si="4"/>
        <v>0</v>
      </c>
      <c r="E49" s="12">
        <f t="shared" si="4"/>
        <v>21432.44</v>
      </c>
      <c r="F49" s="12">
        <f t="shared" si="4"/>
        <v>340</v>
      </c>
      <c r="G49" s="12">
        <f t="shared" si="4"/>
        <v>176762.44</v>
      </c>
      <c r="H49" s="11">
        <f t="shared" si="4"/>
        <v>269.05000000000007</v>
      </c>
      <c r="I49" s="4"/>
    </row>
    <row r="50" spans="1:10" x14ac:dyDescent="0.25">
      <c r="A50" s="11" t="s">
        <v>14</v>
      </c>
      <c r="C50" s="13">
        <f>ROUND(C49/G49,2)</f>
        <v>0.88</v>
      </c>
      <c r="D50" s="13">
        <f>ROUND(D49/G49,2)</f>
        <v>0</v>
      </c>
      <c r="E50" s="13">
        <f>ROUND(E49/G49,2)</f>
        <v>0.12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86350</v>
      </c>
      <c r="D54" s="15">
        <v>0</v>
      </c>
      <c r="E54" s="15">
        <v>17958.89</v>
      </c>
      <c r="F54" s="15">
        <v>0</v>
      </c>
      <c r="G54" s="15">
        <f>SUM(C54:F54)</f>
        <v>104308.89</v>
      </c>
      <c r="H54" s="17">
        <f>ROUND(G54/657,2)</f>
        <v>158.77000000000001</v>
      </c>
      <c r="I54" s="4"/>
      <c r="J54" s="4"/>
    </row>
    <row r="55" spans="1:10" x14ac:dyDescent="0.25">
      <c r="A55" s="33" t="s">
        <v>50</v>
      </c>
      <c r="B55" s="33"/>
      <c r="C55" s="15">
        <v>68640</v>
      </c>
      <c r="D55" s="15">
        <v>0</v>
      </c>
      <c r="E55" s="15">
        <v>3473.55</v>
      </c>
      <c r="F55" s="15">
        <v>340</v>
      </c>
      <c r="G55" s="15">
        <f>SUM(C55:F55)</f>
        <v>72453.55</v>
      </c>
      <c r="H55" s="17">
        <f>ROUND(G55/657,2)</f>
        <v>110.28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ROUND(G56/657,2)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ROUND(0.5958, 4)</f>
        <v>0.5958</v>
      </c>
      <c r="D60" s="19">
        <f>ROUND(0.673, 4)</f>
        <v>0.67300000000000004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ROUND(0.5494, 4)</f>
        <v>0.5494</v>
      </c>
      <c r="D61" s="19">
        <f>ROUND(0.6287, 4)</f>
        <v>0.62870000000000004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147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104.99</v>
      </c>
      <c r="D64" s="17">
        <v>92.5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34.96</v>
      </c>
      <c r="D65" s="17">
        <v>35.74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158.77000000000001</v>
      </c>
      <c r="D66" s="17">
        <v>185.61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110.28</v>
      </c>
      <c r="D67" s="17">
        <v>104.81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E81AD-6775-4862-A36C-2906DCC789D8}">
  <dimension ref="A2:P77"/>
  <sheetViews>
    <sheetView workbookViewId="0"/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63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909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27340</v>
      </c>
      <c r="D9" s="9"/>
      <c r="E9" s="9">
        <v>137.94999999999999</v>
      </c>
      <c r="F9" s="9"/>
      <c r="G9" s="9">
        <f t="shared" ref="G9:G32" si="0">SUM(C9:F9)</f>
        <v>27477.95</v>
      </c>
      <c r="H9">
        <f t="shared" ref="H9:H32" si="1">ROUND(G9/909,2)</f>
        <v>30.23</v>
      </c>
      <c r="I9" s="10">
        <f t="shared" ref="I9:I32" si="2">ROUND(G9/$G$49,3)</f>
        <v>0.109</v>
      </c>
      <c r="J9">
        <f t="shared" ref="J9:J14" si="3">ROUND(G9/P9-1,2)</f>
        <v>-0.1</v>
      </c>
      <c r="P9">
        <v>30538.27</v>
      </c>
    </row>
    <row r="10" spans="1:16" x14ac:dyDescent="0.25">
      <c r="A10" t="s">
        <v>20</v>
      </c>
      <c r="B10" t="s">
        <v>22</v>
      </c>
      <c r="C10" s="9">
        <v>40520</v>
      </c>
      <c r="D10" s="9"/>
      <c r="E10" s="9"/>
      <c r="F10" s="9"/>
      <c r="G10" s="9">
        <f t="shared" si="0"/>
        <v>40520</v>
      </c>
      <c r="H10">
        <f t="shared" si="1"/>
        <v>44.58</v>
      </c>
      <c r="I10" s="10">
        <f t="shared" si="2"/>
        <v>0.16</v>
      </c>
      <c r="J10">
        <f t="shared" si="3"/>
        <v>-0.01</v>
      </c>
      <c r="P10">
        <v>40965</v>
      </c>
    </row>
    <row r="11" spans="1:16" x14ac:dyDescent="0.25">
      <c r="A11" t="s">
        <v>20</v>
      </c>
      <c r="B11" t="s">
        <v>42</v>
      </c>
      <c r="C11" s="9"/>
      <c r="D11" s="9"/>
      <c r="E11" s="9">
        <v>70</v>
      </c>
      <c r="F11" s="9"/>
      <c r="G11" s="9">
        <f t="shared" si="0"/>
        <v>70</v>
      </c>
      <c r="H11">
        <f t="shared" si="1"/>
        <v>0.08</v>
      </c>
      <c r="I11" s="10">
        <f t="shared" si="2"/>
        <v>0</v>
      </c>
      <c r="J11">
        <f t="shared" si="3"/>
        <v>-0.18</v>
      </c>
      <c r="P11">
        <v>85</v>
      </c>
    </row>
    <row r="12" spans="1:16" x14ac:dyDescent="0.25">
      <c r="A12" t="s">
        <v>20</v>
      </c>
      <c r="B12" t="s">
        <v>24</v>
      </c>
      <c r="C12" s="9"/>
      <c r="D12" s="9"/>
      <c r="E12" s="9">
        <v>3630.85</v>
      </c>
      <c r="F12" s="9"/>
      <c r="G12" s="9">
        <f t="shared" si="0"/>
        <v>3630.85</v>
      </c>
      <c r="H12">
        <f t="shared" si="1"/>
        <v>3.99</v>
      </c>
      <c r="I12" s="10">
        <f t="shared" si="2"/>
        <v>1.4E-2</v>
      </c>
      <c r="J12">
        <f t="shared" si="3"/>
        <v>-0.49</v>
      </c>
      <c r="P12">
        <v>7170.95</v>
      </c>
    </row>
    <row r="13" spans="1:16" x14ac:dyDescent="0.25">
      <c r="A13" t="s">
        <v>20</v>
      </c>
      <c r="B13" t="s">
        <v>25</v>
      </c>
      <c r="C13" s="9">
        <v>35970</v>
      </c>
      <c r="D13" s="9"/>
      <c r="E13" s="9">
        <v>579</v>
      </c>
      <c r="F13" s="9"/>
      <c r="G13" s="9">
        <f t="shared" si="0"/>
        <v>36549</v>
      </c>
      <c r="H13">
        <f t="shared" si="1"/>
        <v>40.21</v>
      </c>
      <c r="I13" s="10">
        <f t="shared" si="2"/>
        <v>0.14499999999999999</v>
      </c>
      <c r="J13">
        <f t="shared" si="3"/>
        <v>0.01</v>
      </c>
      <c r="P13">
        <v>36309.49</v>
      </c>
    </row>
    <row r="14" spans="1:16" x14ac:dyDescent="0.25">
      <c r="A14" t="s">
        <v>20</v>
      </c>
      <c r="B14" t="s">
        <v>26</v>
      </c>
      <c r="C14" s="9">
        <v>29800</v>
      </c>
      <c r="D14" s="9"/>
      <c r="E14" s="9"/>
      <c r="F14" s="9">
        <v>200</v>
      </c>
      <c r="G14" s="9">
        <f t="shared" si="0"/>
        <v>30000</v>
      </c>
      <c r="H14">
        <f t="shared" si="1"/>
        <v>33</v>
      </c>
      <c r="I14" s="10">
        <f t="shared" si="2"/>
        <v>0.11899999999999999</v>
      </c>
      <c r="J14">
        <f t="shared" si="3"/>
        <v>-0.3</v>
      </c>
      <c r="P14">
        <v>42870</v>
      </c>
    </row>
    <row r="15" spans="1:16" x14ac:dyDescent="0.25">
      <c r="A15" t="s">
        <v>20</v>
      </c>
      <c r="B15" t="s">
        <v>29</v>
      </c>
      <c r="C15" s="9"/>
      <c r="D15" s="9"/>
      <c r="E15" s="9">
        <v>7.45</v>
      </c>
      <c r="F15" s="9"/>
      <c r="G15" s="9">
        <f t="shared" si="0"/>
        <v>7.45</v>
      </c>
      <c r="H15">
        <f t="shared" si="1"/>
        <v>0.01</v>
      </c>
      <c r="I15" s="10">
        <f t="shared" si="2"/>
        <v>0</v>
      </c>
      <c r="P15">
        <v>0</v>
      </c>
    </row>
    <row r="16" spans="1:16" x14ac:dyDescent="0.25">
      <c r="A16" t="s">
        <v>20</v>
      </c>
      <c r="B16" t="s">
        <v>30</v>
      </c>
      <c r="C16" s="9"/>
      <c r="D16" s="9"/>
      <c r="E16" s="9">
        <v>476.07</v>
      </c>
      <c r="F16" s="9"/>
      <c r="G16" s="9">
        <f t="shared" si="0"/>
        <v>476.07</v>
      </c>
      <c r="H16">
        <f t="shared" si="1"/>
        <v>0.52</v>
      </c>
      <c r="I16" s="10">
        <f t="shared" si="2"/>
        <v>2E-3</v>
      </c>
      <c r="J16">
        <f t="shared" ref="J16:J25" si="4">ROUND(G16/P16-1,2)</f>
        <v>-0.72</v>
      </c>
      <c r="P16">
        <v>1698.47</v>
      </c>
    </row>
    <row r="17" spans="1:16" x14ac:dyDescent="0.25">
      <c r="A17" t="s">
        <v>20</v>
      </c>
      <c r="B17" t="s">
        <v>31</v>
      </c>
      <c r="C17" s="9"/>
      <c r="D17" s="9"/>
      <c r="E17" s="9">
        <v>125.79</v>
      </c>
      <c r="F17" s="9"/>
      <c r="G17" s="9">
        <f t="shared" si="0"/>
        <v>125.79</v>
      </c>
      <c r="H17">
        <f t="shared" si="1"/>
        <v>0.14000000000000001</v>
      </c>
      <c r="I17" s="10">
        <f t="shared" si="2"/>
        <v>0</v>
      </c>
      <c r="J17">
        <f t="shared" si="4"/>
        <v>-0.2</v>
      </c>
      <c r="P17">
        <v>156.47</v>
      </c>
    </row>
    <row r="18" spans="1:16" x14ac:dyDescent="0.25">
      <c r="A18" t="s">
        <v>20</v>
      </c>
      <c r="B18" t="s">
        <v>35</v>
      </c>
      <c r="C18" s="9"/>
      <c r="D18" s="9"/>
      <c r="E18" s="9">
        <v>644.55999999999995</v>
      </c>
      <c r="F18" s="9"/>
      <c r="G18" s="9">
        <f t="shared" si="0"/>
        <v>644.55999999999995</v>
      </c>
      <c r="H18">
        <f t="shared" si="1"/>
        <v>0.71</v>
      </c>
      <c r="I18" s="10">
        <f t="shared" si="2"/>
        <v>3.0000000000000001E-3</v>
      </c>
      <c r="J18">
        <f t="shared" si="4"/>
        <v>-0.76</v>
      </c>
      <c r="P18">
        <v>2717.83</v>
      </c>
    </row>
    <row r="19" spans="1:16" x14ac:dyDescent="0.25">
      <c r="A19" t="s">
        <v>20</v>
      </c>
      <c r="B19" t="s">
        <v>36</v>
      </c>
      <c r="C19" s="9"/>
      <c r="D19" s="9"/>
      <c r="E19" s="9">
        <v>208.86</v>
      </c>
      <c r="F19" s="9"/>
      <c r="G19" s="9">
        <f t="shared" si="0"/>
        <v>208.86</v>
      </c>
      <c r="H19">
        <f t="shared" si="1"/>
        <v>0.23</v>
      </c>
      <c r="I19" s="10">
        <f t="shared" si="2"/>
        <v>1E-3</v>
      </c>
      <c r="J19">
        <f t="shared" si="4"/>
        <v>-0.9</v>
      </c>
      <c r="P19">
        <v>2091.46</v>
      </c>
    </row>
    <row r="20" spans="1:16" x14ac:dyDescent="0.25">
      <c r="A20" t="s">
        <v>20</v>
      </c>
      <c r="B20" t="s">
        <v>37</v>
      </c>
      <c r="C20" s="9"/>
      <c r="D20" s="9"/>
      <c r="E20" s="9">
        <v>7140.94</v>
      </c>
      <c r="F20" s="9"/>
      <c r="G20" s="9">
        <f t="shared" si="0"/>
        <v>7140.94</v>
      </c>
      <c r="H20">
        <f t="shared" si="1"/>
        <v>7.86</v>
      </c>
      <c r="I20" s="10">
        <f t="shared" si="2"/>
        <v>2.8000000000000001E-2</v>
      </c>
      <c r="J20">
        <f t="shared" si="4"/>
        <v>-0.27</v>
      </c>
      <c r="P20">
        <v>9728.18</v>
      </c>
    </row>
    <row r="21" spans="1:16" x14ac:dyDescent="0.25">
      <c r="A21" t="s">
        <v>20</v>
      </c>
      <c r="B21" t="s">
        <v>39</v>
      </c>
      <c r="C21" s="9"/>
      <c r="D21" s="9"/>
      <c r="E21" s="9">
        <v>3408.69</v>
      </c>
      <c r="F21" s="9"/>
      <c r="G21" s="9">
        <f t="shared" si="0"/>
        <v>3408.69</v>
      </c>
      <c r="H21">
        <f t="shared" si="1"/>
        <v>3.75</v>
      </c>
      <c r="I21" s="10">
        <f t="shared" si="2"/>
        <v>1.2999999999999999E-2</v>
      </c>
      <c r="J21">
        <f t="shared" si="4"/>
        <v>-0.16</v>
      </c>
      <c r="P21">
        <v>4037.14</v>
      </c>
    </row>
    <row r="22" spans="1:16" x14ac:dyDescent="0.25">
      <c r="A22" t="s">
        <v>20</v>
      </c>
      <c r="B22" t="s">
        <v>40</v>
      </c>
      <c r="C22" s="9"/>
      <c r="D22" s="9"/>
      <c r="E22" s="9">
        <v>332.4</v>
      </c>
      <c r="F22" s="9"/>
      <c r="G22" s="9">
        <f t="shared" si="0"/>
        <v>332.4</v>
      </c>
      <c r="H22">
        <f t="shared" si="1"/>
        <v>0.37</v>
      </c>
      <c r="I22" s="10">
        <f t="shared" si="2"/>
        <v>1E-3</v>
      </c>
      <c r="J22">
        <f t="shared" si="4"/>
        <v>0.04</v>
      </c>
      <c r="P22">
        <v>319.10000000000002</v>
      </c>
    </row>
    <row r="23" spans="1:16" x14ac:dyDescent="0.25">
      <c r="A23" t="s">
        <v>20</v>
      </c>
      <c r="B23" t="s">
        <v>32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J23">
        <f t="shared" si="4"/>
        <v>-1</v>
      </c>
      <c r="P23">
        <v>213.88</v>
      </c>
    </row>
    <row r="24" spans="1:16" x14ac:dyDescent="0.25">
      <c r="A24" t="s">
        <v>20</v>
      </c>
      <c r="B24" t="s">
        <v>33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J24">
        <f t="shared" si="4"/>
        <v>-1</v>
      </c>
      <c r="P24">
        <v>46.67</v>
      </c>
    </row>
    <row r="25" spans="1:16" x14ac:dyDescent="0.25">
      <c r="A25" t="s">
        <v>20</v>
      </c>
      <c r="B25" t="s">
        <v>23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J25">
        <f t="shared" si="4"/>
        <v>-1</v>
      </c>
      <c r="P25">
        <v>360</v>
      </c>
    </row>
    <row r="26" spans="1:16" x14ac:dyDescent="0.25">
      <c r="A26" t="s">
        <v>20</v>
      </c>
      <c r="B26" t="s">
        <v>43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97870</v>
      </c>
      <c r="D29" s="9"/>
      <c r="E29" s="9"/>
      <c r="F29" s="9">
        <v>540</v>
      </c>
      <c r="G29" s="9">
        <f t="shared" si="0"/>
        <v>98410</v>
      </c>
      <c r="H29">
        <f t="shared" si="1"/>
        <v>108.26</v>
      </c>
      <c r="I29" s="10">
        <f t="shared" si="2"/>
        <v>0.39</v>
      </c>
      <c r="J29">
        <f>ROUND(G29/P29-1,2)</f>
        <v>-0.18</v>
      </c>
      <c r="P29">
        <v>119330</v>
      </c>
    </row>
    <row r="30" spans="1:16" x14ac:dyDescent="0.25">
      <c r="A30" t="s">
        <v>44</v>
      </c>
      <c r="B30" t="s">
        <v>46</v>
      </c>
      <c r="C30" s="9"/>
      <c r="D30" s="9"/>
      <c r="E30" s="9">
        <v>3603.44</v>
      </c>
      <c r="F30" s="9"/>
      <c r="G30" s="9">
        <f t="shared" si="0"/>
        <v>3603.44</v>
      </c>
      <c r="H30">
        <f t="shared" si="1"/>
        <v>3.96</v>
      </c>
      <c r="I30" s="10">
        <f t="shared" si="2"/>
        <v>1.4E-2</v>
      </c>
      <c r="J30">
        <f>ROUND(G30/P30-1,2)</f>
        <v>-0.49</v>
      </c>
      <c r="P30">
        <v>7052.77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SUM(C8:C32)</f>
        <v>231500</v>
      </c>
      <c r="D49" s="12">
        <f t="shared" si="5"/>
        <v>0</v>
      </c>
      <c r="E49" s="12">
        <f t="shared" si="5"/>
        <v>20365.999999999996</v>
      </c>
      <c r="F49" s="12">
        <f t="shared" si="5"/>
        <v>740</v>
      </c>
      <c r="G49" s="12">
        <f t="shared" si="5"/>
        <v>252606</v>
      </c>
      <c r="H49" s="11">
        <f t="shared" si="5"/>
        <v>277.89999999999998</v>
      </c>
      <c r="I49" s="4"/>
    </row>
    <row r="50" spans="1:10" x14ac:dyDescent="0.25">
      <c r="A50" s="11" t="s">
        <v>14</v>
      </c>
      <c r="C50" s="13">
        <f>ROUND(C49/G49,2)</f>
        <v>0.92</v>
      </c>
      <c r="D50" s="13">
        <f>ROUND(D49/G49,2)</f>
        <v>0</v>
      </c>
      <c r="E50" s="13">
        <f>ROUND(E49/G49,2)</f>
        <v>0.08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133630</v>
      </c>
      <c r="D54" s="15">
        <v>0</v>
      </c>
      <c r="E54" s="15">
        <v>16762.560000000001</v>
      </c>
      <c r="F54" s="15">
        <v>200</v>
      </c>
      <c r="G54" s="15">
        <f>SUM(C54:F54)</f>
        <v>150592.56</v>
      </c>
      <c r="H54" s="17">
        <f>ROUND(G54/909,2)</f>
        <v>165.67</v>
      </c>
      <c r="I54" s="4"/>
      <c r="J54" s="4"/>
    </row>
    <row r="55" spans="1:10" x14ac:dyDescent="0.25">
      <c r="A55" s="33" t="s">
        <v>50</v>
      </c>
      <c r="B55" s="33"/>
      <c r="C55" s="15">
        <v>97870</v>
      </c>
      <c r="D55" s="15">
        <v>0</v>
      </c>
      <c r="E55" s="15">
        <v>3603.44</v>
      </c>
      <c r="F55" s="15">
        <v>540</v>
      </c>
      <c r="G55" s="15">
        <f>SUM(C55:F55)</f>
        <v>102013.44</v>
      </c>
      <c r="H55" s="17">
        <f>ROUND(G55/909,2)</f>
        <v>112.23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ROUND(G56/909,2)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ROUND(0.6032, 4)</f>
        <v>0.60319999999999996</v>
      </c>
      <c r="D60" s="19">
        <f>ROUND(0.5973, 4)</f>
        <v>0.59730000000000005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ROUND(0.5622, 4)</f>
        <v>0.56220000000000003</v>
      </c>
      <c r="D61" s="19">
        <f>ROUND(0.5591, 4)</f>
        <v>0.55910000000000004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64</v>
      </c>
      <c r="E63" s="2" t="s">
        <v>57</v>
      </c>
      <c r="F63" s="2" t="s">
        <v>58</v>
      </c>
      <c r="G63" s="3"/>
      <c r="H63" s="1"/>
      <c r="I63" s="1"/>
      <c r="J63" s="1"/>
    </row>
    <row r="64" spans="1:10" x14ac:dyDescent="0.25">
      <c r="A64" s="32" t="s">
        <v>59</v>
      </c>
      <c r="B64" s="32"/>
      <c r="C64" s="16">
        <v>108.26</v>
      </c>
      <c r="D64" s="16">
        <v>113.59</v>
      </c>
      <c r="E64" s="16">
        <v>91.53</v>
      </c>
      <c r="F64" s="16">
        <v>56.73</v>
      </c>
      <c r="G64" s="3"/>
    </row>
    <row r="65" spans="1:10" x14ac:dyDescent="0.25">
      <c r="A65" s="32" t="s">
        <v>60</v>
      </c>
      <c r="B65" s="32"/>
      <c r="C65" s="16">
        <v>33</v>
      </c>
      <c r="D65" s="16">
        <v>45.18</v>
      </c>
      <c r="E65" s="16">
        <v>63.89</v>
      </c>
      <c r="F65" s="16">
        <v>64.47</v>
      </c>
      <c r="G65" s="3"/>
    </row>
    <row r="66" spans="1:10" x14ac:dyDescent="0.25">
      <c r="A66" s="32" t="s">
        <v>61</v>
      </c>
      <c r="B66" s="32"/>
      <c r="C66" s="16">
        <v>165.67</v>
      </c>
      <c r="D66" s="16">
        <v>194.16</v>
      </c>
      <c r="E66" s="16">
        <v>291.85000000000002</v>
      </c>
      <c r="F66" s="16">
        <v>285.41000000000003</v>
      </c>
      <c r="G66" s="3"/>
    </row>
    <row r="67" spans="1:10" x14ac:dyDescent="0.25">
      <c r="A67" s="32" t="s">
        <v>62</v>
      </c>
      <c r="B67" s="32"/>
      <c r="C67" s="16">
        <v>112.23</v>
      </c>
      <c r="D67" s="16">
        <v>120.61</v>
      </c>
      <c r="E67" s="16">
        <v>115.16</v>
      </c>
      <c r="F67" s="16">
        <v>80.39</v>
      </c>
      <c r="G67" s="3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</sheetData>
  <mergeCells count="12">
    <mergeCell ref="A67:B67"/>
    <mergeCell ref="A56:B56"/>
    <mergeCell ref="A59:B59"/>
    <mergeCell ref="A60:B60"/>
    <mergeCell ref="A61:B61"/>
    <mergeCell ref="A63:B63"/>
    <mergeCell ref="A64:B64"/>
    <mergeCell ref="A53:B53"/>
    <mergeCell ref="A54:B54"/>
    <mergeCell ref="A55:B55"/>
    <mergeCell ref="A65:B65"/>
    <mergeCell ref="A66:B6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148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3623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57</v>
      </c>
      <c r="F9" s="9"/>
      <c r="G9" s="9">
        <f t="shared" ref="G9:G43" si="0">SUM(C9:F9)</f>
        <v>57</v>
      </c>
      <c r="H9">
        <f t="shared" ref="H9:H43" si="1">ROUND(G9/3623,2)</f>
        <v>0.02</v>
      </c>
      <c r="I9" s="10">
        <f t="shared" ref="I9:I43" si="2">ROUND(G9/$G$49,3)</f>
        <v>0</v>
      </c>
      <c r="J9">
        <f t="shared" ref="J9:J20" si="3">ROUND(G9/P9-1,2)</f>
        <v>0.14000000000000001</v>
      </c>
      <c r="P9">
        <v>50</v>
      </c>
    </row>
    <row r="10" spans="1:16" x14ac:dyDescent="0.25">
      <c r="A10" t="s">
        <v>20</v>
      </c>
      <c r="B10" t="s">
        <v>21</v>
      </c>
      <c r="C10" s="9">
        <v>113160</v>
      </c>
      <c r="D10" s="9"/>
      <c r="E10" s="9">
        <v>3150</v>
      </c>
      <c r="F10" s="9">
        <v>180</v>
      </c>
      <c r="G10" s="9">
        <f t="shared" si="0"/>
        <v>116490</v>
      </c>
      <c r="H10">
        <f t="shared" si="1"/>
        <v>32.15</v>
      </c>
      <c r="I10" s="10">
        <f t="shared" si="2"/>
        <v>0.11</v>
      </c>
      <c r="J10">
        <f t="shared" si="3"/>
        <v>0.04</v>
      </c>
      <c r="P10">
        <v>112500</v>
      </c>
    </row>
    <row r="11" spans="1:16" x14ac:dyDescent="0.25">
      <c r="A11" t="s">
        <v>20</v>
      </c>
      <c r="B11" t="s">
        <v>22</v>
      </c>
      <c r="C11" s="9">
        <v>129980</v>
      </c>
      <c r="D11" s="9"/>
      <c r="E11" s="9"/>
      <c r="F11" s="9"/>
      <c r="G11" s="9">
        <f t="shared" si="0"/>
        <v>129980</v>
      </c>
      <c r="H11">
        <f t="shared" si="1"/>
        <v>35.880000000000003</v>
      </c>
      <c r="I11" s="10">
        <f t="shared" si="2"/>
        <v>0.123</v>
      </c>
      <c r="J11">
        <f t="shared" si="3"/>
        <v>-0.04</v>
      </c>
      <c r="P11">
        <v>135660</v>
      </c>
    </row>
    <row r="12" spans="1:16" x14ac:dyDescent="0.25">
      <c r="A12" t="s">
        <v>20</v>
      </c>
      <c r="B12" t="s">
        <v>79</v>
      </c>
      <c r="C12" s="9"/>
      <c r="D12" s="9"/>
      <c r="E12" s="9">
        <v>102</v>
      </c>
      <c r="F12" s="9"/>
      <c r="G12" s="9">
        <f t="shared" si="0"/>
        <v>102</v>
      </c>
      <c r="H12">
        <f t="shared" si="1"/>
        <v>0.03</v>
      </c>
      <c r="I12" s="10">
        <f t="shared" si="2"/>
        <v>0</v>
      </c>
      <c r="J12">
        <f t="shared" si="3"/>
        <v>-0.01</v>
      </c>
      <c r="P12">
        <v>103</v>
      </c>
    </row>
    <row r="13" spans="1:16" x14ac:dyDescent="0.25">
      <c r="A13" t="s">
        <v>20</v>
      </c>
      <c r="B13" t="s">
        <v>42</v>
      </c>
      <c r="C13" s="9"/>
      <c r="D13" s="9"/>
      <c r="E13" s="9">
        <v>316</v>
      </c>
      <c r="F13" s="9"/>
      <c r="G13" s="9">
        <f t="shared" si="0"/>
        <v>316</v>
      </c>
      <c r="H13">
        <f t="shared" si="1"/>
        <v>0.09</v>
      </c>
      <c r="I13" s="10">
        <f t="shared" si="2"/>
        <v>0</v>
      </c>
      <c r="J13">
        <f t="shared" si="3"/>
        <v>-0.24</v>
      </c>
      <c r="P13">
        <v>418</v>
      </c>
    </row>
    <row r="14" spans="1:16" x14ac:dyDescent="0.25">
      <c r="A14" t="s">
        <v>20</v>
      </c>
      <c r="B14" t="s">
        <v>23</v>
      </c>
      <c r="C14" s="9"/>
      <c r="D14" s="9"/>
      <c r="E14" s="9">
        <v>2260</v>
      </c>
      <c r="F14" s="9"/>
      <c r="G14" s="9">
        <f t="shared" si="0"/>
        <v>2260</v>
      </c>
      <c r="H14">
        <f t="shared" si="1"/>
        <v>0.62</v>
      </c>
      <c r="I14" s="10">
        <f t="shared" si="2"/>
        <v>2E-3</v>
      </c>
      <c r="J14">
        <f t="shared" si="3"/>
        <v>1.19</v>
      </c>
      <c r="P14">
        <v>1030</v>
      </c>
    </row>
    <row r="15" spans="1:16" x14ac:dyDescent="0.25">
      <c r="A15" t="s">
        <v>20</v>
      </c>
      <c r="B15" t="s">
        <v>24</v>
      </c>
      <c r="C15" s="9"/>
      <c r="D15" s="9"/>
      <c r="E15" s="9">
        <v>20940</v>
      </c>
      <c r="F15" s="9"/>
      <c r="G15" s="9">
        <f t="shared" si="0"/>
        <v>20940</v>
      </c>
      <c r="H15">
        <f t="shared" si="1"/>
        <v>5.78</v>
      </c>
      <c r="I15" s="10">
        <f t="shared" si="2"/>
        <v>0.02</v>
      </c>
      <c r="J15">
        <f t="shared" si="3"/>
        <v>-0.66</v>
      </c>
      <c r="P15">
        <v>60815</v>
      </c>
    </row>
    <row r="16" spans="1:16" x14ac:dyDescent="0.25">
      <c r="A16" t="s">
        <v>20</v>
      </c>
      <c r="B16" t="s">
        <v>25</v>
      </c>
      <c r="C16" s="9">
        <v>168200</v>
      </c>
      <c r="D16" s="9"/>
      <c r="E16" s="9">
        <v>10860</v>
      </c>
      <c r="F16" s="9"/>
      <c r="G16" s="9">
        <f t="shared" si="0"/>
        <v>179060</v>
      </c>
      <c r="H16">
        <f t="shared" si="1"/>
        <v>49.42</v>
      </c>
      <c r="I16" s="10">
        <f t="shared" si="2"/>
        <v>0.17</v>
      </c>
      <c r="J16">
        <f t="shared" si="3"/>
        <v>0</v>
      </c>
      <c r="P16">
        <v>178440</v>
      </c>
    </row>
    <row r="17" spans="1:16" x14ac:dyDescent="0.25">
      <c r="A17" t="s">
        <v>20</v>
      </c>
      <c r="B17" t="s">
        <v>69</v>
      </c>
      <c r="C17" s="9"/>
      <c r="D17" s="9"/>
      <c r="E17" s="9">
        <v>6300</v>
      </c>
      <c r="F17" s="9"/>
      <c r="G17" s="9">
        <f t="shared" si="0"/>
        <v>6300</v>
      </c>
      <c r="H17">
        <f t="shared" si="1"/>
        <v>1.74</v>
      </c>
      <c r="I17" s="10">
        <f t="shared" si="2"/>
        <v>6.0000000000000001E-3</v>
      </c>
      <c r="J17">
        <f t="shared" si="3"/>
        <v>-0.12</v>
      </c>
      <c r="P17">
        <v>7170</v>
      </c>
    </row>
    <row r="18" spans="1:16" x14ac:dyDescent="0.25">
      <c r="A18" t="s">
        <v>20</v>
      </c>
      <c r="B18" t="s">
        <v>26</v>
      </c>
      <c r="C18" s="9">
        <v>189430</v>
      </c>
      <c r="D18" s="9"/>
      <c r="E18" s="9"/>
      <c r="F18" s="9">
        <v>1730</v>
      </c>
      <c r="G18" s="9">
        <f t="shared" si="0"/>
        <v>191160</v>
      </c>
      <c r="H18">
        <f t="shared" si="1"/>
        <v>52.76</v>
      </c>
      <c r="I18" s="10">
        <f t="shared" si="2"/>
        <v>0.18099999999999999</v>
      </c>
      <c r="J18">
        <f t="shared" si="3"/>
        <v>-0.03</v>
      </c>
      <c r="P18">
        <v>197140</v>
      </c>
    </row>
    <row r="19" spans="1:16" x14ac:dyDescent="0.25">
      <c r="A19" t="s">
        <v>20</v>
      </c>
      <c r="B19" t="s">
        <v>27</v>
      </c>
      <c r="C19" s="9"/>
      <c r="D19" s="9"/>
      <c r="E19" s="9">
        <v>709</v>
      </c>
      <c r="F19" s="9"/>
      <c r="G19" s="9">
        <f t="shared" si="0"/>
        <v>709</v>
      </c>
      <c r="H19">
        <f t="shared" si="1"/>
        <v>0.2</v>
      </c>
      <c r="I19" s="10">
        <f t="shared" si="2"/>
        <v>1E-3</v>
      </c>
      <c r="J19">
        <f t="shared" si="3"/>
        <v>-0.22</v>
      </c>
      <c r="P19">
        <v>913</v>
      </c>
    </row>
    <row r="20" spans="1:16" x14ac:dyDescent="0.25">
      <c r="A20" t="s">
        <v>20</v>
      </c>
      <c r="B20" t="s">
        <v>28</v>
      </c>
      <c r="C20" s="9"/>
      <c r="D20" s="9"/>
      <c r="E20" s="9">
        <v>785</v>
      </c>
      <c r="F20" s="9"/>
      <c r="G20" s="9">
        <f t="shared" si="0"/>
        <v>785</v>
      </c>
      <c r="H20">
        <f t="shared" si="1"/>
        <v>0.22</v>
      </c>
      <c r="I20" s="10">
        <f t="shared" si="2"/>
        <v>1E-3</v>
      </c>
      <c r="J20">
        <f t="shared" si="3"/>
        <v>0.59</v>
      </c>
      <c r="P20">
        <v>495</v>
      </c>
    </row>
    <row r="21" spans="1:16" x14ac:dyDescent="0.25">
      <c r="A21" t="s">
        <v>20</v>
      </c>
      <c r="B21" t="s">
        <v>29</v>
      </c>
      <c r="C21" s="9"/>
      <c r="D21" s="9"/>
      <c r="E21" s="9">
        <v>144</v>
      </c>
      <c r="F21" s="9"/>
      <c r="G21" s="9">
        <f t="shared" si="0"/>
        <v>144</v>
      </c>
      <c r="H21">
        <f t="shared" si="1"/>
        <v>0.04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30</v>
      </c>
      <c r="C22" s="9"/>
      <c r="D22" s="9"/>
      <c r="E22" s="9">
        <v>6600</v>
      </c>
      <c r="F22" s="9"/>
      <c r="G22" s="9">
        <f t="shared" si="0"/>
        <v>6600</v>
      </c>
      <c r="H22">
        <f t="shared" si="1"/>
        <v>1.82</v>
      </c>
      <c r="I22" s="10">
        <f t="shared" si="2"/>
        <v>6.0000000000000001E-3</v>
      </c>
      <c r="J22">
        <f>ROUND(G22/P22-1,2)</f>
        <v>-0.05</v>
      </c>
      <c r="P22">
        <v>6930</v>
      </c>
    </row>
    <row r="23" spans="1:16" x14ac:dyDescent="0.25">
      <c r="A23" t="s">
        <v>20</v>
      </c>
      <c r="B23" t="s">
        <v>31</v>
      </c>
      <c r="C23" s="9"/>
      <c r="D23" s="9"/>
      <c r="E23" s="9">
        <v>1210</v>
      </c>
      <c r="F23" s="9"/>
      <c r="G23" s="9">
        <f t="shared" si="0"/>
        <v>1210</v>
      </c>
      <c r="H23">
        <f t="shared" si="1"/>
        <v>0.33</v>
      </c>
      <c r="I23" s="10">
        <f t="shared" si="2"/>
        <v>1E-3</v>
      </c>
      <c r="J23">
        <f>ROUND(G23/P23-1,2)</f>
        <v>-0.17</v>
      </c>
      <c r="P23">
        <v>1460</v>
      </c>
    </row>
    <row r="24" spans="1:16" x14ac:dyDescent="0.25">
      <c r="A24" t="s">
        <v>20</v>
      </c>
      <c r="B24" t="s">
        <v>32</v>
      </c>
      <c r="C24" s="9"/>
      <c r="D24" s="9"/>
      <c r="E24" s="9">
        <v>530</v>
      </c>
      <c r="F24" s="9"/>
      <c r="G24" s="9">
        <f t="shared" si="0"/>
        <v>530</v>
      </c>
      <c r="H24">
        <f t="shared" si="1"/>
        <v>0.15</v>
      </c>
      <c r="I24" s="10">
        <f t="shared" si="2"/>
        <v>1E-3</v>
      </c>
      <c r="J24">
        <f>ROUND(G24/P24-1,2)</f>
        <v>0.33</v>
      </c>
      <c r="P24">
        <v>400</v>
      </c>
    </row>
    <row r="25" spans="1:16" x14ac:dyDescent="0.25">
      <c r="A25" t="s">
        <v>20</v>
      </c>
      <c r="B25" t="s">
        <v>33</v>
      </c>
      <c r="C25" s="9"/>
      <c r="D25" s="9"/>
      <c r="E25" s="9">
        <v>745</v>
      </c>
      <c r="F25" s="9"/>
      <c r="G25" s="9">
        <f t="shared" si="0"/>
        <v>745</v>
      </c>
      <c r="H25">
        <f t="shared" si="1"/>
        <v>0.21</v>
      </c>
      <c r="I25" s="10">
        <f t="shared" si="2"/>
        <v>1E-3</v>
      </c>
      <c r="J25">
        <f>ROUND(G25/P25-1,2)</f>
        <v>-0.56999999999999995</v>
      </c>
      <c r="P25">
        <v>1730</v>
      </c>
    </row>
    <row r="26" spans="1:16" x14ac:dyDescent="0.25">
      <c r="A26" t="s">
        <v>20</v>
      </c>
      <c r="B26" t="s">
        <v>43</v>
      </c>
      <c r="C26" s="9"/>
      <c r="D26" s="9">
        <v>253</v>
      </c>
      <c r="E26" s="9"/>
      <c r="F26" s="9"/>
      <c r="G26" s="9">
        <f t="shared" si="0"/>
        <v>253</v>
      </c>
      <c r="H26">
        <f t="shared" si="1"/>
        <v>7.0000000000000007E-2</v>
      </c>
      <c r="I26" s="10">
        <f t="shared" si="2"/>
        <v>0</v>
      </c>
      <c r="J26">
        <f>ROUND(G26/P26-1,2)</f>
        <v>-0.31</v>
      </c>
      <c r="P26">
        <v>369</v>
      </c>
    </row>
    <row r="27" spans="1:16" x14ac:dyDescent="0.25">
      <c r="A27" t="s">
        <v>20</v>
      </c>
      <c r="B27" t="s">
        <v>34</v>
      </c>
      <c r="C27" s="9"/>
      <c r="D27" s="9"/>
      <c r="E27" s="9">
        <v>741</v>
      </c>
      <c r="F27" s="9"/>
      <c r="G27" s="9">
        <f t="shared" si="0"/>
        <v>741</v>
      </c>
      <c r="H27">
        <f t="shared" si="1"/>
        <v>0.2</v>
      </c>
      <c r="I27" s="10">
        <f t="shared" si="2"/>
        <v>1E-3</v>
      </c>
      <c r="P27">
        <v>0</v>
      </c>
    </row>
    <row r="28" spans="1:16" x14ac:dyDescent="0.25">
      <c r="A28" t="s">
        <v>20</v>
      </c>
      <c r="B28" t="s">
        <v>35</v>
      </c>
      <c r="C28" s="9"/>
      <c r="D28" s="9"/>
      <c r="E28" s="9">
        <v>4619</v>
      </c>
      <c r="F28" s="9"/>
      <c r="G28" s="9">
        <f t="shared" si="0"/>
        <v>4619</v>
      </c>
      <c r="H28">
        <f t="shared" si="1"/>
        <v>1.27</v>
      </c>
      <c r="I28" s="10">
        <f t="shared" si="2"/>
        <v>4.0000000000000001E-3</v>
      </c>
      <c r="J28">
        <f t="shared" ref="J28:J34" si="4">ROUND(G28/P28-1,2)</f>
        <v>0.75</v>
      </c>
      <c r="P28">
        <v>2644</v>
      </c>
    </row>
    <row r="29" spans="1:16" x14ac:dyDescent="0.25">
      <c r="A29" t="s">
        <v>20</v>
      </c>
      <c r="B29" t="s">
        <v>41</v>
      </c>
      <c r="C29" s="9"/>
      <c r="D29" s="9"/>
      <c r="E29" s="9">
        <v>11857</v>
      </c>
      <c r="F29" s="9"/>
      <c r="G29" s="9">
        <f t="shared" si="0"/>
        <v>11857</v>
      </c>
      <c r="H29">
        <f t="shared" si="1"/>
        <v>3.27</v>
      </c>
      <c r="I29" s="10">
        <f t="shared" si="2"/>
        <v>1.0999999999999999E-2</v>
      </c>
      <c r="J29">
        <f t="shared" si="4"/>
        <v>0.78</v>
      </c>
      <c r="P29">
        <v>6648</v>
      </c>
    </row>
    <row r="30" spans="1:16" x14ac:dyDescent="0.25">
      <c r="A30" t="s">
        <v>20</v>
      </c>
      <c r="B30" t="s">
        <v>36</v>
      </c>
      <c r="C30" s="9"/>
      <c r="D30" s="9"/>
      <c r="E30" s="9">
        <v>3540</v>
      </c>
      <c r="F30" s="9"/>
      <c r="G30" s="9">
        <f t="shared" si="0"/>
        <v>3540</v>
      </c>
      <c r="H30">
        <f t="shared" si="1"/>
        <v>0.98</v>
      </c>
      <c r="I30" s="10">
        <f t="shared" si="2"/>
        <v>3.0000000000000001E-3</v>
      </c>
      <c r="J30">
        <f t="shared" si="4"/>
        <v>-0.72</v>
      </c>
      <c r="P30">
        <v>12580</v>
      </c>
    </row>
    <row r="31" spans="1:16" x14ac:dyDescent="0.25">
      <c r="A31" t="s">
        <v>20</v>
      </c>
      <c r="B31" t="s">
        <v>37</v>
      </c>
      <c r="C31" s="9"/>
      <c r="D31" s="9"/>
      <c r="E31" s="9">
        <v>56650</v>
      </c>
      <c r="F31" s="9"/>
      <c r="G31" s="9">
        <f t="shared" si="0"/>
        <v>56650</v>
      </c>
      <c r="H31">
        <f t="shared" si="1"/>
        <v>15.64</v>
      </c>
      <c r="I31" s="10">
        <f t="shared" si="2"/>
        <v>5.3999999999999999E-2</v>
      </c>
      <c r="J31">
        <f t="shared" si="4"/>
        <v>-0.12</v>
      </c>
      <c r="P31">
        <v>64600</v>
      </c>
    </row>
    <row r="32" spans="1:16" x14ac:dyDescent="0.25">
      <c r="A32" t="s">
        <v>20</v>
      </c>
      <c r="B32" t="s">
        <v>38</v>
      </c>
      <c r="C32" s="9"/>
      <c r="D32" s="9"/>
      <c r="E32" s="9">
        <v>11335</v>
      </c>
      <c r="F32" s="9"/>
      <c r="G32" s="9">
        <f t="shared" si="0"/>
        <v>11335</v>
      </c>
      <c r="H32">
        <f t="shared" si="1"/>
        <v>3.13</v>
      </c>
      <c r="I32" s="10">
        <f t="shared" si="2"/>
        <v>1.0999999999999999E-2</v>
      </c>
      <c r="J32">
        <f t="shared" si="4"/>
        <v>1.53</v>
      </c>
      <c r="P32">
        <v>4480</v>
      </c>
    </row>
    <row r="33" spans="1:16" x14ac:dyDescent="0.25">
      <c r="A33" t="s">
        <v>20</v>
      </c>
      <c r="B33" t="s">
        <v>39</v>
      </c>
      <c r="C33" s="9"/>
      <c r="D33" s="9"/>
      <c r="E33" s="9">
        <v>22350</v>
      </c>
      <c r="F33" s="9">
        <v>130</v>
      </c>
      <c r="G33" s="9">
        <f t="shared" si="0"/>
        <v>22480</v>
      </c>
      <c r="H33">
        <f t="shared" si="1"/>
        <v>6.2</v>
      </c>
      <c r="I33" s="10">
        <f t="shared" si="2"/>
        <v>2.1000000000000001E-2</v>
      </c>
      <c r="J33">
        <f t="shared" si="4"/>
        <v>0.26</v>
      </c>
      <c r="P33">
        <v>17900</v>
      </c>
    </row>
    <row r="34" spans="1:16" x14ac:dyDescent="0.25">
      <c r="A34" t="s">
        <v>20</v>
      </c>
      <c r="B34" t="s">
        <v>40</v>
      </c>
      <c r="C34" s="9"/>
      <c r="D34" s="9"/>
      <c r="E34" s="9">
        <v>58850</v>
      </c>
      <c r="F34" s="9"/>
      <c r="G34" s="9">
        <f t="shared" si="0"/>
        <v>58850</v>
      </c>
      <c r="H34">
        <f t="shared" si="1"/>
        <v>16.239999999999998</v>
      </c>
      <c r="I34" s="10">
        <f t="shared" si="2"/>
        <v>5.6000000000000001E-2</v>
      </c>
      <c r="J34">
        <f t="shared" si="4"/>
        <v>-0.2</v>
      </c>
      <c r="P34">
        <v>73960</v>
      </c>
    </row>
    <row r="35" spans="1:16" x14ac:dyDescent="0.25">
      <c r="A35" t="s">
        <v>20</v>
      </c>
      <c r="B35" t="s">
        <v>82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20</v>
      </c>
      <c r="B36" t="s">
        <v>70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44</v>
      </c>
      <c r="B37" t="s">
        <v>45</v>
      </c>
      <c r="C37" s="9">
        <v>168990</v>
      </c>
      <c r="D37" s="9"/>
      <c r="E37" s="9"/>
      <c r="F37" s="9">
        <v>810</v>
      </c>
      <c r="G37" s="9">
        <f t="shared" si="0"/>
        <v>169800</v>
      </c>
      <c r="H37">
        <f t="shared" si="1"/>
        <v>46.87</v>
      </c>
      <c r="I37" s="10">
        <f t="shared" si="2"/>
        <v>0.161</v>
      </c>
      <c r="J37">
        <f>ROUND(G37/P37-1,2)</f>
        <v>0.08</v>
      </c>
      <c r="P37">
        <v>157920</v>
      </c>
    </row>
    <row r="38" spans="1:16" x14ac:dyDescent="0.25">
      <c r="A38" t="s">
        <v>44</v>
      </c>
      <c r="B38" t="s">
        <v>47</v>
      </c>
      <c r="C38" s="9"/>
      <c r="D38" s="9"/>
      <c r="E38" s="9"/>
      <c r="F38" s="9">
        <v>8820</v>
      </c>
      <c r="G38" s="9">
        <f t="shared" si="0"/>
        <v>8820</v>
      </c>
      <c r="H38">
        <f t="shared" si="1"/>
        <v>2.4300000000000002</v>
      </c>
      <c r="I38" s="10">
        <f t="shared" si="2"/>
        <v>8.0000000000000002E-3</v>
      </c>
      <c r="J38">
        <f>ROUND(G38/P38-1,2)</f>
        <v>-0.81</v>
      </c>
      <c r="P38">
        <v>46410</v>
      </c>
    </row>
    <row r="39" spans="1:16" x14ac:dyDescent="0.25">
      <c r="A39" t="s">
        <v>44</v>
      </c>
      <c r="B39" t="s">
        <v>46</v>
      </c>
      <c r="C39" s="9"/>
      <c r="D39" s="9"/>
      <c r="E39" s="9">
        <v>49620</v>
      </c>
      <c r="F39" s="9"/>
      <c r="G39" s="9">
        <f t="shared" si="0"/>
        <v>49620</v>
      </c>
      <c r="H39">
        <f t="shared" si="1"/>
        <v>13.7</v>
      </c>
      <c r="I39" s="10">
        <f t="shared" si="2"/>
        <v>4.7E-2</v>
      </c>
      <c r="J39">
        <f>ROUND(G39/P39-1,2)</f>
        <v>-0.18</v>
      </c>
      <c r="P39">
        <v>60430</v>
      </c>
    </row>
    <row r="40" spans="1:16" x14ac:dyDescent="0.25">
      <c r="A40" t="s">
        <v>16</v>
      </c>
      <c r="B40" t="s">
        <v>19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16</v>
      </c>
      <c r="B41" t="s">
        <v>17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>ROUND(G41/P41-1,2)</f>
        <v>-1</v>
      </c>
      <c r="P41">
        <v>40</v>
      </c>
    </row>
    <row r="42" spans="1:16" x14ac:dyDescent="0.25">
      <c r="A42" t="s">
        <v>16</v>
      </c>
      <c r="B42" t="s">
        <v>18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J42">
        <f>ROUND(G42/P42-1,2)</f>
        <v>-1</v>
      </c>
      <c r="P42">
        <v>80</v>
      </c>
    </row>
    <row r="43" spans="1:16" x14ac:dyDescent="0.25">
      <c r="A43" t="s">
        <v>16</v>
      </c>
      <c r="B43" t="s">
        <v>66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SUM(C8:C43)</f>
        <v>769760</v>
      </c>
      <c r="D49" s="12">
        <f t="shared" si="5"/>
        <v>253</v>
      </c>
      <c r="E49" s="12">
        <f t="shared" si="5"/>
        <v>274270</v>
      </c>
      <c r="F49" s="12">
        <f t="shared" si="5"/>
        <v>11670</v>
      </c>
      <c r="G49" s="12">
        <f t="shared" si="5"/>
        <v>1055953</v>
      </c>
      <c r="H49" s="11">
        <f t="shared" si="5"/>
        <v>291.45999999999998</v>
      </c>
      <c r="I49" s="4"/>
    </row>
    <row r="50" spans="1:10" x14ac:dyDescent="0.25">
      <c r="A50" s="11" t="s">
        <v>14</v>
      </c>
      <c r="C50" s="13">
        <f>ROUND(C49/G49,2)</f>
        <v>0.73</v>
      </c>
      <c r="D50" s="13">
        <f>ROUND(D49/G49,2)</f>
        <v>0</v>
      </c>
      <c r="E50" s="13">
        <f>ROUND(E49/G49,2)</f>
        <v>0.26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600770</v>
      </c>
      <c r="D54" s="15">
        <v>253</v>
      </c>
      <c r="E54" s="15">
        <v>224650</v>
      </c>
      <c r="F54" s="15">
        <v>2040</v>
      </c>
      <c r="G54" s="15">
        <f>SUM(C54:F54)</f>
        <v>827713</v>
      </c>
      <c r="H54" s="17">
        <f>ROUND(G54/3623,2)</f>
        <v>228.46</v>
      </c>
      <c r="I54" s="4"/>
      <c r="J54" s="4"/>
    </row>
    <row r="55" spans="1:10" x14ac:dyDescent="0.25">
      <c r="A55" s="33" t="s">
        <v>50</v>
      </c>
      <c r="B55" s="33"/>
      <c r="C55" s="15">
        <v>168990</v>
      </c>
      <c r="D55" s="15">
        <v>0</v>
      </c>
      <c r="E55" s="15">
        <v>49620</v>
      </c>
      <c r="F55" s="15">
        <v>9630</v>
      </c>
      <c r="G55" s="15">
        <f>SUM(C55:F55)</f>
        <v>228240</v>
      </c>
      <c r="H55" s="17">
        <f>ROUND(G55/3623,2)</f>
        <v>63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ROUND(G56/3623,2)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ROUND(0.8454, 4)</f>
        <v>0.84540000000000004</v>
      </c>
      <c r="D60" s="19">
        <f>ROUND(0.8433, 4)</f>
        <v>0.84330000000000005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ROUND(0.8325, 4)</f>
        <v>0.83250000000000002</v>
      </c>
      <c r="D61" s="19">
        <f>ROUND(0.83, 4)</f>
        <v>0.83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149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46.87</v>
      </c>
      <c r="D64" s="16">
        <v>42.04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52.76</v>
      </c>
      <c r="D65" s="16">
        <v>55.09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351.67</v>
      </c>
      <c r="D66" s="16">
        <v>267.63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69.95</v>
      </c>
      <c r="D67" s="16">
        <v>68.98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P70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150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596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19770</v>
      </c>
      <c r="D9" s="9"/>
      <c r="E9" s="9"/>
      <c r="F9" s="9"/>
      <c r="G9" s="9">
        <f t="shared" ref="G9:G38" si="0">SUM(C9:F9)</f>
        <v>19770</v>
      </c>
      <c r="H9">
        <f t="shared" ref="H9:H38" si="1">ROUND(G9/596,2)</f>
        <v>33.17</v>
      </c>
      <c r="I9" s="10">
        <f t="shared" ref="I9:I38" si="2">ROUND(G9/$G$49,3)</f>
        <v>8.8999999999999996E-2</v>
      </c>
      <c r="J9">
        <f>ROUND(G9/P9-1,2)</f>
        <v>-0.08</v>
      </c>
      <c r="P9">
        <v>21590</v>
      </c>
    </row>
    <row r="10" spans="1:16" x14ac:dyDescent="0.25">
      <c r="A10" t="s">
        <v>20</v>
      </c>
      <c r="B10" t="s">
        <v>22</v>
      </c>
      <c r="C10" s="9">
        <v>33750</v>
      </c>
      <c r="D10" s="9"/>
      <c r="E10" s="9"/>
      <c r="F10" s="9"/>
      <c r="G10" s="9">
        <f t="shared" si="0"/>
        <v>33750</v>
      </c>
      <c r="H10">
        <f t="shared" si="1"/>
        <v>56.63</v>
      </c>
      <c r="I10" s="10">
        <f t="shared" si="2"/>
        <v>0.151</v>
      </c>
      <c r="J10">
        <f>ROUND(G10/P10-1,2)</f>
        <v>0.09</v>
      </c>
      <c r="P10">
        <v>30980</v>
      </c>
    </row>
    <row r="11" spans="1:16" x14ac:dyDescent="0.25">
      <c r="A11" t="s">
        <v>20</v>
      </c>
      <c r="B11" t="s">
        <v>42</v>
      </c>
      <c r="C11" s="9"/>
      <c r="D11" s="9"/>
      <c r="E11" s="9">
        <v>91</v>
      </c>
      <c r="F11" s="9"/>
      <c r="G11" s="9">
        <f t="shared" si="0"/>
        <v>91</v>
      </c>
      <c r="H11">
        <f t="shared" si="1"/>
        <v>0.15</v>
      </c>
      <c r="I11" s="10">
        <f t="shared" si="2"/>
        <v>0</v>
      </c>
      <c r="J11">
        <f>ROUND(G11/P11-1,2)</f>
        <v>7.27</v>
      </c>
      <c r="P11">
        <v>11</v>
      </c>
    </row>
    <row r="12" spans="1:16" x14ac:dyDescent="0.25">
      <c r="A12" t="s">
        <v>20</v>
      </c>
      <c r="B12" t="s">
        <v>23</v>
      </c>
      <c r="C12" s="9"/>
      <c r="D12" s="9"/>
      <c r="E12" s="9">
        <v>800</v>
      </c>
      <c r="F12" s="9"/>
      <c r="G12" s="9">
        <f t="shared" si="0"/>
        <v>800</v>
      </c>
      <c r="H12">
        <f t="shared" si="1"/>
        <v>1.34</v>
      </c>
      <c r="I12" s="10">
        <f t="shared" si="2"/>
        <v>4.0000000000000001E-3</v>
      </c>
      <c r="P12">
        <v>0</v>
      </c>
    </row>
    <row r="13" spans="1:16" x14ac:dyDescent="0.25">
      <c r="A13" t="s">
        <v>20</v>
      </c>
      <c r="B13" t="s">
        <v>80</v>
      </c>
      <c r="C13" s="9"/>
      <c r="D13" s="9"/>
      <c r="E13" s="9"/>
      <c r="F13" s="9">
        <v>16</v>
      </c>
      <c r="G13" s="9">
        <f t="shared" si="0"/>
        <v>16</v>
      </c>
      <c r="H13">
        <f t="shared" si="1"/>
        <v>0.03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24</v>
      </c>
      <c r="C14" s="9"/>
      <c r="D14" s="9"/>
      <c r="E14" s="9">
        <v>17060</v>
      </c>
      <c r="F14" s="9"/>
      <c r="G14" s="9">
        <f t="shared" si="0"/>
        <v>17060</v>
      </c>
      <c r="H14">
        <f t="shared" si="1"/>
        <v>28.62</v>
      </c>
      <c r="I14" s="10">
        <f t="shared" si="2"/>
        <v>7.6999999999999999E-2</v>
      </c>
      <c r="J14">
        <f>ROUND(G14/P14-1,2)</f>
        <v>0.12</v>
      </c>
      <c r="P14">
        <v>15200</v>
      </c>
    </row>
    <row r="15" spans="1:16" x14ac:dyDescent="0.25">
      <c r="A15" t="s">
        <v>20</v>
      </c>
      <c r="B15" t="s">
        <v>25</v>
      </c>
      <c r="C15" s="9">
        <v>23900</v>
      </c>
      <c r="D15" s="9"/>
      <c r="E15" s="9"/>
      <c r="F15" s="9"/>
      <c r="G15" s="9">
        <f t="shared" si="0"/>
        <v>23900</v>
      </c>
      <c r="H15">
        <f t="shared" si="1"/>
        <v>40.1</v>
      </c>
      <c r="I15" s="10">
        <f t="shared" si="2"/>
        <v>0.107</v>
      </c>
      <c r="J15">
        <f>ROUND(G15/P15-1,2)</f>
        <v>-0.1</v>
      </c>
      <c r="P15">
        <v>26605</v>
      </c>
    </row>
    <row r="16" spans="1:16" x14ac:dyDescent="0.25">
      <c r="A16" t="s">
        <v>20</v>
      </c>
      <c r="B16" t="s">
        <v>69</v>
      </c>
      <c r="C16" s="9"/>
      <c r="D16" s="9"/>
      <c r="E16" s="9">
        <v>1550</v>
      </c>
      <c r="F16" s="9"/>
      <c r="G16" s="9">
        <f t="shared" si="0"/>
        <v>1550</v>
      </c>
      <c r="H16">
        <f t="shared" si="1"/>
        <v>2.6</v>
      </c>
      <c r="I16" s="10">
        <f t="shared" si="2"/>
        <v>7.0000000000000001E-3</v>
      </c>
      <c r="P16">
        <v>0</v>
      </c>
    </row>
    <row r="17" spans="1:16" x14ac:dyDescent="0.25">
      <c r="A17" t="s">
        <v>20</v>
      </c>
      <c r="B17" t="s">
        <v>26</v>
      </c>
      <c r="C17" s="9">
        <v>25440</v>
      </c>
      <c r="D17" s="9"/>
      <c r="E17" s="9"/>
      <c r="F17" s="9">
        <v>100</v>
      </c>
      <c r="G17" s="9">
        <f t="shared" si="0"/>
        <v>25540</v>
      </c>
      <c r="H17">
        <f t="shared" si="1"/>
        <v>42.85</v>
      </c>
      <c r="I17" s="10">
        <f t="shared" si="2"/>
        <v>0.115</v>
      </c>
      <c r="J17">
        <f t="shared" ref="J17:J30" si="3">ROUND(G17/P17-1,2)</f>
        <v>0.04</v>
      </c>
      <c r="P17">
        <v>24450</v>
      </c>
    </row>
    <row r="18" spans="1:16" x14ac:dyDescent="0.25">
      <c r="A18" t="s">
        <v>20</v>
      </c>
      <c r="B18" t="s">
        <v>27</v>
      </c>
      <c r="C18" s="9"/>
      <c r="D18" s="9"/>
      <c r="E18" s="9">
        <v>1151</v>
      </c>
      <c r="F18" s="9"/>
      <c r="G18" s="9">
        <f t="shared" si="0"/>
        <v>1151</v>
      </c>
      <c r="H18">
        <f t="shared" si="1"/>
        <v>1.93</v>
      </c>
      <c r="I18" s="10">
        <f t="shared" si="2"/>
        <v>5.0000000000000001E-3</v>
      </c>
      <c r="J18">
        <f t="shared" si="3"/>
        <v>-0.02</v>
      </c>
      <c r="P18">
        <v>1178</v>
      </c>
    </row>
    <row r="19" spans="1:16" x14ac:dyDescent="0.25">
      <c r="A19" t="s">
        <v>20</v>
      </c>
      <c r="B19" t="s">
        <v>28</v>
      </c>
      <c r="C19" s="9"/>
      <c r="D19" s="9"/>
      <c r="E19" s="9">
        <v>431</v>
      </c>
      <c r="F19" s="9"/>
      <c r="G19" s="9">
        <f t="shared" si="0"/>
        <v>431</v>
      </c>
      <c r="H19">
        <f t="shared" si="1"/>
        <v>0.72</v>
      </c>
      <c r="I19" s="10">
        <f t="shared" si="2"/>
        <v>2E-3</v>
      </c>
      <c r="J19">
        <f t="shared" si="3"/>
        <v>0.51</v>
      </c>
      <c r="P19">
        <v>285</v>
      </c>
    </row>
    <row r="20" spans="1:16" x14ac:dyDescent="0.25">
      <c r="A20" t="s">
        <v>20</v>
      </c>
      <c r="B20" t="s">
        <v>30</v>
      </c>
      <c r="C20" s="9"/>
      <c r="D20" s="9"/>
      <c r="E20" s="9">
        <v>1680</v>
      </c>
      <c r="F20" s="9"/>
      <c r="G20" s="9">
        <f t="shared" si="0"/>
        <v>1680</v>
      </c>
      <c r="H20">
        <f t="shared" si="1"/>
        <v>2.82</v>
      </c>
      <c r="I20" s="10">
        <f t="shared" si="2"/>
        <v>8.0000000000000002E-3</v>
      </c>
      <c r="J20">
        <f t="shared" si="3"/>
        <v>-0.15</v>
      </c>
      <c r="P20">
        <v>1980</v>
      </c>
    </row>
    <row r="21" spans="1:16" x14ac:dyDescent="0.25">
      <c r="A21" t="s">
        <v>20</v>
      </c>
      <c r="B21" t="s">
        <v>31</v>
      </c>
      <c r="C21" s="9"/>
      <c r="D21" s="9"/>
      <c r="E21" s="9">
        <v>180</v>
      </c>
      <c r="F21" s="9"/>
      <c r="G21" s="9">
        <f t="shared" si="0"/>
        <v>180</v>
      </c>
      <c r="H21">
        <f t="shared" si="1"/>
        <v>0.3</v>
      </c>
      <c r="I21" s="10">
        <f t="shared" si="2"/>
        <v>1E-3</v>
      </c>
      <c r="J21">
        <f t="shared" si="3"/>
        <v>2.6</v>
      </c>
      <c r="P21">
        <v>50</v>
      </c>
    </row>
    <row r="22" spans="1:16" x14ac:dyDescent="0.25">
      <c r="A22" t="s">
        <v>20</v>
      </c>
      <c r="B22" t="s">
        <v>33</v>
      </c>
      <c r="C22" s="9"/>
      <c r="D22" s="9"/>
      <c r="E22" s="9">
        <v>845</v>
      </c>
      <c r="F22" s="9"/>
      <c r="G22" s="9">
        <f t="shared" si="0"/>
        <v>845</v>
      </c>
      <c r="H22">
        <f t="shared" si="1"/>
        <v>1.42</v>
      </c>
      <c r="I22" s="10">
        <f t="shared" si="2"/>
        <v>4.0000000000000001E-3</v>
      </c>
      <c r="J22">
        <f t="shared" si="3"/>
        <v>0.34</v>
      </c>
      <c r="P22">
        <v>630</v>
      </c>
    </row>
    <row r="23" spans="1:16" x14ac:dyDescent="0.25">
      <c r="A23" t="s">
        <v>20</v>
      </c>
      <c r="B23" t="s">
        <v>43</v>
      </c>
      <c r="C23" s="9"/>
      <c r="D23" s="9">
        <v>73</v>
      </c>
      <c r="E23" s="9"/>
      <c r="F23" s="9"/>
      <c r="G23" s="9">
        <f t="shared" si="0"/>
        <v>73</v>
      </c>
      <c r="H23">
        <f t="shared" si="1"/>
        <v>0.12</v>
      </c>
      <c r="I23" s="10">
        <f t="shared" si="2"/>
        <v>0</v>
      </c>
      <c r="J23">
        <f t="shared" si="3"/>
        <v>0.4</v>
      </c>
      <c r="P23">
        <v>52</v>
      </c>
    </row>
    <row r="24" spans="1:16" x14ac:dyDescent="0.25">
      <c r="A24" t="s">
        <v>20</v>
      </c>
      <c r="B24" t="s">
        <v>70</v>
      </c>
      <c r="C24" s="9"/>
      <c r="D24" s="9"/>
      <c r="E24" s="9">
        <v>990</v>
      </c>
      <c r="F24" s="9"/>
      <c r="G24" s="9">
        <f t="shared" si="0"/>
        <v>990</v>
      </c>
      <c r="H24">
        <f t="shared" si="1"/>
        <v>1.66</v>
      </c>
      <c r="I24" s="10">
        <f t="shared" si="2"/>
        <v>4.0000000000000001E-3</v>
      </c>
      <c r="J24">
        <f t="shared" si="3"/>
        <v>0.46</v>
      </c>
      <c r="P24">
        <v>680</v>
      </c>
    </row>
    <row r="25" spans="1:16" x14ac:dyDescent="0.25">
      <c r="A25" t="s">
        <v>20</v>
      </c>
      <c r="B25" t="s">
        <v>35</v>
      </c>
      <c r="C25" s="9"/>
      <c r="D25" s="9"/>
      <c r="E25" s="9">
        <v>900</v>
      </c>
      <c r="F25" s="9"/>
      <c r="G25" s="9">
        <f t="shared" si="0"/>
        <v>900</v>
      </c>
      <c r="H25">
        <f t="shared" si="1"/>
        <v>1.51</v>
      </c>
      <c r="I25" s="10">
        <f t="shared" si="2"/>
        <v>4.0000000000000001E-3</v>
      </c>
      <c r="J25">
        <f t="shared" si="3"/>
        <v>0.72</v>
      </c>
      <c r="P25">
        <v>522</v>
      </c>
    </row>
    <row r="26" spans="1:16" x14ac:dyDescent="0.25">
      <c r="A26" t="s">
        <v>20</v>
      </c>
      <c r="B26" t="s">
        <v>36</v>
      </c>
      <c r="C26" s="9"/>
      <c r="D26" s="9"/>
      <c r="E26" s="9">
        <v>2440</v>
      </c>
      <c r="F26" s="9"/>
      <c r="G26" s="9">
        <f t="shared" si="0"/>
        <v>2440</v>
      </c>
      <c r="H26">
        <f t="shared" si="1"/>
        <v>4.09</v>
      </c>
      <c r="I26" s="10">
        <f t="shared" si="2"/>
        <v>1.0999999999999999E-2</v>
      </c>
      <c r="J26">
        <f t="shared" si="3"/>
        <v>0.06</v>
      </c>
      <c r="P26">
        <v>2300</v>
      </c>
    </row>
    <row r="27" spans="1:16" x14ac:dyDescent="0.25">
      <c r="A27" t="s">
        <v>20</v>
      </c>
      <c r="B27" t="s">
        <v>41</v>
      </c>
      <c r="C27" s="9"/>
      <c r="D27" s="9"/>
      <c r="E27" s="9">
        <v>1430</v>
      </c>
      <c r="F27" s="9"/>
      <c r="G27" s="9">
        <f t="shared" si="0"/>
        <v>1430</v>
      </c>
      <c r="H27">
        <f t="shared" si="1"/>
        <v>2.4</v>
      </c>
      <c r="I27" s="10">
        <f t="shared" si="2"/>
        <v>6.0000000000000001E-3</v>
      </c>
      <c r="J27">
        <f t="shared" si="3"/>
        <v>0.09</v>
      </c>
      <c r="P27">
        <v>1306</v>
      </c>
    </row>
    <row r="28" spans="1:16" x14ac:dyDescent="0.25">
      <c r="A28" t="s">
        <v>20</v>
      </c>
      <c r="B28" t="s">
        <v>37</v>
      </c>
      <c r="C28" s="9"/>
      <c r="D28" s="9"/>
      <c r="E28" s="9">
        <v>16960</v>
      </c>
      <c r="F28" s="9"/>
      <c r="G28" s="9">
        <f t="shared" si="0"/>
        <v>16960</v>
      </c>
      <c r="H28">
        <f t="shared" si="1"/>
        <v>28.46</v>
      </c>
      <c r="I28" s="10">
        <f t="shared" si="2"/>
        <v>7.5999999999999998E-2</v>
      </c>
      <c r="J28">
        <f t="shared" si="3"/>
        <v>-0.06</v>
      </c>
      <c r="P28">
        <v>18020</v>
      </c>
    </row>
    <row r="29" spans="1:16" x14ac:dyDescent="0.25">
      <c r="A29" t="s">
        <v>20</v>
      </c>
      <c r="B29" t="s">
        <v>38</v>
      </c>
      <c r="C29" s="9"/>
      <c r="D29" s="9"/>
      <c r="E29" s="9">
        <v>3970</v>
      </c>
      <c r="F29" s="9"/>
      <c r="G29" s="9">
        <f t="shared" si="0"/>
        <v>3970</v>
      </c>
      <c r="H29">
        <f t="shared" si="1"/>
        <v>6.66</v>
      </c>
      <c r="I29" s="10">
        <f t="shared" si="2"/>
        <v>1.7999999999999999E-2</v>
      </c>
      <c r="J29">
        <f t="shared" si="3"/>
        <v>2.36</v>
      </c>
      <c r="P29">
        <v>1180</v>
      </c>
    </row>
    <row r="30" spans="1:16" x14ac:dyDescent="0.25">
      <c r="A30" t="s">
        <v>20</v>
      </c>
      <c r="B30" t="s">
        <v>39</v>
      </c>
      <c r="C30" s="9"/>
      <c r="D30" s="9"/>
      <c r="E30" s="9">
        <v>7810</v>
      </c>
      <c r="F30" s="9"/>
      <c r="G30" s="9">
        <f t="shared" si="0"/>
        <v>7810</v>
      </c>
      <c r="H30">
        <f t="shared" si="1"/>
        <v>13.1</v>
      </c>
      <c r="I30" s="10">
        <f t="shared" si="2"/>
        <v>3.5000000000000003E-2</v>
      </c>
      <c r="J30">
        <f t="shared" si="3"/>
        <v>0.13</v>
      </c>
      <c r="P30">
        <v>6890</v>
      </c>
    </row>
    <row r="31" spans="1:16" x14ac:dyDescent="0.25">
      <c r="A31" t="s">
        <v>20</v>
      </c>
      <c r="B31" t="s">
        <v>29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34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>ROUND(G32/P32-1,2)</f>
        <v>-1</v>
      </c>
      <c r="P32">
        <v>168</v>
      </c>
    </row>
    <row r="33" spans="1:16" x14ac:dyDescent="0.25">
      <c r="A33" t="s">
        <v>20</v>
      </c>
      <c r="B33" t="s">
        <v>74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20</v>
      </c>
      <c r="B34" t="s">
        <v>79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J34">
        <f>ROUND(G34/P34-1,2)</f>
        <v>-1</v>
      </c>
      <c r="P34">
        <v>62</v>
      </c>
    </row>
    <row r="35" spans="1:16" x14ac:dyDescent="0.25">
      <c r="A35" t="s">
        <v>20</v>
      </c>
      <c r="B35" t="s">
        <v>151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44</v>
      </c>
      <c r="B36" t="s">
        <v>45</v>
      </c>
      <c r="C36" s="9">
        <v>52605</v>
      </c>
      <c r="D36" s="9"/>
      <c r="E36" s="9"/>
      <c r="F36" s="9">
        <v>20</v>
      </c>
      <c r="G36" s="9">
        <f t="shared" si="0"/>
        <v>52625</v>
      </c>
      <c r="H36">
        <f t="shared" si="1"/>
        <v>88.3</v>
      </c>
      <c r="I36" s="10">
        <f t="shared" si="2"/>
        <v>0.23599999999999999</v>
      </c>
      <c r="J36">
        <f>ROUND(G36/P36-1,2)</f>
        <v>0.01</v>
      </c>
      <c r="P36">
        <v>52025</v>
      </c>
    </row>
    <row r="37" spans="1:16" x14ac:dyDescent="0.25">
      <c r="A37" t="s">
        <v>44</v>
      </c>
      <c r="B37" t="s">
        <v>46</v>
      </c>
      <c r="C37" s="9"/>
      <c r="D37" s="9"/>
      <c r="E37" s="9">
        <v>9020</v>
      </c>
      <c r="F37" s="9"/>
      <c r="G37" s="9">
        <f t="shared" si="0"/>
        <v>9020</v>
      </c>
      <c r="H37">
        <f t="shared" si="1"/>
        <v>15.13</v>
      </c>
      <c r="I37" s="10">
        <f t="shared" si="2"/>
        <v>0.04</v>
      </c>
      <c r="J37">
        <f>ROUND(G37/P37-1,2)</f>
        <v>-0.44</v>
      </c>
      <c r="P37">
        <v>16210</v>
      </c>
    </row>
    <row r="38" spans="1:16" x14ac:dyDescent="0.25">
      <c r="A38" t="s">
        <v>16</v>
      </c>
      <c r="B38" t="s">
        <v>19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J38">
        <f>ROUND(G38/P38-1,2)</f>
        <v>-1</v>
      </c>
      <c r="P38">
        <v>5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SUM(C8:C38)</f>
        <v>155465</v>
      </c>
      <c r="D49" s="12">
        <f t="shared" si="4"/>
        <v>73</v>
      </c>
      <c r="E49" s="12">
        <f t="shared" si="4"/>
        <v>67308</v>
      </c>
      <c r="F49" s="12">
        <f t="shared" si="4"/>
        <v>136</v>
      </c>
      <c r="G49" s="12">
        <f t="shared" si="4"/>
        <v>222982</v>
      </c>
      <c r="H49" s="11">
        <f t="shared" si="4"/>
        <v>374.11000000000007</v>
      </c>
      <c r="I49" s="4"/>
    </row>
    <row r="50" spans="1:10" x14ac:dyDescent="0.25">
      <c r="A50" s="11" t="s">
        <v>14</v>
      </c>
      <c r="C50" s="13">
        <f>ROUND(C49/G49,2)</f>
        <v>0.7</v>
      </c>
      <c r="D50" s="13">
        <f>ROUND(D49/G49,2)</f>
        <v>0</v>
      </c>
      <c r="E50" s="13">
        <f>ROUND(E49/G49,2)</f>
        <v>0.3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102860</v>
      </c>
      <c r="D54" s="15">
        <v>73</v>
      </c>
      <c r="E54" s="15">
        <v>58288</v>
      </c>
      <c r="F54" s="15">
        <v>116</v>
      </c>
      <c r="G54" s="15">
        <f>SUM(C54:F54)</f>
        <v>161337</v>
      </c>
      <c r="H54" s="17">
        <f>ROUND(G54/596,2)</f>
        <v>270.7</v>
      </c>
      <c r="I54" s="4"/>
      <c r="J54" s="4"/>
    </row>
    <row r="55" spans="1:10" x14ac:dyDescent="0.25">
      <c r="A55" s="33" t="s">
        <v>50</v>
      </c>
      <c r="B55" s="33"/>
      <c r="C55" s="15">
        <v>52605</v>
      </c>
      <c r="D55" s="15">
        <v>0</v>
      </c>
      <c r="E55" s="15">
        <v>9020</v>
      </c>
      <c r="F55" s="15">
        <v>20</v>
      </c>
      <c r="G55" s="15">
        <f>SUM(C55:F55)</f>
        <v>61645</v>
      </c>
      <c r="H55" s="17">
        <f>ROUND(G55/596,2)</f>
        <v>103.43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ROUND(G56/596,2)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ROUND(0.7387, 4)</f>
        <v>0.73870000000000002</v>
      </c>
      <c r="D60" s="19">
        <f>ROUND(0.7406, 4)</f>
        <v>0.74060000000000004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ROUND(0.7264, 4)</f>
        <v>0.72640000000000005</v>
      </c>
      <c r="D61" s="19">
        <f>ROUND(0.727, 4)</f>
        <v>0.72699999999999998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152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88.3</v>
      </c>
      <c r="D64" s="17">
        <v>90.66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42.85</v>
      </c>
      <c r="D65" s="17">
        <v>42.12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270.7</v>
      </c>
      <c r="D66" s="17">
        <v>250.02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103.43</v>
      </c>
      <c r="D67" s="17">
        <v>110.71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P70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151" bestFit="1" customWidth="1"/>
    <col min="3" max="3" width="14" bestFit="1" customWidth="1"/>
    <col min="4" max="4" width="36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153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2256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61280</v>
      </c>
      <c r="D9" s="9"/>
      <c r="E9" s="9">
        <v>4570</v>
      </c>
      <c r="F9" s="9"/>
      <c r="G9" s="9">
        <f t="shared" ref="G9:G41" si="0">SUM(C9:F9)</f>
        <v>65850</v>
      </c>
      <c r="H9">
        <f t="shared" ref="H9:H41" si="1">ROUND(G9/2256,2)</f>
        <v>29.19</v>
      </c>
      <c r="I9" s="10">
        <f t="shared" ref="I9:I41" si="2">ROUND(G9/$G$49,3)</f>
        <v>6.4000000000000001E-2</v>
      </c>
      <c r="J9">
        <f>ROUND(G9/P9-1,2)</f>
        <v>0.02</v>
      </c>
      <c r="P9">
        <v>64800</v>
      </c>
    </row>
    <row r="10" spans="1:16" x14ac:dyDescent="0.25">
      <c r="A10" t="s">
        <v>20</v>
      </c>
      <c r="B10" t="s">
        <v>22</v>
      </c>
      <c r="C10" s="9">
        <v>61560</v>
      </c>
      <c r="D10" s="9">
        <v>22970</v>
      </c>
      <c r="E10" s="9"/>
      <c r="F10" s="9"/>
      <c r="G10" s="9">
        <f t="shared" si="0"/>
        <v>84530</v>
      </c>
      <c r="H10">
        <f t="shared" si="1"/>
        <v>37.47</v>
      </c>
      <c r="I10" s="10">
        <f t="shared" si="2"/>
        <v>8.3000000000000004E-2</v>
      </c>
      <c r="J10">
        <f>ROUND(G10/P10-1,2)</f>
        <v>-0.12</v>
      </c>
      <c r="P10">
        <v>96460</v>
      </c>
    </row>
    <row r="11" spans="1:16" x14ac:dyDescent="0.25">
      <c r="A11" t="s">
        <v>20</v>
      </c>
      <c r="B11" t="s">
        <v>79</v>
      </c>
      <c r="C11" s="9"/>
      <c r="D11" s="9"/>
      <c r="E11" s="9">
        <v>218</v>
      </c>
      <c r="F11" s="9"/>
      <c r="G11" s="9">
        <f t="shared" si="0"/>
        <v>218</v>
      </c>
      <c r="H11">
        <f t="shared" si="1"/>
        <v>0.1</v>
      </c>
      <c r="I11" s="10">
        <f t="shared" si="2"/>
        <v>0</v>
      </c>
      <c r="J11">
        <f>ROUND(G11/P11-1,2)</f>
        <v>0.4</v>
      </c>
      <c r="P11">
        <v>156</v>
      </c>
    </row>
    <row r="12" spans="1:16" x14ac:dyDescent="0.25">
      <c r="A12" t="s">
        <v>20</v>
      </c>
      <c r="B12" t="s">
        <v>42</v>
      </c>
      <c r="C12" s="9"/>
      <c r="D12" s="9"/>
      <c r="E12" s="9">
        <v>26</v>
      </c>
      <c r="F12" s="9"/>
      <c r="G12" s="9">
        <f t="shared" si="0"/>
        <v>26</v>
      </c>
      <c r="H12">
        <f t="shared" si="1"/>
        <v>0.01</v>
      </c>
      <c r="I12" s="10">
        <f t="shared" si="2"/>
        <v>0</v>
      </c>
      <c r="J12">
        <f>ROUND(G12/P12-1,2)</f>
        <v>-0.78</v>
      </c>
      <c r="P12">
        <v>119</v>
      </c>
    </row>
    <row r="13" spans="1:16" x14ac:dyDescent="0.25">
      <c r="A13" t="s">
        <v>20</v>
      </c>
      <c r="B13" t="s">
        <v>23</v>
      </c>
      <c r="C13" s="9"/>
      <c r="D13" s="9"/>
      <c r="E13" s="9">
        <v>4700</v>
      </c>
      <c r="F13" s="9"/>
      <c r="G13" s="9">
        <f t="shared" si="0"/>
        <v>4700</v>
      </c>
      <c r="H13">
        <f t="shared" si="1"/>
        <v>2.08</v>
      </c>
      <c r="I13" s="10">
        <f t="shared" si="2"/>
        <v>5.0000000000000001E-3</v>
      </c>
      <c r="J13">
        <f>ROUND(G13/P13-1,2)</f>
        <v>1.1399999999999999</v>
      </c>
      <c r="P13">
        <v>2200</v>
      </c>
    </row>
    <row r="14" spans="1:16" x14ac:dyDescent="0.25">
      <c r="A14" t="s">
        <v>20</v>
      </c>
      <c r="B14" t="s">
        <v>154</v>
      </c>
      <c r="C14" s="9"/>
      <c r="D14" s="9"/>
      <c r="E14" s="9"/>
      <c r="F14" s="9">
        <v>99.5</v>
      </c>
      <c r="G14" s="9">
        <f t="shared" si="0"/>
        <v>99.5</v>
      </c>
      <c r="H14">
        <f t="shared" si="1"/>
        <v>0.04</v>
      </c>
      <c r="I14" s="10">
        <f t="shared" si="2"/>
        <v>0</v>
      </c>
      <c r="P14">
        <v>0</v>
      </c>
    </row>
    <row r="15" spans="1:16" x14ac:dyDescent="0.25">
      <c r="A15" t="s">
        <v>20</v>
      </c>
      <c r="B15" t="s">
        <v>24</v>
      </c>
      <c r="C15" s="9"/>
      <c r="D15" s="9"/>
      <c r="E15" s="9">
        <v>37220</v>
      </c>
      <c r="F15" s="9"/>
      <c r="G15" s="9">
        <f t="shared" si="0"/>
        <v>37220</v>
      </c>
      <c r="H15">
        <f t="shared" si="1"/>
        <v>16.5</v>
      </c>
      <c r="I15" s="10">
        <f t="shared" si="2"/>
        <v>3.5999999999999997E-2</v>
      </c>
      <c r="J15">
        <f t="shared" ref="J15:J26" si="3">ROUND(G15/P15-1,2)</f>
        <v>-0.04</v>
      </c>
      <c r="P15">
        <v>38580</v>
      </c>
    </row>
    <row r="16" spans="1:16" x14ac:dyDescent="0.25">
      <c r="A16" t="s">
        <v>20</v>
      </c>
      <c r="B16" t="s">
        <v>25</v>
      </c>
      <c r="C16" s="9">
        <v>86800</v>
      </c>
      <c r="D16" s="9"/>
      <c r="E16" s="9">
        <v>17800</v>
      </c>
      <c r="F16" s="9"/>
      <c r="G16" s="9">
        <f t="shared" si="0"/>
        <v>104600</v>
      </c>
      <c r="H16">
        <f t="shared" si="1"/>
        <v>46.37</v>
      </c>
      <c r="I16" s="10">
        <f t="shared" si="2"/>
        <v>0.10199999999999999</v>
      </c>
      <c r="J16">
        <f t="shared" si="3"/>
        <v>0.03</v>
      </c>
      <c r="P16">
        <v>101190</v>
      </c>
    </row>
    <row r="17" spans="1:16" x14ac:dyDescent="0.25">
      <c r="A17" t="s">
        <v>20</v>
      </c>
      <c r="B17" t="s">
        <v>69</v>
      </c>
      <c r="C17" s="9"/>
      <c r="D17" s="9"/>
      <c r="E17" s="9">
        <v>2750</v>
      </c>
      <c r="F17" s="9"/>
      <c r="G17" s="9">
        <f t="shared" si="0"/>
        <v>2750</v>
      </c>
      <c r="H17">
        <f t="shared" si="1"/>
        <v>1.22</v>
      </c>
      <c r="I17" s="10">
        <f t="shared" si="2"/>
        <v>3.0000000000000001E-3</v>
      </c>
      <c r="J17">
        <f t="shared" si="3"/>
        <v>-0.53</v>
      </c>
      <c r="P17">
        <v>5825</v>
      </c>
    </row>
    <row r="18" spans="1:16" x14ac:dyDescent="0.25">
      <c r="A18" t="s">
        <v>20</v>
      </c>
      <c r="B18" t="s">
        <v>26</v>
      </c>
      <c r="C18" s="9"/>
      <c r="D18" s="9">
        <v>23500</v>
      </c>
      <c r="E18" s="9"/>
      <c r="F18" s="9">
        <v>890</v>
      </c>
      <c r="G18" s="9">
        <f t="shared" si="0"/>
        <v>24390</v>
      </c>
      <c r="H18">
        <f t="shared" si="1"/>
        <v>10.81</v>
      </c>
      <c r="I18" s="10">
        <f t="shared" si="2"/>
        <v>2.4E-2</v>
      </c>
      <c r="J18">
        <f t="shared" si="3"/>
        <v>-0.04</v>
      </c>
      <c r="P18">
        <v>25390</v>
      </c>
    </row>
    <row r="19" spans="1:16" x14ac:dyDescent="0.25">
      <c r="A19" t="s">
        <v>20</v>
      </c>
      <c r="B19" t="s">
        <v>27</v>
      </c>
      <c r="C19" s="9"/>
      <c r="D19" s="9"/>
      <c r="E19" s="9">
        <v>388</v>
      </c>
      <c r="F19" s="9"/>
      <c r="G19" s="9">
        <f t="shared" si="0"/>
        <v>388</v>
      </c>
      <c r="H19">
        <f t="shared" si="1"/>
        <v>0.17</v>
      </c>
      <c r="I19" s="10">
        <f t="shared" si="2"/>
        <v>0</v>
      </c>
      <c r="J19">
        <f t="shared" si="3"/>
        <v>-0.33</v>
      </c>
      <c r="P19">
        <v>583</v>
      </c>
    </row>
    <row r="20" spans="1:16" x14ac:dyDescent="0.25">
      <c r="A20" t="s">
        <v>20</v>
      </c>
      <c r="B20" t="s">
        <v>28</v>
      </c>
      <c r="C20" s="9"/>
      <c r="D20" s="9"/>
      <c r="E20" s="9">
        <v>405</v>
      </c>
      <c r="F20" s="9"/>
      <c r="G20" s="9">
        <f t="shared" si="0"/>
        <v>405</v>
      </c>
      <c r="H20">
        <f t="shared" si="1"/>
        <v>0.18</v>
      </c>
      <c r="I20" s="10">
        <f t="shared" si="2"/>
        <v>0</v>
      </c>
      <c r="J20">
        <f t="shared" si="3"/>
        <v>2.68</v>
      </c>
      <c r="P20">
        <v>110</v>
      </c>
    </row>
    <row r="21" spans="1:16" x14ac:dyDescent="0.25">
      <c r="A21" t="s">
        <v>20</v>
      </c>
      <c r="B21" t="s">
        <v>29</v>
      </c>
      <c r="C21" s="9"/>
      <c r="D21" s="9"/>
      <c r="E21" s="9">
        <v>151</v>
      </c>
      <c r="F21" s="9"/>
      <c r="G21" s="9">
        <f t="shared" si="0"/>
        <v>151</v>
      </c>
      <c r="H21">
        <f t="shared" si="1"/>
        <v>7.0000000000000007E-2</v>
      </c>
      <c r="I21" s="10">
        <f t="shared" si="2"/>
        <v>0</v>
      </c>
      <c r="J21">
        <f t="shared" si="3"/>
        <v>-0.54</v>
      </c>
      <c r="P21">
        <v>327</v>
      </c>
    </row>
    <row r="22" spans="1:16" x14ac:dyDescent="0.25">
      <c r="A22" t="s">
        <v>20</v>
      </c>
      <c r="B22" t="s">
        <v>30</v>
      </c>
      <c r="C22" s="9"/>
      <c r="D22" s="9"/>
      <c r="E22" s="9">
        <v>2160</v>
      </c>
      <c r="F22" s="9"/>
      <c r="G22" s="9">
        <f t="shared" si="0"/>
        <v>2160</v>
      </c>
      <c r="H22">
        <f t="shared" si="1"/>
        <v>0.96</v>
      </c>
      <c r="I22" s="10">
        <f t="shared" si="2"/>
        <v>2E-3</v>
      </c>
      <c r="J22">
        <f t="shared" si="3"/>
        <v>-0.44</v>
      </c>
      <c r="P22">
        <v>3880</v>
      </c>
    </row>
    <row r="23" spans="1:16" x14ac:dyDescent="0.25">
      <c r="A23" t="s">
        <v>20</v>
      </c>
      <c r="B23" t="s">
        <v>31</v>
      </c>
      <c r="C23" s="9"/>
      <c r="D23" s="9"/>
      <c r="E23" s="9">
        <v>1020</v>
      </c>
      <c r="F23" s="9"/>
      <c r="G23" s="9">
        <f t="shared" si="0"/>
        <v>1020</v>
      </c>
      <c r="H23">
        <f t="shared" si="1"/>
        <v>0.45</v>
      </c>
      <c r="I23" s="10">
        <f t="shared" si="2"/>
        <v>1E-3</v>
      </c>
      <c r="J23">
        <f t="shared" si="3"/>
        <v>0.13</v>
      </c>
      <c r="P23">
        <v>900</v>
      </c>
    </row>
    <row r="24" spans="1:16" x14ac:dyDescent="0.25">
      <c r="A24" t="s">
        <v>20</v>
      </c>
      <c r="B24" t="s">
        <v>32</v>
      </c>
      <c r="C24" s="9"/>
      <c r="D24" s="9"/>
      <c r="E24" s="9">
        <v>1150</v>
      </c>
      <c r="F24" s="9"/>
      <c r="G24" s="9">
        <f t="shared" si="0"/>
        <v>1150</v>
      </c>
      <c r="H24">
        <f t="shared" si="1"/>
        <v>0.51</v>
      </c>
      <c r="I24" s="10">
        <f t="shared" si="2"/>
        <v>1E-3</v>
      </c>
      <c r="J24">
        <f t="shared" si="3"/>
        <v>-0.18</v>
      </c>
      <c r="P24">
        <v>1400</v>
      </c>
    </row>
    <row r="25" spans="1:16" x14ac:dyDescent="0.25">
      <c r="A25" t="s">
        <v>20</v>
      </c>
      <c r="B25" t="s">
        <v>33</v>
      </c>
      <c r="C25" s="9"/>
      <c r="D25" s="9"/>
      <c r="E25" s="9">
        <v>1085</v>
      </c>
      <c r="F25" s="9"/>
      <c r="G25" s="9">
        <f t="shared" si="0"/>
        <v>1085</v>
      </c>
      <c r="H25">
        <f t="shared" si="1"/>
        <v>0.48</v>
      </c>
      <c r="I25" s="10">
        <f t="shared" si="2"/>
        <v>1E-3</v>
      </c>
      <c r="J25">
        <f t="shared" si="3"/>
        <v>0.05</v>
      </c>
      <c r="P25">
        <v>1035</v>
      </c>
    </row>
    <row r="26" spans="1:16" x14ac:dyDescent="0.25">
      <c r="A26" t="s">
        <v>20</v>
      </c>
      <c r="B26" t="s">
        <v>43</v>
      </c>
      <c r="C26" s="9"/>
      <c r="D26" s="9">
        <v>234</v>
      </c>
      <c r="E26" s="9"/>
      <c r="F26" s="9"/>
      <c r="G26" s="9">
        <f t="shared" si="0"/>
        <v>234</v>
      </c>
      <c r="H26">
        <f t="shared" si="1"/>
        <v>0.1</v>
      </c>
      <c r="I26" s="10">
        <f t="shared" si="2"/>
        <v>0</v>
      </c>
      <c r="J26">
        <f t="shared" si="3"/>
        <v>-0.01</v>
      </c>
      <c r="P26">
        <v>236</v>
      </c>
    </row>
    <row r="27" spans="1:16" x14ac:dyDescent="0.25">
      <c r="A27" t="s">
        <v>20</v>
      </c>
      <c r="B27" t="s">
        <v>70</v>
      </c>
      <c r="C27" s="9"/>
      <c r="D27" s="9"/>
      <c r="E27" s="9">
        <v>1465</v>
      </c>
      <c r="F27" s="9"/>
      <c r="G27" s="9">
        <f t="shared" si="0"/>
        <v>1465</v>
      </c>
      <c r="H27">
        <f t="shared" si="1"/>
        <v>0.65</v>
      </c>
      <c r="I27" s="10">
        <f t="shared" si="2"/>
        <v>1E-3</v>
      </c>
      <c r="P27">
        <v>0</v>
      </c>
    </row>
    <row r="28" spans="1:16" x14ac:dyDescent="0.25">
      <c r="A28" t="s">
        <v>20</v>
      </c>
      <c r="B28" t="s">
        <v>35</v>
      </c>
      <c r="C28" s="9"/>
      <c r="D28" s="9"/>
      <c r="E28" s="9">
        <v>3080</v>
      </c>
      <c r="F28" s="9"/>
      <c r="G28" s="9">
        <f t="shared" si="0"/>
        <v>3080</v>
      </c>
      <c r="H28">
        <f t="shared" si="1"/>
        <v>1.37</v>
      </c>
      <c r="I28" s="10">
        <f t="shared" si="2"/>
        <v>3.0000000000000001E-3</v>
      </c>
      <c r="J28">
        <f t="shared" ref="J28:J34" si="4">ROUND(G28/P28-1,2)</f>
        <v>-0.25</v>
      </c>
      <c r="P28">
        <v>4107</v>
      </c>
    </row>
    <row r="29" spans="1:16" x14ac:dyDescent="0.25">
      <c r="A29" t="s">
        <v>20</v>
      </c>
      <c r="B29" t="s">
        <v>41</v>
      </c>
      <c r="C29" s="9"/>
      <c r="D29" s="9"/>
      <c r="E29" s="9">
        <v>8190</v>
      </c>
      <c r="F29" s="9"/>
      <c r="G29" s="9">
        <f t="shared" si="0"/>
        <v>8190</v>
      </c>
      <c r="H29">
        <f t="shared" si="1"/>
        <v>3.63</v>
      </c>
      <c r="I29" s="10">
        <f t="shared" si="2"/>
        <v>8.0000000000000002E-3</v>
      </c>
      <c r="J29">
        <f t="shared" si="4"/>
        <v>0.76</v>
      </c>
      <c r="P29">
        <v>4662</v>
      </c>
    </row>
    <row r="30" spans="1:16" x14ac:dyDescent="0.25">
      <c r="A30" t="s">
        <v>20</v>
      </c>
      <c r="B30" t="s">
        <v>36</v>
      </c>
      <c r="C30" s="9"/>
      <c r="D30" s="9"/>
      <c r="E30" s="9">
        <v>1090</v>
      </c>
      <c r="F30" s="9"/>
      <c r="G30" s="9">
        <f t="shared" si="0"/>
        <v>1090</v>
      </c>
      <c r="H30">
        <f t="shared" si="1"/>
        <v>0.48</v>
      </c>
      <c r="I30" s="10">
        <f t="shared" si="2"/>
        <v>1E-3</v>
      </c>
      <c r="J30">
        <f t="shared" si="4"/>
        <v>-0.79</v>
      </c>
      <c r="P30">
        <v>5280</v>
      </c>
    </row>
    <row r="31" spans="1:16" x14ac:dyDescent="0.25">
      <c r="A31" t="s">
        <v>20</v>
      </c>
      <c r="B31" t="s">
        <v>37</v>
      </c>
      <c r="C31" s="9"/>
      <c r="D31" s="9"/>
      <c r="E31" s="9">
        <v>56585</v>
      </c>
      <c r="F31" s="9"/>
      <c r="G31" s="9">
        <f t="shared" si="0"/>
        <v>56585</v>
      </c>
      <c r="H31">
        <f t="shared" si="1"/>
        <v>25.08</v>
      </c>
      <c r="I31" s="10">
        <f t="shared" si="2"/>
        <v>5.5E-2</v>
      </c>
      <c r="J31">
        <f t="shared" si="4"/>
        <v>-7.0000000000000007E-2</v>
      </c>
      <c r="P31">
        <v>60550</v>
      </c>
    </row>
    <row r="32" spans="1:16" x14ac:dyDescent="0.25">
      <c r="A32" t="s">
        <v>20</v>
      </c>
      <c r="B32" t="s">
        <v>38</v>
      </c>
      <c r="C32" s="9"/>
      <c r="D32" s="9"/>
      <c r="E32" s="9">
        <v>3840</v>
      </c>
      <c r="F32" s="9"/>
      <c r="G32" s="9">
        <f t="shared" si="0"/>
        <v>3840</v>
      </c>
      <c r="H32">
        <f t="shared" si="1"/>
        <v>1.7</v>
      </c>
      <c r="I32" s="10">
        <f t="shared" si="2"/>
        <v>4.0000000000000001E-3</v>
      </c>
      <c r="J32">
        <f t="shared" si="4"/>
        <v>0.04</v>
      </c>
      <c r="P32">
        <v>3680</v>
      </c>
    </row>
    <row r="33" spans="1:16" x14ac:dyDescent="0.25">
      <c r="A33" t="s">
        <v>20</v>
      </c>
      <c r="B33" t="s">
        <v>39</v>
      </c>
      <c r="C33" s="9"/>
      <c r="D33" s="9"/>
      <c r="E33" s="9">
        <v>15930</v>
      </c>
      <c r="F33" s="9"/>
      <c r="G33" s="9">
        <f t="shared" si="0"/>
        <v>15930</v>
      </c>
      <c r="H33">
        <f t="shared" si="1"/>
        <v>7.06</v>
      </c>
      <c r="I33" s="10">
        <f t="shared" si="2"/>
        <v>1.6E-2</v>
      </c>
      <c r="J33">
        <f t="shared" si="4"/>
        <v>0.38</v>
      </c>
      <c r="P33">
        <v>11520</v>
      </c>
    </row>
    <row r="34" spans="1:16" x14ac:dyDescent="0.25">
      <c r="A34" t="s">
        <v>20</v>
      </c>
      <c r="B34" t="s">
        <v>40</v>
      </c>
      <c r="C34" s="9"/>
      <c r="D34" s="9"/>
      <c r="E34" s="9">
        <v>178870</v>
      </c>
      <c r="F34" s="9"/>
      <c r="G34" s="9">
        <f t="shared" si="0"/>
        <v>178870</v>
      </c>
      <c r="H34">
        <f t="shared" si="1"/>
        <v>79.290000000000006</v>
      </c>
      <c r="I34" s="10">
        <f t="shared" si="2"/>
        <v>0.17499999999999999</v>
      </c>
      <c r="J34">
        <f t="shared" si="4"/>
        <v>0.27</v>
      </c>
      <c r="P34">
        <v>140810</v>
      </c>
    </row>
    <row r="35" spans="1:16" x14ac:dyDescent="0.25">
      <c r="A35" t="s">
        <v>20</v>
      </c>
      <c r="B35" t="s">
        <v>34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20</v>
      </c>
      <c r="B36" t="s">
        <v>67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J36">
        <f>ROUND(G36/P36-1,2)</f>
        <v>-1</v>
      </c>
      <c r="P36">
        <v>25</v>
      </c>
    </row>
    <row r="37" spans="1:16" x14ac:dyDescent="0.25">
      <c r="A37" t="s">
        <v>44</v>
      </c>
      <c r="B37" t="s">
        <v>45</v>
      </c>
      <c r="C37" s="9"/>
      <c r="D37" s="9">
        <v>374955</v>
      </c>
      <c r="E37" s="9"/>
      <c r="F37" s="9"/>
      <c r="G37" s="9">
        <f t="shared" si="0"/>
        <v>374955</v>
      </c>
      <c r="H37">
        <f t="shared" si="1"/>
        <v>166.2</v>
      </c>
      <c r="I37" s="10">
        <f t="shared" si="2"/>
        <v>0.36599999999999999</v>
      </c>
      <c r="J37">
        <f>ROUND(G37/P37-1,2)</f>
        <v>0.03</v>
      </c>
      <c r="P37">
        <v>365780</v>
      </c>
    </row>
    <row r="38" spans="1:16" x14ac:dyDescent="0.25">
      <c r="A38" t="s">
        <v>44</v>
      </c>
      <c r="B38" t="s">
        <v>47</v>
      </c>
      <c r="C38" s="9"/>
      <c r="D38" s="9"/>
      <c r="E38" s="9"/>
      <c r="F38" s="9">
        <v>7710</v>
      </c>
      <c r="G38" s="9">
        <f t="shared" si="0"/>
        <v>7710</v>
      </c>
      <c r="H38">
        <f t="shared" si="1"/>
        <v>3.42</v>
      </c>
      <c r="I38" s="10">
        <f t="shared" si="2"/>
        <v>8.0000000000000002E-3</v>
      </c>
      <c r="J38">
        <f>ROUND(G38/P38-1,2)</f>
        <v>-7.0000000000000007E-2</v>
      </c>
      <c r="P38">
        <v>8320</v>
      </c>
    </row>
    <row r="39" spans="1:16" x14ac:dyDescent="0.25">
      <c r="A39" t="s">
        <v>44</v>
      </c>
      <c r="B39" t="s">
        <v>46</v>
      </c>
      <c r="C39" s="9"/>
      <c r="D39" s="9"/>
      <c r="E39" s="9">
        <v>40740</v>
      </c>
      <c r="F39" s="9"/>
      <c r="G39" s="9">
        <f t="shared" si="0"/>
        <v>40740</v>
      </c>
      <c r="H39">
        <f t="shared" si="1"/>
        <v>18.059999999999999</v>
      </c>
      <c r="I39" s="10">
        <f t="shared" si="2"/>
        <v>0.04</v>
      </c>
      <c r="J39">
        <f>ROUND(G39/P39-1,2)</f>
        <v>0.06</v>
      </c>
      <c r="P39">
        <v>38390</v>
      </c>
    </row>
    <row r="40" spans="1:16" x14ac:dyDescent="0.25">
      <c r="A40" t="s">
        <v>16</v>
      </c>
      <c r="B40" t="s">
        <v>19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16</v>
      </c>
      <c r="B41" t="s">
        <v>66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SUM(C8:C41)</f>
        <v>209640</v>
      </c>
      <c r="D49" s="12">
        <f t="shared" si="5"/>
        <v>421659</v>
      </c>
      <c r="E49" s="12">
        <f t="shared" si="5"/>
        <v>383433</v>
      </c>
      <c r="F49" s="12">
        <f t="shared" si="5"/>
        <v>8699.5</v>
      </c>
      <c r="G49" s="12">
        <f t="shared" si="5"/>
        <v>1023431.5</v>
      </c>
      <c r="H49" s="11">
        <f t="shared" si="5"/>
        <v>453.65</v>
      </c>
      <c r="I49" s="4"/>
    </row>
    <row r="50" spans="1:10" x14ac:dyDescent="0.25">
      <c r="A50" s="11" t="s">
        <v>14</v>
      </c>
      <c r="C50" s="13">
        <f>ROUND(C49/G49,2)</f>
        <v>0.2</v>
      </c>
      <c r="D50" s="13">
        <f>ROUND(D49/G49,2)</f>
        <v>0.41</v>
      </c>
      <c r="E50" s="13">
        <f>ROUND(E49/G49,2)</f>
        <v>0.37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209640</v>
      </c>
      <c r="D54" s="15">
        <v>46704</v>
      </c>
      <c r="E54" s="15">
        <v>342693</v>
      </c>
      <c r="F54" s="15">
        <v>989.5</v>
      </c>
      <c r="G54" s="15">
        <f>SUM(C54:F54)</f>
        <v>600026.5</v>
      </c>
      <c r="H54" s="17">
        <f>ROUND(G54/2256,2)</f>
        <v>265.97000000000003</v>
      </c>
      <c r="I54" s="4"/>
      <c r="J54" s="4"/>
    </row>
    <row r="55" spans="1:10" x14ac:dyDescent="0.25">
      <c r="A55" s="33" t="s">
        <v>50</v>
      </c>
      <c r="B55" s="33"/>
      <c r="C55" s="15">
        <v>0</v>
      </c>
      <c r="D55" s="15">
        <v>374955</v>
      </c>
      <c r="E55" s="15">
        <v>40740</v>
      </c>
      <c r="F55" s="15">
        <v>7710</v>
      </c>
      <c r="G55" s="15">
        <f>SUM(C55:F55)</f>
        <v>423405</v>
      </c>
      <c r="H55" s="17">
        <f>ROUND(G55/2256,2)</f>
        <v>187.68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ROUND(G56/2256,2)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ROUND(0.6124, 4)</f>
        <v>0.61240000000000006</v>
      </c>
      <c r="D60" s="19">
        <f>ROUND(0.6075, 4)</f>
        <v>0.60750000000000004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ROUND(0.6038, 4)</f>
        <v>0.6038</v>
      </c>
      <c r="D61" s="19">
        <f>ROUND(0.5987, 4)</f>
        <v>0.59870000000000001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155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166.2</v>
      </c>
      <c r="D64" s="17">
        <v>165.06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10.81</v>
      </c>
      <c r="D65" s="17">
        <v>10.65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265.97000000000003</v>
      </c>
      <c r="D66" s="17">
        <v>268.22000000000003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187.68</v>
      </c>
      <c r="D67" s="17">
        <v>187.58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156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5771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65</v>
      </c>
      <c r="G9" s="9">
        <f t="shared" ref="G9:G44" si="0">SUM(C9:F9)</f>
        <v>65</v>
      </c>
      <c r="H9">
        <f t="shared" ref="H9:H44" si="1">ROUND(G9/5771,2)</f>
        <v>0.01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885</v>
      </c>
      <c r="G10" s="9">
        <f t="shared" si="0"/>
        <v>885</v>
      </c>
      <c r="H10">
        <f t="shared" si="1"/>
        <v>0.15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78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J12">
        <f>ROUND(G12/P12-1,2)</f>
        <v>-1</v>
      </c>
      <c r="P12">
        <v>320</v>
      </c>
    </row>
    <row r="13" spans="1:16" x14ac:dyDescent="0.25">
      <c r="A13" t="s">
        <v>16</v>
      </c>
      <c r="B13" t="s">
        <v>66</v>
      </c>
      <c r="C13" s="9"/>
      <c r="D13" s="9"/>
      <c r="E13" s="9"/>
      <c r="F13" s="9"/>
      <c r="G13" s="9">
        <f t="shared" si="0"/>
        <v>0</v>
      </c>
      <c r="H13">
        <f t="shared" si="1"/>
        <v>0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67</v>
      </c>
      <c r="C14" s="9"/>
      <c r="D14" s="9"/>
      <c r="E14" s="9">
        <v>180</v>
      </c>
      <c r="F14" s="9"/>
      <c r="G14" s="9">
        <f t="shared" si="0"/>
        <v>180</v>
      </c>
      <c r="H14">
        <f t="shared" si="1"/>
        <v>0.03</v>
      </c>
      <c r="I14" s="10">
        <f t="shared" si="2"/>
        <v>0</v>
      </c>
      <c r="J14">
        <f>ROUND(G14/P14-1,2)</f>
        <v>0.36</v>
      </c>
      <c r="P14">
        <v>132</v>
      </c>
    </row>
    <row r="15" spans="1:16" x14ac:dyDescent="0.25">
      <c r="A15" t="s">
        <v>20</v>
      </c>
      <c r="B15" t="s">
        <v>21</v>
      </c>
      <c r="C15" s="9">
        <v>183590</v>
      </c>
      <c r="D15" s="9"/>
      <c r="E15" s="9">
        <v>6270</v>
      </c>
      <c r="F15" s="9"/>
      <c r="G15" s="9">
        <f t="shared" si="0"/>
        <v>189860</v>
      </c>
      <c r="H15">
        <f t="shared" si="1"/>
        <v>32.9</v>
      </c>
      <c r="I15" s="10">
        <f t="shared" si="2"/>
        <v>8.1000000000000003E-2</v>
      </c>
      <c r="J15">
        <f>ROUND(G15/P15-1,2)</f>
        <v>-0.01</v>
      </c>
      <c r="P15">
        <v>190920</v>
      </c>
    </row>
    <row r="16" spans="1:16" x14ac:dyDescent="0.25">
      <c r="A16" t="s">
        <v>20</v>
      </c>
      <c r="B16" t="s">
        <v>22</v>
      </c>
      <c r="C16" s="9">
        <v>220040</v>
      </c>
      <c r="D16" s="9"/>
      <c r="E16" s="9"/>
      <c r="F16" s="9"/>
      <c r="G16" s="9">
        <f t="shared" si="0"/>
        <v>220040</v>
      </c>
      <c r="H16">
        <f t="shared" si="1"/>
        <v>38.130000000000003</v>
      </c>
      <c r="I16" s="10">
        <f t="shared" si="2"/>
        <v>9.2999999999999999E-2</v>
      </c>
      <c r="J16">
        <f>ROUND(G16/P16-1,2)</f>
        <v>-0.09</v>
      </c>
      <c r="P16">
        <v>243020</v>
      </c>
    </row>
    <row r="17" spans="1:16" x14ac:dyDescent="0.25">
      <c r="A17" t="s">
        <v>20</v>
      </c>
      <c r="B17" t="s">
        <v>80</v>
      </c>
      <c r="C17" s="9"/>
      <c r="D17" s="9"/>
      <c r="E17" s="9"/>
      <c r="F17" s="9">
        <v>920</v>
      </c>
      <c r="G17" s="9">
        <f t="shared" si="0"/>
        <v>920</v>
      </c>
      <c r="H17">
        <f t="shared" si="1"/>
        <v>0.16</v>
      </c>
      <c r="I17" s="10">
        <f t="shared" si="2"/>
        <v>0</v>
      </c>
      <c r="P17">
        <v>0</v>
      </c>
    </row>
    <row r="18" spans="1:16" x14ac:dyDescent="0.25">
      <c r="A18" t="s">
        <v>20</v>
      </c>
      <c r="B18" t="s">
        <v>24</v>
      </c>
      <c r="C18" s="9"/>
      <c r="D18" s="9"/>
      <c r="E18" s="9">
        <v>76100</v>
      </c>
      <c r="F18" s="9"/>
      <c r="G18" s="9">
        <f t="shared" si="0"/>
        <v>76100</v>
      </c>
      <c r="H18">
        <f t="shared" si="1"/>
        <v>13.19</v>
      </c>
      <c r="I18" s="10">
        <f t="shared" si="2"/>
        <v>3.2000000000000001E-2</v>
      </c>
      <c r="J18">
        <f>ROUND(G18/P18-1,2)</f>
        <v>-0.31</v>
      </c>
      <c r="P18">
        <v>109680</v>
      </c>
    </row>
    <row r="19" spans="1:16" x14ac:dyDescent="0.25">
      <c r="A19" t="s">
        <v>20</v>
      </c>
      <c r="B19" t="s">
        <v>25</v>
      </c>
      <c r="C19" s="9">
        <v>250530</v>
      </c>
      <c r="D19" s="9"/>
      <c r="E19" s="9">
        <v>21000</v>
      </c>
      <c r="F19" s="9"/>
      <c r="G19" s="9">
        <f t="shared" si="0"/>
        <v>271530</v>
      </c>
      <c r="H19">
        <f t="shared" si="1"/>
        <v>47.05</v>
      </c>
      <c r="I19" s="10">
        <f t="shared" si="2"/>
        <v>0.115</v>
      </c>
      <c r="J19">
        <f>ROUND(G19/P19-1,2)</f>
        <v>-0.03</v>
      </c>
      <c r="P19">
        <v>280620</v>
      </c>
    </row>
    <row r="20" spans="1:16" x14ac:dyDescent="0.25">
      <c r="A20" t="s">
        <v>20</v>
      </c>
      <c r="B20" t="s">
        <v>69</v>
      </c>
      <c r="C20" s="9"/>
      <c r="D20" s="9"/>
      <c r="E20" s="9">
        <v>10880</v>
      </c>
      <c r="F20" s="9"/>
      <c r="G20" s="9">
        <f t="shared" si="0"/>
        <v>10880</v>
      </c>
      <c r="H20">
        <f t="shared" si="1"/>
        <v>1.89</v>
      </c>
      <c r="I20" s="10">
        <f t="shared" si="2"/>
        <v>5.0000000000000001E-3</v>
      </c>
      <c r="J20">
        <f>ROUND(G20/P20-1,2)</f>
        <v>-0.27</v>
      </c>
      <c r="P20">
        <v>14930</v>
      </c>
    </row>
    <row r="21" spans="1:16" x14ac:dyDescent="0.25">
      <c r="A21" t="s">
        <v>20</v>
      </c>
      <c r="B21" t="s">
        <v>26</v>
      </c>
      <c r="C21" s="9">
        <v>477480</v>
      </c>
      <c r="D21" s="9"/>
      <c r="E21" s="9"/>
      <c r="F21" s="9">
        <v>180</v>
      </c>
      <c r="G21" s="9">
        <f t="shared" si="0"/>
        <v>477660</v>
      </c>
      <c r="H21">
        <f t="shared" si="1"/>
        <v>82.77</v>
      </c>
      <c r="I21" s="10">
        <f t="shared" si="2"/>
        <v>0.20300000000000001</v>
      </c>
      <c r="J21">
        <f>ROUND(G21/P21-1,2)</f>
        <v>-0.08</v>
      </c>
      <c r="P21">
        <v>518430</v>
      </c>
    </row>
    <row r="22" spans="1:16" x14ac:dyDescent="0.25">
      <c r="A22" t="s">
        <v>20</v>
      </c>
      <c r="B22" t="s">
        <v>27</v>
      </c>
      <c r="C22" s="9"/>
      <c r="D22" s="9"/>
      <c r="E22" s="9">
        <v>844</v>
      </c>
      <c r="F22" s="9"/>
      <c r="G22" s="9">
        <f t="shared" si="0"/>
        <v>844</v>
      </c>
      <c r="H22">
        <f t="shared" si="1"/>
        <v>0.15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28</v>
      </c>
      <c r="C23" s="9"/>
      <c r="D23" s="9"/>
      <c r="E23" s="9">
        <v>386</v>
      </c>
      <c r="F23" s="9"/>
      <c r="G23" s="9">
        <f t="shared" si="0"/>
        <v>386</v>
      </c>
      <c r="H23">
        <f t="shared" si="1"/>
        <v>7.0000000000000007E-2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29</v>
      </c>
      <c r="C24" s="9"/>
      <c r="D24" s="9"/>
      <c r="E24" s="9">
        <v>387</v>
      </c>
      <c r="F24" s="9"/>
      <c r="G24" s="9">
        <f t="shared" si="0"/>
        <v>387</v>
      </c>
      <c r="H24">
        <f t="shared" si="1"/>
        <v>7.0000000000000007E-2</v>
      </c>
      <c r="I24" s="10">
        <f t="shared" si="2"/>
        <v>0</v>
      </c>
      <c r="J24">
        <f t="shared" ref="J24:J37" si="3">ROUND(G24/P24-1,2)</f>
        <v>1.1499999999999999</v>
      </c>
      <c r="P24">
        <v>180</v>
      </c>
    </row>
    <row r="25" spans="1:16" x14ac:dyDescent="0.25">
      <c r="A25" t="s">
        <v>20</v>
      </c>
      <c r="B25" t="s">
        <v>30</v>
      </c>
      <c r="C25" s="9"/>
      <c r="D25" s="9"/>
      <c r="E25" s="9">
        <v>11320</v>
      </c>
      <c r="F25" s="9"/>
      <c r="G25" s="9">
        <f t="shared" si="0"/>
        <v>11320</v>
      </c>
      <c r="H25">
        <f t="shared" si="1"/>
        <v>1.96</v>
      </c>
      <c r="I25" s="10">
        <f t="shared" si="2"/>
        <v>5.0000000000000001E-3</v>
      </c>
      <c r="J25">
        <f t="shared" si="3"/>
        <v>-0.23</v>
      </c>
      <c r="P25">
        <v>14720</v>
      </c>
    </row>
    <row r="26" spans="1:16" x14ac:dyDescent="0.25">
      <c r="A26" t="s">
        <v>20</v>
      </c>
      <c r="B26" t="s">
        <v>31</v>
      </c>
      <c r="C26" s="9"/>
      <c r="D26" s="9"/>
      <c r="E26" s="9">
        <v>2340</v>
      </c>
      <c r="F26" s="9"/>
      <c r="G26" s="9">
        <f t="shared" si="0"/>
        <v>2340</v>
      </c>
      <c r="H26">
        <f t="shared" si="1"/>
        <v>0.41</v>
      </c>
      <c r="I26" s="10">
        <f t="shared" si="2"/>
        <v>1E-3</v>
      </c>
      <c r="J26">
        <f t="shared" si="3"/>
        <v>0</v>
      </c>
      <c r="P26">
        <v>2350</v>
      </c>
    </row>
    <row r="27" spans="1:16" x14ac:dyDescent="0.25">
      <c r="A27" t="s">
        <v>20</v>
      </c>
      <c r="B27" t="s">
        <v>32</v>
      </c>
      <c r="C27" s="9"/>
      <c r="D27" s="9"/>
      <c r="E27" s="9">
        <v>580</v>
      </c>
      <c r="F27" s="9"/>
      <c r="G27" s="9">
        <f t="shared" si="0"/>
        <v>580</v>
      </c>
      <c r="H27">
        <f t="shared" si="1"/>
        <v>0.1</v>
      </c>
      <c r="I27" s="10">
        <f t="shared" si="2"/>
        <v>0</v>
      </c>
      <c r="J27">
        <f t="shared" si="3"/>
        <v>-0.33</v>
      </c>
      <c r="P27">
        <v>870</v>
      </c>
    </row>
    <row r="28" spans="1:16" x14ac:dyDescent="0.25">
      <c r="A28" t="s">
        <v>20</v>
      </c>
      <c r="B28" t="s">
        <v>43</v>
      </c>
      <c r="C28" s="9"/>
      <c r="D28" s="9">
        <v>771</v>
      </c>
      <c r="E28" s="9"/>
      <c r="F28" s="9"/>
      <c r="G28" s="9">
        <f t="shared" si="0"/>
        <v>771</v>
      </c>
      <c r="H28">
        <f t="shared" si="1"/>
        <v>0.13</v>
      </c>
      <c r="I28" s="10">
        <f t="shared" si="2"/>
        <v>0</v>
      </c>
      <c r="J28">
        <f t="shared" si="3"/>
        <v>-0.09</v>
      </c>
      <c r="P28">
        <v>848</v>
      </c>
    </row>
    <row r="29" spans="1:16" x14ac:dyDescent="0.25">
      <c r="A29" t="s">
        <v>20</v>
      </c>
      <c r="B29" t="s">
        <v>70</v>
      </c>
      <c r="C29" s="9"/>
      <c r="D29" s="9"/>
      <c r="E29" s="9">
        <v>1960</v>
      </c>
      <c r="F29" s="9"/>
      <c r="G29" s="9">
        <f t="shared" si="0"/>
        <v>1960</v>
      </c>
      <c r="H29">
        <f t="shared" si="1"/>
        <v>0.34</v>
      </c>
      <c r="I29" s="10">
        <f t="shared" si="2"/>
        <v>1E-3</v>
      </c>
      <c r="J29">
        <f t="shared" si="3"/>
        <v>0.45</v>
      </c>
      <c r="P29">
        <v>1350</v>
      </c>
    </row>
    <row r="30" spans="1:16" x14ac:dyDescent="0.25">
      <c r="A30" t="s">
        <v>20</v>
      </c>
      <c r="B30" t="s">
        <v>34</v>
      </c>
      <c r="C30" s="9"/>
      <c r="D30" s="9">
        <v>1155</v>
      </c>
      <c r="E30" s="9"/>
      <c r="F30" s="9"/>
      <c r="G30" s="9">
        <f t="shared" si="0"/>
        <v>1155</v>
      </c>
      <c r="H30">
        <f t="shared" si="1"/>
        <v>0.2</v>
      </c>
      <c r="I30" s="10">
        <f t="shared" si="2"/>
        <v>0</v>
      </c>
      <c r="J30">
        <f t="shared" si="3"/>
        <v>0.03</v>
      </c>
      <c r="P30">
        <v>1120</v>
      </c>
    </row>
    <row r="31" spans="1:16" x14ac:dyDescent="0.25">
      <c r="A31" t="s">
        <v>20</v>
      </c>
      <c r="B31" t="s">
        <v>35</v>
      </c>
      <c r="C31" s="9"/>
      <c r="D31" s="9"/>
      <c r="E31" s="9">
        <v>5541</v>
      </c>
      <c r="F31" s="9"/>
      <c r="G31" s="9">
        <f t="shared" si="0"/>
        <v>5541</v>
      </c>
      <c r="H31">
        <f t="shared" si="1"/>
        <v>0.96</v>
      </c>
      <c r="I31" s="10">
        <f t="shared" si="2"/>
        <v>2E-3</v>
      </c>
      <c r="J31">
        <f t="shared" si="3"/>
        <v>0.25</v>
      </c>
      <c r="P31">
        <v>4419</v>
      </c>
    </row>
    <row r="32" spans="1:16" x14ac:dyDescent="0.25">
      <c r="A32" t="s">
        <v>20</v>
      </c>
      <c r="B32" t="s">
        <v>41</v>
      </c>
      <c r="C32" s="9"/>
      <c r="D32" s="9"/>
      <c r="E32" s="9">
        <v>16560</v>
      </c>
      <c r="F32" s="9"/>
      <c r="G32" s="9">
        <f t="shared" si="0"/>
        <v>16560</v>
      </c>
      <c r="H32">
        <f t="shared" si="1"/>
        <v>2.87</v>
      </c>
      <c r="I32" s="10">
        <f t="shared" si="2"/>
        <v>7.0000000000000001E-3</v>
      </c>
      <c r="J32">
        <f t="shared" si="3"/>
        <v>-0.06</v>
      </c>
      <c r="P32">
        <v>17554</v>
      </c>
    </row>
    <row r="33" spans="1:16" x14ac:dyDescent="0.25">
      <c r="A33" t="s">
        <v>20</v>
      </c>
      <c r="B33" t="s">
        <v>36</v>
      </c>
      <c r="C33" s="9"/>
      <c r="D33" s="9"/>
      <c r="E33" s="9">
        <v>14681</v>
      </c>
      <c r="F33" s="9"/>
      <c r="G33" s="9">
        <f t="shared" si="0"/>
        <v>14681</v>
      </c>
      <c r="H33">
        <f t="shared" si="1"/>
        <v>2.54</v>
      </c>
      <c r="I33" s="10">
        <f t="shared" si="2"/>
        <v>6.0000000000000001E-3</v>
      </c>
      <c r="J33">
        <f t="shared" si="3"/>
        <v>-0.2</v>
      </c>
      <c r="P33">
        <v>18280</v>
      </c>
    </row>
    <row r="34" spans="1:16" x14ac:dyDescent="0.25">
      <c r="A34" t="s">
        <v>20</v>
      </c>
      <c r="B34" t="s">
        <v>37</v>
      </c>
      <c r="C34" s="9"/>
      <c r="D34" s="9"/>
      <c r="E34" s="9">
        <v>144420</v>
      </c>
      <c r="F34" s="9"/>
      <c r="G34" s="9">
        <f t="shared" si="0"/>
        <v>144420</v>
      </c>
      <c r="H34">
        <f t="shared" si="1"/>
        <v>25.03</v>
      </c>
      <c r="I34" s="10">
        <f t="shared" si="2"/>
        <v>6.0999999999999999E-2</v>
      </c>
      <c r="J34">
        <f t="shared" si="3"/>
        <v>-0.04</v>
      </c>
      <c r="P34">
        <v>151040</v>
      </c>
    </row>
    <row r="35" spans="1:16" x14ac:dyDescent="0.25">
      <c r="A35" t="s">
        <v>20</v>
      </c>
      <c r="B35" t="s">
        <v>38</v>
      </c>
      <c r="C35" s="9"/>
      <c r="D35" s="9"/>
      <c r="E35" s="9">
        <v>6550</v>
      </c>
      <c r="F35" s="9"/>
      <c r="G35" s="9">
        <f t="shared" si="0"/>
        <v>6550</v>
      </c>
      <c r="H35">
        <f t="shared" si="1"/>
        <v>1.1299999999999999</v>
      </c>
      <c r="I35" s="10">
        <f t="shared" si="2"/>
        <v>3.0000000000000001E-3</v>
      </c>
      <c r="J35">
        <f t="shared" si="3"/>
        <v>-0.3</v>
      </c>
      <c r="P35">
        <v>9335</v>
      </c>
    </row>
    <row r="36" spans="1:16" x14ac:dyDescent="0.25">
      <c r="A36" t="s">
        <v>20</v>
      </c>
      <c r="B36" t="s">
        <v>39</v>
      </c>
      <c r="C36" s="9"/>
      <c r="D36" s="9"/>
      <c r="E36" s="9">
        <v>37870</v>
      </c>
      <c r="F36" s="9"/>
      <c r="G36" s="9">
        <f t="shared" si="0"/>
        <v>37870</v>
      </c>
      <c r="H36">
        <f t="shared" si="1"/>
        <v>6.56</v>
      </c>
      <c r="I36" s="10">
        <f t="shared" si="2"/>
        <v>1.6E-2</v>
      </c>
      <c r="J36">
        <f t="shared" si="3"/>
        <v>1.1399999999999999</v>
      </c>
      <c r="P36">
        <v>17660</v>
      </c>
    </row>
    <row r="37" spans="1:16" x14ac:dyDescent="0.25">
      <c r="A37" t="s">
        <v>20</v>
      </c>
      <c r="B37" t="s">
        <v>40</v>
      </c>
      <c r="C37" s="9"/>
      <c r="D37" s="9"/>
      <c r="E37" s="9">
        <v>230390</v>
      </c>
      <c r="F37" s="9"/>
      <c r="G37" s="9">
        <f t="shared" si="0"/>
        <v>230390</v>
      </c>
      <c r="H37">
        <f t="shared" si="1"/>
        <v>39.92</v>
      </c>
      <c r="I37" s="10">
        <f t="shared" si="2"/>
        <v>9.8000000000000004E-2</v>
      </c>
      <c r="J37">
        <f t="shared" si="3"/>
        <v>0.17</v>
      </c>
      <c r="P37">
        <v>197420</v>
      </c>
    </row>
    <row r="38" spans="1:16" x14ac:dyDescent="0.25">
      <c r="A38" t="s">
        <v>20</v>
      </c>
      <c r="B38" t="s">
        <v>74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20</v>
      </c>
      <c r="B39" t="s">
        <v>33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J39">
        <f t="shared" ref="J39:J44" si="4">ROUND(G39/P39-1,2)</f>
        <v>-1</v>
      </c>
      <c r="P39">
        <v>1225</v>
      </c>
    </row>
    <row r="40" spans="1:16" x14ac:dyDescent="0.25">
      <c r="A40" t="s">
        <v>20</v>
      </c>
      <c r="B40" t="s">
        <v>126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J40">
        <f t="shared" si="4"/>
        <v>-1</v>
      </c>
      <c r="P40">
        <v>2140</v>
      </c>
    </row>
    <row r="41" spans="1:16" x14ac:dyDescent="0.25">
      <c r="A41" t="s">
        <v>20</v>
      </c>
      <c r="B41" t="s">
        <v>157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 t="shared" si="4"/>
        <v>-1</v>
      </c>
      <c r="P41">
        <v>11</v>
      </c>
    </row>
    <row r="42" spans="1:16" x14ac:dyDescent="0.25">
      <c r="A42" t="s">
        <v>44</v>
      </c>
      <c r="B42" t="s">
        <v>45</v>
      </c>
      <c r="C42" s="9">
        <v>486200</v>
      </c>
      <c r="D42" s="9"/>
      <c r="E42" s="9"/>
      <c r="F42" s="9"/>
      <c r="G42" s="9">
        <f t="shared" si="0"/>
        <v>486200</v>
      </c>
      <c r="H42">
        <f t="shared" si="1"/>
        <v>84.25</v>
      </c>
      <c r="I42" s="10">
        <f t="shared" si="2"/>
        <v>0.20599999999999999</v>
      </c>
      <c r="J42">
        <f t="shared" si="4"/>
        <v>0.03</v>
      </c>
      <c r="P42">
        <v>472160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54940</v>
      </c>
      <c r="G43" s="9">
        <f t="shared" si="0"/>
        <v>54940</v>
      </c>
      <c r="H43">
        <f t="shared" si="1"/>
        <v>9.52</v>
      </c>
      <c r="I43" s="10">
        <f t="shared" si="2"/>
        <v>2.3E-2</v>
      </c>
      <c r="J43">
        <f t="shared" si="4"/>
        <v>-0.11</v>
      </c>
      <c r="P43">
        <v>62060</v>
      </c>
    </row>
    <row r="44" spans="1:16" x14ac:dyDescent="0.25">
      <c r="A44" t="s">
        <v>44</v>
      </c>
      <c r="B44" t="s">
        <v>46</v>
      </c>
      <c r="C44" s="9"/>
      <c r="D44" s="9"/>
      <c r="E44" s="9">
        <v>91820</v>
      </c>
      <c r="F44" s="9"/>
      <c r="G44" s="9">
        <f t="shared" si="0"/>
        <v>91820</v>
      </c>
      <c r="H44">
        <f t="shared" si="1"/>
        <v>15.91</v>
      </c>
      <c r="I44" s="10">
        <f t="shared" si="2"/>
        <v>3.9E-2</v>
      </c>
      <c r="J44">
        <f t="shared" si="4"/>
        <v>-0.19</v>
      </c>
      <c r="P44">
        <v>113520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SUM(C8:C44)</f>
        <v>1617840</v>
      </c>
      <c r="D49" s="12">
        <f t="shared" si="5"/>
        <v>1926</v>
      </c>
      <c r="E49" s="12">
        <f t="shared" si="5"/>
        <v>680079</v>
      </c>
      <c r="F49" s="12">
        <f t="shared" si="5"/>
        <v>56990</v>
      </c>
      <c r="G49" s="12">
        <f t="shared" si="5"/>
        <v>2356835</v>
      </c>
      <c r="H49" s="11">
        <f t="shared" si="5"/>
        <v>408.4</v>
      </c>
      <c r="I49" s="4"/>
    </row>
    <row r="50" spans="1:10" x14ac:dyDescent="0.25">
      <c r="A50" s="11" t="s">
        <v>14</v>
      </c>
      <c r="C50" s="13">
        <f>ROUND(C49/G49,2)</f>
        <v>0.69</v>
      </c>
      <c r="D50" s="13">
        <f>ROUND(D49/G49,2)</f>
        <v>0</v>
      </c>
      <c r="E50" s="13">
        <f>ROUND(E49/G49,2)</f>
        <v>0.28999999999999998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1131640</v>
      </c>
      <c r="D54" s="15">
        <v>1926</v>
      </c>
      <c r="E54" s="15">
        <v>588259</v>
      </c>
      <c r="F54" s="15">
        <v>1100</v>
      </c>
      <c r="G54" s="15">
        <f>SUM(C54:F54)</f>
        <v>1722925</v>
      </c>
      <c r="H54" s="17">
        <f>ROUND(G54/5771,2)</f>
        <v>298.55</v>
      </c>
      <c r="I54" s="4"/>
      <c r="J54" s="4"/>
    </row>
    <row r="55" spans="1:10" x14ac:dyDescent="0.25">
      <c r="A55" s="33" t="s">
        <v>50</v>
      </c>
      <c r="B55" s="33"/>
      <c r="C55" s="15">
        <v>486200</v>
      </c>
      <c r="D55" s="15">
        <v>0</v>
      </c>
      <c r="E55" s="15">
        <v>91820</v>
      </c>
      <c r="F55" s="15">
        <v>54940</v>
      </c>
      <c r="G55" s="15">
        <f>SUM(C55:F55)</f>
        <v>632960</v>
      </c>
      <c r="H55" s="17">
        <f>ROUND(G55/5771,2)</f>
        <v>109.68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950</v>
      </c>
      <c r="G56" s="15">
        <f>SUM(C56:F56)</f>
        <v>950</v>
      </c>
      <c r="H56" s="17">
        <f>ROUND(G56/5771,2)</f>
        <v>0.16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ROUND(0.7791, 4)</f>
        <v>0.77910000000000001</v>
      </c>
      <c r="D60" s="19">
        <f>ROUND(0.7891, 4)</f>
        <v>0.78910000000000002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ROUND(0.7684, 4)</f>
        <v>0.76839999999999997</v>
      </c>
      <c r="D61" s="19">
        <f>ROUND(0.7786, 4)</f>
        <v>0.77859999999999996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158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84.25</v>
      </c>
      <c r="D64" s="17">
        <v>78.569999999999993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82.77</v>
      </c>
      <c r="D65" s="17">
        <v>80.59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6">
        <v>298.55</v>
      </c>
      <c r="D66" s="16">
        <v>308.26</v>
      </c>
      <c r="E66" s="16">
        <v>291.85000000000002</v>
      </c>
      <c r="F66" s="16">
        <v>285.41000000000003</v>
      </c>
    </row>
    <row r="67" spans="1:10" x14ac:dyDescent="0.25">
      <c r="A67" s="32" t="s">
        <v>62</v>
      </c>
      <c r="B67" s="32"/>
      <c r="C67" s="16">
        <v>109.68</v>
      </c>
      <c r="D67" s="16">
        <v>114.31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8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159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6871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20</v>
      </c>
      <c r="G9" s="9">
        <f t="shared" ref="G9:G42" si="0">SUM(C9:F9)</f>
        <v>20</v>
      </c>
      <c r="H9">
        <f t="shared" ref="H9:H42" si="1">ROUND(G9/6871,2)</f>
        <v>0</v>
      </c>
      <c r="I9" s="10">
        <f t="shared" ref="I9:I42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J11">
        <f t="shared" ref="J11:J42" si="3">ROUND(G11/P11-1,2)</f>
        <v>-1</v>
      </c>
      <c r="P11">
        <v>80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J12">
        <f t="shared" si="3"/>
        <v>-1</v>
      </c>
      <c r="P12">
        <v>620</v>
      </c>
    </row>
    <row r="13" spans="1:16" x14ac:dyDescent="0.25">
      <c r="A13" t="s">
        <v>20</v>
      </c>
      <c r="B13" t="s">
        <v>67</v>
      </c>
      <c r="C13" s="9"/>
      <c r="D13" s="9"/>
      <c r="E13" s="9">
        <v>90</v>
      </c>
      <c r="F13" s="9"/>
      <c r="G13" s="9">
        <f t="shared" si="0"/>
        <v>90</v>
      </c>
      <c r="H13">
        <f t="shared" si="1"/>
        <v>0.01</v>
      </c>
      <c r="I13" s="10">
        <f t="shared" si="2"/>
        <v>0</v>
      </c>
      <c r="J13">
        <f t="shared" si="3"/>
        <v>-0.44</v>
      </c>
      <c r="P13">
        <v>160</v>
      </c>
    </row>
    <row r="14" spans="1:16" x14ac:dyDescent="0.25">
      <c r="A14" t="s">
        <v>20</v>
      </c>
      <c r="B14" t="s">
        <v>21</v>
      </c>
      <c r="C14" s="9">
        <v>190585</v>
      </c>
      <c r="D14" s="9"/>
      <c r="E14" s="9">
        <v>12620</v>
      </c>
      <c r="F14" s="9">
        <v>805</v>
      </c>
      <c r="G14" s="9">
        <f t="shared" si="0"/>
        <v>204010</v>
      </c>
      <c r="H14">
        <f t="shared" si="1"/>
        <v>29.69</v>
      </c>
      <c r="I14" s="10">
        <f t="shared" si="2"/>
        <v>7.3999999999999996E-2</v>
      </c>
      <c r="J14">
        <f t="shared" si="3"/>
        <v>0.01</v>
      </c>
      <c r="P14">
        <v>202740</v>
      </c>
    </row>
    <row r="15" spans="1:16" x14ac:dyDescent="0.25">
      <c r="A15" t="s">
        <v>20</v>
      </c>
      <c r="B15" t="s">
        <v>22</v>
      </c>
      <c r="C15" s="9">
        <v>267110</v>
      </c>
      <c r="D15" s="9"/>
      <c r="E15" s="9"/>
      <c r="F15" s="9"/>
      <c r="G15" s="9">
        <f t="shared" si="0"/>
        <v>267110</v>
      </c>
      <c r="H15">
        <f t="shared" si="1"/>
        <v>38.869999999999997</v>
      </c>
      <c r="I15" s="10">
        <f t="shared" si="2"/>
        <v>9.7000000000000003E-2</v>
      </c>
      <c r="J15">
        <f t="shared" si="3"/>
        <v>-0.06</v>
      </c>
      <c r="P15">
        <v>285440</v>
      </c>
    </row>
    <row r="16" spans="1:16" x14ac:dyDescent="0.25">
      <c r="A16" t="s">
        <v>20</v>
      </c>
      <c r="B16" t="s">
        <v>79</v>
      </c>
      <c r="C16" s="9"/>
      <c r="D16" s="9"/>
      <c r="E16" s="9">
        <v>224</v>
      </c>
      <c r="F16" s="9"/>
      <c r="G16" s="9">
        <f t="shared" si="0"/>
        <v>224</v>
      </c>
      <c r="H16">
        <f t="shared" si="1"/>
        <v>0.03</v>
      </c>
      <c r="I16" s="10">
        <f t="shared" si="2"/>
        <v>0</v>
      </c>
      <c r="J16">
        <f t="shared" si="3"/>
        <v>7.0000000000000007E-2</v>
      </c>
      <c r="P16">
        <v>210</v>
      </c>
    </row>
    <row r="17" spans="1:16" x14ac:dyDescent="0.25">
      <c r="A17" t="s">
        <v>20</v>
      </c>
      <c r="B17" t="s">
        <v>42</v>
      </c>
      <c r="C17" s="9"/>
      <c r="D17" s="9"/>
      <c r="E17" s="9">
        <v>464</v>
      </c>
      <c r="F17" s="9"/>
      <c r="G17" s="9">
        <f t="shared" si="0"/>
        <v>464</v>
      </c>
      <c r="H17">
        <f t="shared" si="1"/>
        <v>7.0000000000000007E-2</v>
      </c>
      <c r="I17" s="10">
        <f t="shared" si="2"/>
        <v>0</v>
      </c>
      <c r="J17">
        <f t="shared" si="3"/>
        <v>0</v>
      </c>
      <c r="P17">
        <v>463</v>
      </c>
    </row>
    <row r="18" spans="1:16" x14ac:dyDescent="0.25">
      <c r="A18" t="s">
        <v>20</v>
      </c>
      <c r="B18" t="s">
        <v>23</v>
      </c>
      <c r="C18" s="9"/>
      <c r="D18" s="9"/>
      <c r="E18" s="9">
        <v>2860</v>
      </c>
      <c r="F18" s="9"/>
      <c r="G18" s="9">
        <f t="shared" si="0"/>
        <v>2860</v>
      </c>
      <c r="H18">
        <f t="shared" si="1"/>
        <v>0.42</v>
      </c>
      <c r="I18" s="10">
        <f t="shared" si="2"/>
        <v>1E-3</v>
      </c>
      <c r="J18">
        <f t="shared" si="3"/>
        <v>-0.05</v>
      </c>
      <c r="P18">
        <v>3010</v>
      </c>
    </row>
    <row r="19" spans="1:16" x14ac:dyDescent="0.25">
      <c r="A19" t="s">
        <v>20</v>
      </c>
      <c r="B19" t="s">
        <v>24</v>
      </c>
      <c r="C19" s="9"/>
      <c r="D19" s="9"/>
      <c r="E19" s="9">
        <v>194180</v>
      </c>
      <c r="F19" s="9"/>
      <c r="G19" s="9">
        <f t="shared" si="0"/>
        <v>194180</v>
      </c>
      <c r="H19">
        <f t="shared" si="1"/>
        <v>28.26</v>
      </c>
      <c r="I19" s="10">
        <f t="shared" si="2"/>
        <v>7.0000000000000007E-2</v>
      </c>
      <c r="J19">
        <f t="shared" si="3"/>
        <v>-0.13</v>
      </c>
      <c r="P19">
        <v>223180</v>
      </c>
    </row>
    <row r="20" spans="1:16" x14ac:dyDescent="0.25">
      <c r="A20" t="s">
        <v>20</v>
      </c>
      <c r="B20" t="s">
        <v>25</v>
      </c>
      <c r="C20" s="9">
        <v>296860</v>
      </c>
      <c r="D20" s="9"/>
      <c r="E20" s="9">
        <v>56290</v>
      </c>
      <c r="F20" s="9">
        <v>10180</v>
      </c>
      <c r="G20" s="9">
        <f t="shared" si="0"/>
        <v>363330</v>
      </c>
      <c r="H20">
        <f t="shared" si="1"/>
        <v>52.88</v>
      </c>
      <c r="I20" s="10">
        <f t="shared" si="2"/>
        <v>0.13100000000000001</v>
      </c>
      <c r="J20">
        <f t="shared" si="3"/>
        <v>-0.02</v>
      </c>
      <c r="P20">
        <v>369440</v>
      </c>
    </row>
    <row r="21" spans="1:16" x14ac:dyDescent="0.25">
      <c r="A21" t="s">
        <v>20</v>
      </c>
      <c r="B21" t="s">
        <v>69</v>
      </c>
      <c r="C21" s="9"/>
      <c r="D21" s="9"/>
      <c r="E21" s="9">
        <v>12000</v>
      </c>
      <c r="F21" s="9"/>
      <c r="G21" s="9">
        <f t="shared" si="0"/>
        <v>12000</v>
      </c>
      <c r="H21">
        <f t="shared" si="1"/>
        <v>1.75</v>
      </c>
      <c r="I21" s="10">
        <f t="shared" si="2"/>
        <v>4.0000000000000001E-3</v>
      </c>
      <c r="J21">
        <f t="shared" si="3"/>
        <v>0.14000000000000001</v>
      </c>
      <c r="P21">
        <v>10520</v>
      </c>
    </row>
    <row r="22" spans="1:16" x14ac:dyDescent="0.25">
      <c r="A22" t="s">
        <v>20</v>
      </c>
      <c r="B22" t="s">
        <v>26</v>
      </c>
      <c r="C22" s="9">
        <v>431020</v>
      </c>
      <c r="D22" s="9"/>
      <c r="E22" s="9"/>
      <c r="F22" s="9">
        <v>1620</v>
      </c>
      <c r="G22" s="9">
        <f t="shared" si="0"/>
        <v>432640</v>
      </c>
      <c r="H22">
        <f t="shared" si="1"/>
        <v>62.97</v>
      </c>
      <c r="I22" s="10">
        <f t="shared" si="2"/>
        <v>0.156</v>
      </c>
      <c r="J22">
        <f t="shared" si="3"/>
        <v>0.05</v>
      </c>
      <c r="P22">
        <v>411250</v>
      </c>
    </row>
    <row r="23" spans="1:16" x14ac:dyDescent="0.25">
      <c r="A23" t="s">
        <v>20</v>
      </c>
      <c r="B23" t="s">
        <v>27</v>
      </c>
      <c r="C23" s="9"/>
      <c r="D23" s="9"/>
      <c r="E23" s="9">
        <v>2859</v>
      </c>
      <c r="F23" s="9"/>
      <c r="G23" s="9">
        <f t="shared" si="0"/>
        <v>2859</v>
      </c>
      <c r="H23">
        <f t="shared" si="1"/>
        <v>0.42</v>
      </c>
      <c r="I23" s="10">
        <f t="shared" si="2"/>
        <v>1E-3</v>
      </c>
      <c r="J23">
        <f t="shared" si="3"/>
        <v>0.25</v>
      </c>
      <c r="P23">
        <v>2296</v>
      </c>
    </row>
    <row r="24" spans="1:16" x14ac:dyDescent="0.25">
      <c r="A24" t="s">
        <v>20</v>
      </c>
      <c r="B24" t="s">
        <v>28</v>
      </c>
      <c r="C24" s="9"/>
      <c r="D24" s="9"/>
      <c r="E24" s="9">
        <v>1735</v>
      </c>
      <c r="F24" s="9"/>
      <c r="G24" s="9">
        <f t="shared" si="0"/>
        <v>1735</v>
      </c>
      <c r="H24">
        <f t="shared" si="1"/>
        <v>0.25</v>
      </c>
      <c r="I24" s="10">
        <f t="shared" si="2"/>
        <v>1E-3</v>
      </c>
      <c r="J24">
        <f t="shared" si="3"/>
        <v>1.53</v>
      </c>
      <c r="P24">
        <v>687</v>
      </c>
    </row>
    <row r="25" spans="1:16" x14ac:dyDescent="0.25">
      <c r="A25" t="s">
        <v>20</v>
      </c>
      <c r="B25" t="s">
        <v>29</v>
      </c>
      <c r="C25" s="9"/>
      <c r="D25" s="9"/>
      <c r="E25" s="9">
        <v>315</v>
      </c>
      <c r="F25" s="9"/>
      <c r="G25" s="9">
        <f t="shared" si="0"/>
        <v>315</v>
      </c>
      <c r="H25">
        <f t="shared" si="1"/>
        <v>0.05</v>
      </c>
      <c r="I25" s="10">
        <f t="shared" si="2"/>
        <v>0</v>
      </c>
      <c r="J25">
        <f t="shared" si="3"/>
        <v>-0.08</v>
      </c>
      <c r="P25">
        <v>343</v>
      </c>
    </row>
    <row r="26" spans="1:16" x14ac:dyDescent="0.25">
      <c r="A26" t="s">
        <v>20</v>
      </c>
      <c r="B26" t="s">
        <v>30</v>
      </c>
      <c r="C26" s="9"/>
      <c r="D26" s="9"/>
      <c r="E26" s="9">
        <v>11430</v>
      </c>
      <c r="F26" s="9"/>
      <c r="G26" s="9">
        <f t="shared" si="0"/>
        <v>11430</v>
      </c>
      <c r="H26">
        <f t="shared" si="1"/>
        <v>1.66</v>
      </c>
      <c r="I26" s="10">
        <f t="shared" si="2"/>
        <v>4.0000000000000001E-3</v>
      </c>
      <c r="J26">
        <f t="shared" si="3"/>
        <v>-0.41</v>
      </c>
      <c r="P26">
        <v>19390</v>
      </c>
    </row>
    <row r="27" spans="1:16" x14ac:dyDescent="0.25">
      <c r="A27" t="s">
        <v>20</v>
      </c>
      <c r="B27" t="s">
        <v>31</v>
      </c>
      <c r="C27" s="9"/>
      <c r="D27" s="9"/>
      <c r="E27" s="9">
        <v>2920</v>
      </c>
      <c r="F27" s="9"/>
      <c r="G27" s="9">
        <f t="shared" si="0"/>
        <v>2920</v>
      </c>
      <c r="H27">
        <f t="shared" si="1"/>
        <v>0.42</v>
      </c>
      <c r="I27" s="10">
        <f t="shared" si="2"/>
        <v>1E-3</v>
      </c>
      <c r="J27">
        <f t="shared" si="3"/>
        <v>0.1</v>
      </c>
      <c r="P27">
        <v>2650</v>
      </c>
    </row>
    <row r="28" spans="1:16" x14ac:dyDescent="0.25">
      <c r="A28" t="s">
        <v>20</v>
      </c>
      <c r="B28" t="s">
        <v>32</v>
      </c>
      <c r="C28" s="9"/>
      <c r="D28" s="9"/>
      <c r="E28" s="9">
        <v>550</v>
      </c>
      <c r="F28" s="9"/>
      <c r="G28" s="9">
        <f t="shared" si="0"/>
        <v>550</v>
      </c>
      <c r="H28">
        <f t="shared" si="1"/>
        <v>0.08</v>
      </c>
      <c r="I28" s="10">
        <f t="shared" si="2"/>
        <v>0</v>
      </c>
      <c r="J28">
        <f t="shared" si="3"/>
        <v>-0.5</v>
      </c>
      <c r="P28">
        <v>1090</v>
      </c>
    </row>
    <row r="29" spans="1:16" x14ac:dyDescent="0.25">
      <c r="A29" t="s">
        <v>20</v>
      </c>
      <c r="B29" t="s">
        <v>33</v>
      </c>
      <c r="C29" s="9"/>
      <c r="D29" s="9"/>
      <c r="E29" s="9">
        <v>5240</v>
      </c>
      <c r="F29" s="9"/>
      <c r="G29" s="9">
        <f t="shared" si="0"/>
        <v>5240</v>
      </c>
      <c r="H29">
        <f t="shared" si="1"/>
        <v>0.76</v>
      </c>
      <c r="I29" s="10">
        <f t="shared" si="2"/>
        <v>2E-3</v>
      </c>
      <c r="J29">
        <f t="shared" si="3"/>
        <v>0.2</v>
      </c>
      <c r="P29">
        <v>4360</v>
      </c>
    </row>
    <row r="30" spans="1:16" x14ac:dyDescent="0.25">
      <c r="A30" t="s">
        <v>20</v>
      </c>
      <c r="B30" t="s">
        <v>43</v>
      </c>
      <c r="C30" s="9"/>
      <c r="D30" s="9">
        <v>702</v>
      </c>
      <c r="E30" s="9"/>
      <c r="F30" s="9"/>
      <c r="G30" s="9">
        <f t="shared" si="0"/>
        <v>702</v>
      </c>
      <c r="H30">
        <f t="shared" si="1"/>
        <v>0.1</v>
      </c>
      <c r="I30" s="10">
        <f t="shared" si="2"/>
        <v>0</v>
      </c>
      <c r="J30">
        <f t="shared" si="3"/>
        <v>0.2</v>
      </c>
      <c r="P30">
        <v>585</v>
      </c>
    </row>
    <row r="31" spans="1:16" x14ac:dyDescent="0.25">
      <c r="A31" t="s">
        <v>20</v>
      </c>
      <c r="B31" t="s">
        <v>34</v>
      </c>
      <c r="C31" s="9"/>
      <c r="D31" s="9"/>
      <c r="E31" s="9">
        <v>1934</v>
      </c>
      <c r="F31" s="9"/>
      <c r="G31" s="9">
        <f t="shared" si="0"/>
        <v>1934</v>
      </c>
      <c r="H31">
        <f t="shared" si="1"/>
        <v>0.28000000000000003</v>
      </c>
      <c r="I31" s="10">
        <f t="shared" si="2"/>
        <v>1E-3</v>
      </c>
      <c r="J31">
        <f t="shared" si="3"/>
        <v>1.1599999999999999</v>
      </c>
      <c r="P31">
        <v>896</v>
      </c>
    </row>
    <row r="32" spans="1:16" x14ac:dyDescent="0.25">
      <c r="A32" t="s">
        <v>20</v>
      </c>
      <c r="B32" t="s">
        <v>35</v>
      </c>
      <c r="C32" s="9"/>
      <c r="D32" s="9"/>
      <c r="E32" s="9">
        <v>7425</v>
      </c>
      <c r="F32" s="9"/>
      <c r="G32" s="9">
        <f t="shared" si="0"/>
        <v>7425</v>
      </c>
      <c r="H32">
        <f t="shared" si="1"/>
        <v>1.08</v>
      </c>
      <c r="I32" s="10">
        <f t="shared" si="2"/>
        <v>3.0000000000000001E-3</v>
      </c>
      <c r="J32">
        <f t="shared" si="3"/>
        <v>0.04</v>
      </c>
      <c r="P32">
        <v>7108</v>
      </c>
    </row>
    <row r="33" spans="1:16" x14ac:dyDescent="0.25">
      <c r="A33" t="s">
        <v>20</v>
      </c>
      <c r="B33" t="s">
        <v>36</v>
      </c>
      <c r="C33" s="9"/>
      <c r="D33" s="9"/>
      <c r="E33" s="9">
        <v>13000</v>
      </c>
      <c r="F33" s="9"/>
      <c r="G33" s="9">
        <f t="shared" si="0"/>
        <v>13000</v>
      </c>
      <c r="H33">
        <f t="shared" si="1"/>
        <v>1.89</v>
      </c>
      <c r="I33" s="10">
        <f t="shared" si="2"/>
        <v>5.0000000000000001E-3</v>
      </c>
      <c r="J33">
        <f t="shared" si="3"/>
        <v>-0.15</v>
      </c>
      <c r="P33">
        <v>15360</v>
      </c>
    </row>
    <row r="34" spans="1:16" x14ac:dyDescent="0.25">
      <c r="A34" t="s">
        <v>20</v>
      </c>
      <c r="B34" t="s">
        <v>41</v>
      </c>
      <c r="C34" s="9"/>
      <c r="D34" s="9"/>
      <c r="E34" s="9">
        <v>18655</v>
      </c>
      <c r="F34" s="9"/>
      <c r="G34" s="9">
        <f t="shared" si="0"/>
        <v>18655</v>
      </c>
      <c r="H34">
        <f t="shared" si="1"/>
        <v>2.72</v>
      </c>
      <c r="I34" s="10">
        <f t="shared" si="2"/>
        <v>7.0000000000000001E-3</v>
      </c>
      <c r="J34">
        <f t="shared" si="3"/>
        <v>0.18</v>
      </c>
      <c r="P34">
        <v>15822</v>
      </c>
    </row>
    <row r="35" spans="1:16" x14ac:dyDescent="0.25">
      <c r="A35" t="s">
        <v>20</v>
      </c>
      <c r="B35" t="s">
        <v>37</v>
      </c>
      <c r="C35" s="9"/>
      <c r="D35" s="9"/>
      <c r="E35" s="9">
        <v>174290</v>
      </c>
      <c r="F35" s="9"/>
      <c r="G35" s="9">
        <f t="shared" si="0"/>
        <v>174290</v>
      </c>
      <c r="H35">
        <f t="shared" si="1"/>
        <v>25.37</v>
      </c>
      <c r="I35" s="10">
        <f t="shared" si="2"/>
        <v>6.3E-2</v>
      </c>
      <c r="J35">
        <f t="shared" si="3"/>
        <v>0.06</v>
      </c>
      <c r="P35">
        <v>164900</v>
      </c>
    </row>
    <row r="36" spans="1:16" x14ac:dyDescent="0.25">
      <c r="A36" t="s">
        <v>20</v>
      </c>
      <c r="B36" t="s">
        <v>38</v>
      </c>
      <c r="C36" s="9"/>
      <c r="D36" s="9"/>
      <c r="E36" s="9">
        <v>10175</v>
      </c>
      <c r="F36" s="9"/>
      <c r="G36" s="9">
        <f t="shared" si="0"/>
        <v>10175</v>
      </c>
      <c r="H36">
        <f t="shared" si="1"/>
        <v>1.48</v>
      </c>
      <c r="I36" s="10">
        <f t="shared" si="2"/>
        <v>4.0000000000000001E-3</v>
      </c>
      <c r="J36">
        <f t="shared" si="3"/>
        <v>-0.31</v>
      </c>
      <c r="P36">
        <v>14785</v>
      </c>
    </row>
    <row r="37" spans="1:16" x14ac:dyDescent="0.25">
      <c r="A37" t="s">
        <v>20</v>
      </c>
      <c r="B37" t="s">
        <v>39</v>
      </c>
      <c r="C37" s="9"/>
      <c r="D37" s="9"/>
      <c r="E37" s="9">
        <v>40220</v>
      </c>
      <c r="F37" s="9"/>
      <c r="G37" s="9">
        <f t="shared" si="0"/>
        <v>40220</v>
      </c>
      <c r="H37">
        <f t="shared" si="1"/>
        <v>5.85</v>
      </c>
      <c r="I37" s="10">
        <f t="shared" si="2"/>
        <v>1.4999999999999999E-2</v>
      </c>
      <c r="J37">
        <f t="shared" si="3"/>
        <v>0.02</v>
      </c>
      <c r="P37">
        <v>39290</v>
      </c>
    </row>
    <row r="38" spans="1:16" x14ac:dyDescent="0.25">
      <c r="A38" t="s">
        <v>20</v>
      </c>
      <c r="B38" t="s">
        <v>40</v>
      </c>
      <c r="C38" s="9"/>
      <c r="D38" s="9"/>
      <c r="E38" s="9">
        <v>347540</v>
      </c>
      <c r="F38" s="9"/>
      <c r="G38" s="9">
        <f t="shared" si="0"/>
        <v>347540</v>
      </c>
      <c r="H38">
        <f t="shared" si="1"/>
        <v>50.58</v>
      </c>
      <c r="I38" s="10">
        <f t="shared" si="2"/>
        <v>0.126</v>
      </c>
      <c r="J38">
        <f t="shared" si="3"/>
        <v>0.6</v>
      </c>
      <c r="P38">
        <v>217260</v>
      </c>
    </row>
    <row r="39" spans="1:16" x14ac:dyDescent="0.25">
      <c r="A39" t="s">
        <v>20</v>
      </c>
      <c r="B39" t="s">
        <v>70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J39">
        <f t="shared" si="3"/>
        <v>-1</v>
      </c>
      <c r="P39">
        <v>620</v>
      </c>
    </row>
    <row r="40" spans="1:16" x14ac:dyDescent="0.25">
      <c r="A40" t="s">
        <v>44</v>
      </c>
      <c r="B40" t="s">
        <v>45</v>
      </c>
      <c r="C40" s="9">
        <v>443940</v>
      </c>
      <c r="D40" s="9"/>
      <c r="E40" s="9"/>
      <c r="F40" s="9">
        <v>440</v>
      </c>
      <c r="G40" s="9">
        <f t="shared" si="0"/>
        <v>444380</v>
      </c>
      <c r="H40">
        <f t="shared" si="1"/>
        <v>64.67</v>
      </c>
      <c r="I40" s="10">
        <f t="shared" si="2"/>
        <v>0.161</v>
      </c>
      <c r="J40">
        <f t="shared" si="3"/>
        <v>0.03</v>
      </c>
      <c r="P40">
        <v>431150</v>
      </c>
    </row>
    <row r="41" spans="1:16" x14ac:dyDescent="0.25">
      <c r="A41" t="s">
        <v>44</v>
      </c>
      <c r="B41" t="s">
        <v>47</v>
      </c>
      <c r="C41" s="9"/>
      <c r="D41" s="9"/>
      <c r="E41" s="9"/>
      <c r="F41" s="9">
        <v>69320</v>
      </c>
      <c r="G41" s="9">
        <f t="shared" si="0"/>
        <v>69320</v>
      </c>
      <c r="H41">
        <f t="shared" si="1"/>
        <v>10.09</v>
      </c>
      <c r="I41" s="10">
        <f t="shared" si="2"/>
        <v>2.5000000000000001E-2</v>
      </c>
      <c r="J41">
        <f t="shared" si="3"/>
        <v>0.04</v>
      </c>
      <c r="P41">
        <v>66840</v>
      </c>
    </row>
    <row r="42" spans="1:16" x14ac:dyDescent="0.25">
      <c r="A42" t="s">
        <v>44</v>
      </c>
      <c r="B42" t="s">
        <v>46</v>
      </c>
      <c r="C42" s="9"/>
      <c r="D42" s="9"/>
      <c r="E42" s="9">
        <v>137240</v>
      </c>
      <c r="F42" s="9"/>
      <c r="G42" s="9">
        <f t="shared" si="0"/>
        <v>137240</v>
      </c>
      <c r="H42">
        <f t="shared" si="1"/>
        <v>19.97</v>
      </c>
      <c r="I42" s="10">
        <f t="shared" si="2"/>
        <v>0.05</v>
      </c>
      <c r="J42">
        <f t="shared" si="3"/>
        <v>-0.04</v>
      </c>
      <c r="P42">
        <v>143540</v>
      </c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SUM(C8:C42)</f>
        <v>1629515</v>
      </c>
      <c r="D49" s="12">
        <f t="shared" si="4"/>
        <v>702</v>
      </c>
      <c r="E49" s="12">
        <f t="shared" si="4"/>
        <v>1054256</v>
      </c>
      <c r="F49" s="12">
        <f t="shared" si="4"/>
        <v>82385</v>
      </c>
      <c r="G49" s="12">
        <f t="shared" si="4"/>
        <v>2766858</v>
      </c>
      <c r="H49" s="11">
        <f t="shared" si="4"/>
        <v>402.66999999999996</v>
      </c>
      <c r="I49" s="4"/>
    </row>
    <row r="50" spans="1:10" x14ac:dyDescent="0.25">
      <c r="A50" s="11" t="s">
        <v>14</v>
      </c>
      <c r="C50" s="13">
        <f>ROUND(C49/G49,2)</f>
        <v>0.59</v>
      </c>
      <c r="D50" s="13">
        <f>ROUND(D49/G49,2)</f>
        <v>0</v>
      </c>
      <c r="E50" s="13">
        <f>ROUND(E49/G49,2)</f>
        <v>0.38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1185575</v>
      </c>
      <c r="D54" s="15">
        <v>702</v>
      </c>
      <c r="E54" s="15">
        <v>917016</v>
      </c>
      <c r="F54" s="15">
        <v>12605</v>
      </c>
      <c r="G54" s="15">
        <f>SUM(C54:F54)</f>
        <v>2115898</v>
      </c>
      <c r="H54" s="17">
        <f>ROUND(G54/6871,2)</f>
        <v>307.95</v>
      </c>
      <c r="I54" s="4"/>
      <c r="J54" s="4"/>
    </row>
    <row r="55" spans="1:10" x14ac:dyDescent="0.25">
      <c r="A55" s="33" t="s">
        <v>50</v>
      </c>
      <c r="B55" s="33"/>
      <c r="C55" s="15">
        <v>443940</v>
      </c>
      <c r="D55" s="15">
        <v>0</v>
      </c>
      <c r="E55" s="15">
        <v>137240</v>
      </c>
      <c r="F55" s="15">
        <v>69760</v>
      </c>
      <c r="G55" s="15">
        <f>SUM(C55:F55)</f>
        <v>650940</v>
      </c>
      <c r="H55" s="17">
        <f>ROUND(G55/6871,2)</f>
        <v>94.74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20</v>
      </c>
      <c r="G56" s="15">
        <f>SUM(C56:F56)</f>
        <v>20</v>
      </c>
      <c r="H56" s="17">
        <f>ROUND(G56/6871,2)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ROUND(0.8175, 4)</f>
        <v>0.8175</v>
      </c>
      <c r="D60" s="19">
        <f>ROUND(0.8123, 4)</f>
        <v>0.81230000000000002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ROUND(0.8073, 4)</f>
        <v>0.80730000000000002</v>
      </c>
      <c r="D61" s="19">
        <f>ROUND(0.8015, 4)</f>
        <v>0.80149999999999999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160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6">
        <v>64.67</v>
      </c>
      <c r="D64" s="16">
        <v>62.51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62.97</v>
      </c>
      <c r="D65" s="16">
        <v>61.95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307.95</v>
      </c>
      <c r="D66" s="16">
        <v>287.7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94.74</v>
      </c>
      <c r="D67" s="16">
        <v>90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1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161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1614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87</v>
      </c>
      <c r="F9" s="9"/>
      <c r="G9" s="9">
        <f t="shared" ref="G9:G38" si="0">SUM(C9:F9)</f>
        <v>87</v>
      </c>
      <c r="H9">
        <f t="shared" ref="H9:H38" si="1">ROUND(G9/1614,2)</f>
        <v>0.05</v>
      </c>
      <c r="I9" s="10">
        <f t="shared" ref="I9:I38" si="2">ROUND(G9/$G$49,3)</f>
        <v>0</v>
      </c>
      <c r="J9">
        <f t="shared" ref="J9:J17" si="3">ROUND(G9/P9-1,2)</f>
        <v>-0.45</v>
      </c>
      <c r="P9">
        <v>157</v>
      </c>
    </row>
    <row r="10" spans="1:16" x14ac:dyDescent="0.25">
      <c r="A10" t="s">
        <v>20</v>
      </c>
      <c r="B10" t="s">
        <v>21</v>
      </c>
      <c r="C10" s="9">
        <v>6330</v>
      </c>
      <c r="D10" s="9">
        <v>52745</v>
      </c>
      <c r="E10" s="9"/>
      <c r="F10" s="9"/>
      <c r="G10" s="9">
        <f t="shared" si="0"/>
        <v>59075</v>
      </c>
      <c r="H10">
        <f t="shared" si="1"/>
        <v>36.6</v>
      </c>
      <c r="I10" s="10">
        <f t="shared" si="2"/>
        <v>6.7000000000000004E-2</v>
      </c>
      <c r="J10">
        <f t="shared" si="3"/>
        <v>-0.04</v>
      </c>
      <c r="P10">
        <v>61250</v>
      </c>
    </row>
    <row r="11" spans="1:16" x14ac:dyDescent="0.25">
      <c r="A11" t="s">
        <v>20</v>
      </c>
      <c r="B11" t="s">
        <v>22</v>
      </c>
      <c r="C11" s="9">
        <v>4775</v>
      </c>
      <c r="D11" s="9">
        <v>59145</v>
      </c>
      <c r="E11" s="9"/>
      <c r="F11" s="9"/>
      <c r="G11" s="9">
        <f t="shared" si="0"/>
        <v>63920</v>
      </c>
      <c r="H11">
        <f t="shared" si="1"/>
        <v>39.6</v>
      </c>
      <c r="I11" s="10">
        <f t="shared" si="2"/>
        <v>7.2999999999999995E-2</v>
      </c>
      <c r="J11">
        <f t="shared" si="3"/>
        <v>-0.11</v>
      </c>
      <c r="P11">
        <v>71640</v>
      </c>
    </row>
    <row r="12" spans="1:16" x14ac:dyDescent="0.25">
      <c r="A12" t="s">
        <v>20</v>
      </c>
      <c r="B12" t="s">
        <v>42</v>
      </c>
      <c r="C12" s="9"/>
      <c r="D12" s="9"/>
      <c r="E12" s="9">
        <v>107</v>
      </c>
      <c r="F12" s="9"/>
      <c r="G12" s="9">
        <f t="shared" si="0"/>
        <v>107</v>
      </c>
      <c r="H12">
        <f t="shared" si="1"/>
        <v>7.0000000000000007E-2</v>
      </c>
      <c r="I12" s="10">
        <f t="shared" si="2"/>
        <v>0</v>
      </c>
      <c r="J12">
        <f t="shared" si="3"/>
        <v>-0.16</v>
      </c>
      <c r="P12">
        <v>128</v>
      </c>
    </row>
    <row r="13" spans="1:16" x14ac:dyDescent="0.25">
      <c r="A13" t="s">
        <v>20</v>
      </c>
      <c r="B13" t="s">
        <v>23</v>
      </c>
      <c r="C13" s="9"/>
      <c r="D13" s="9"/>
      <c r="E13" s="9">
        <v>4800</v>
      </c>
      <c r="F13" s="9"/>
      <c r="G13" s="9">
        <f t="shared" si="0"/>
        <v>4800</v>
      </c>
      <c r="H13">
        <f t="shared" si="1"/>
        <v>2.97</v>
      </c>
      <c r="I13" s="10">
        <f t="shared" si="2"/>
        <v>5.0000000000000001E-3</v>
      </c>
      <c r="J13">
        <f t="shared" si="3"/>
        <v>2.1800000000000002</v>
      </c>
      <c r="P13">
        <v>1510</v>
      </c>
    </row>
    <row r="14" spans="1:16" x14ac:dyDescent="0.25">
      <c r="A14" t="s">
        <v>20</v>
      </c>
      <c r="B14" t="s">
        <v>24</v>
      </c>
      <c r="C14" s="9"/>
      <c r="D14" s="9"/>
      <c r="E14" s="9">
        <v>75640</v>
      </c>
      <c r="F14" s="9"/>
      <c r="G14" s="9">
        <f t="shared" si="0"/>
        <v>75640</v>
      </c>
      <c r="H14">
        <f t="shared" si="1"/>
        <v>46.86</v>
      </c>
      <c r="I14" s="10">
        <f t="shared" si="2"/>
        <v>8.5999999999999993E-2</v>
      </c>
      <c r="J14">
        <f t="shared" si="3"/>
        <v>0.11</v>
      </c>
      <c r="P14">
        <v>68440</v>
      </c>
    </row>
    <row r="15" spans="1:16" x14ac:dyDescent="0.25">
      <c r="A15" t="s">
        <v>20</v>
      </c>
      <c r="B15" t="s">
        <v>25</v>
      </c>
      <c r="C15" s="9">
        <v>4590</v>
      </c>
      <c r="D15" s="9">
        <v>65940</v>
      </c>
      <c r="E15" s="9">
        <v>7730</v>
      </c>
      <c r="F15" s="9"/>
      <c r="G15" s="9">
        <f t="shared" si="0"/>
        <v>78260</v>
      </c>
      <c r="H15">
        <f t="shared" si="1"/>
        <v>48.49</v>
      </c>
      <c r="I15" s="10">
        <f t="shared" si="2"/>
        <v>8.8999999999999996E-2</v>
      </c>
      <c r="J15">
        <f t="shared" si="3"/>
        <v>0.03</v>
      </c>
      <c r="P15">
        <v>75945</v>
      </c>
    </row>
    <row r="16" spans="1:16" x14ac:dyDescent="0.25">
      <c r="A16" t="s">
        <v>20</v>
      </c>
      <c r="B16" t="s">
        <v>69</v>
      </c>
      <c r="C16" s="9"/>
      <c r="D16" s="9"/>
      <c r="E16" s="9">
        <v>3515</v>
      </c>
      <c r="F16" s="9"/>
      <c r="G16" s="9">
        <f t="shared" si="0"/>
        <v>3515</v>
      </c>
      <c r="H16">
        <f t="shared" si="1"/>
        <v>2.1800000000000002</v>
      </c>
      <c r="I16" s="10">
        <f t="shared" si="2"/>
        <v>4.0000000000000001E-3</v>
      </c>
      <c r="J16">
        <f t="shared" si="3"/>
        <v>0.14000000000000001</v>
      </c>
      <c r="P16">
        <v>3070</v>
      </c>
    </row>
    <row r="17" spans="1:16" x14ac:dyDescent="0.25">
      <c r="A17" t="s">
        <v>20</v>
      </c>
      <c r="B17" t="s">
        <v>26</v>
      </c>
      <c r="C17" s="9"/>
      <c r="D17" s="9">
        <v>87030</v>
      </c>
      <c r="E17" s="9"/>
      <c r="F17" s="9">
        <v>260</v>
      </c>
      <c r="G17" s="9">
        <f t="shared" si="0"/>
        <v>87290</v>
      </c>
      <c r="H17">
        <f t="shared" si="1"/>
        <v>54.08</v>
      </c>
      <c r="I17" s="10">
        <f t="shared" si="2"/>
        <v>0.1</v>
      </c>
      <c r="J17">
        <f t="shared" si="3"/>
        <v>0.05</v>
      </c>
      <c r="P17">
        <v>83020</v>
      </c>
    </row>
    <row r="18" spans="1:16" x14ac:dyDescent="0.25">
      <c r="A18" t="s">
        <v>20</v>
      </c>
      <c r="B18" t="s">
        <v>29</v>
      </c>
      <c r="C18" s="9"/>
      <c r="D18" s="9"/>
      <c r="E18" s="9">
        <v>212</v>
      </c>
      <c r="F18" s="9"/>
      <c r="G18" s="9">
        <f t="shared" si="0"/>
        <v>212</v>
      </c>
      <c r="H18">
        <f t="shared" si="1"/>
        <v>0.13</v>
      </c>
      <c r="I18" s="10">
        <f t="shared" si="2"/>
        <v>0</v>
      </c>
      <c r="P18">
        <v>0</v>
      </c>
    </row>
    <row r="19" spans="1:16" x14ac:dyDescent="0.25">
      <c r="A19" t="s">
        <v>20</v>
      </c>
      <c r="B19" t="s">
        <v>30</v>
      </c>
      <c r="C19" s="9"/>
      <c r="D19" s="9"/>
      <c r="E19" s="9">
        <v>1910</v>
      </c>
      <c r="F19" s="9"/>
      <c r="G19" s="9">
        <f t="shared" si="0"/>
        <v>1910</v>
      </c>
      <c r="H19">
        <f t="shared" si="1"/>
        <v>1.18</v>
      </c>
      <c r="I19" s="10">
        <f t="shared" si="2"/>
        <v>2E-3</v>
      </c>
      <c r="J19">
        <f t="shared" ref="J19:J32" si="4">ROUND(G19/P19-1,2)</f>
        <v>-0.53</v>
      </c>
      <c r="P19">
        <v>4040</v>
      </c>
    </row>
    <row r="20" spans="1:16" x14ac:dyDescent="0.25">
      <c r="A20" t="s">
        <v>20</v>
      </c>
      <c r="B20" t="s">
        <v>31</v>
      </c>
      <c r="C20" s="9"/>
      <c r="D20" s="9"/>
      <c r="E20" s="9">
        <v>410</v>
      </c>
      <c r="F20" s="9"/>
      <c r="G20" s="9">
        <f t="shared" si="0"/>
        <v>410</v>
      </c>
      <c r="H20">
        <f t="shared" si="1"/>
        <v>0.25</v>
      </c>
      <c r="I20" s="10">
        <f t="shared" si="2"/>
        <v>0</v>
      </c>
      <c r="J20">
        <f t="shared" si="4"/>
        <v>-0.23</v>
      </c>
      <c r="P20">
        <v>530</v>
      </c>
    </row>
    <row r="21" spans="1:16" x14ac:dyDescent="0.25">
      <c r="A21" t="s">
        <v>20</v>
      </c>
      <c r="B21" t="s">
        <v>32</v>
      </c>
      <c r="C21" s="9"/>
      <c r="D21" s="9"/>
      <c r="E21" s="9">
        <v>420</v>
      </c>
      <c r="F21" s="9"/>
      <c r="G21" s="9">
        <f t="shared" si="0"/>
        <v>420</v>
      </c>
      <c r="H21">
        <f t="shared" si="1"/>
        <v>0.26</v>
      </c>
      <c r="I21" s="10">
        <f t="shared" si="2"/>
        <v>0</v>
      </c>
      <c r="J21">
        <f t="shared" si="4"/>
        <v>0.68</v>
      </c>
      <c r="P21">
        <v>250</v>
      </c>
    </row>
    <row r="22" spans="1:16" x14ac:dyDescent="0.25">
      <c r="A22" t="s">
        <v>20</v>
      </c>
      <c r="B22" t="s">
        <v>33</v>
      </c>
      <c r="C22" s="9"/>
      <c r="D22" s="9"/>
      <c r="E22" s="9">
        <v>1305</v>
      </c>
      <c r="F22" s="9"/>
      <c r="G22" s="9">
        <f t="shared" si="0"/>
        <v>1305</v>
      </c>
      <c r="H22">
        <f t="shared" si="1"/>
        <v>0.81</v>
      </c>
      <c r="I22" s="10">
        <f t="shared" si="2"/>
        <v>1E-3</v>
      </c>
      <c r="J22">
        <f t="shared" si="4"/>
        <v>-0.26</v>
      </c>
      <c r="P22">
        <v>1770</v>
      </c>
    </row>
    <row r="23" spans="1:16" x14ac:dyDescent="0.25">
      <c r="A23" t="s">
        <v>20</v>
      </c>
      <c r="B23" t="s">
        <v>43</v>
      </c>
      <c r="C23" s="9"/>
      <c r="D23" s="9">
        <v>167</v>
      </c>
      <c r="E23" s="9"/>
      <c r="F23" s="9"/>
      <c r="G23" s="9">
        <f t="shared" si="0"/>
        <v>167</v>
      </c>
      <c r="H23">
        <f t="shared" si="1"/>
        <v>0.1</v>
      </c>
      <c r="I23" s="10">
        <f t="shared" si="2"/>
        <v>0</v>
      </c>
      <c r="J23">
        <f t="shared" si="4"/>
        <v>0.08</v>
      </c>
      <c r="P23">
        <v>155</v>
      </c>
    </row>
    <row r="24" spans="1:16" x14ac:dyDescent="0.25">
      <c r="A24" t="s">
        <v>20</v>
      </c>
      <c r="B24" t="s">
        <v>70</v>
      </c>
      <c r="C24" s="9"/>
      <c r="D24" s="9"/>
      <c r="E24" s="9">
        <v>1340</v>
      </c>
      <c r="F24" s="9"/>
      <c r="G24" s="9">
        <f t="shared" si="0"/>
        <v>1340</v>
      </c>
      <c r="H24">
        <f t="shared" si="1"/>
        <v>0.83</v>
      </c>
      <c r="I24" s="10">
        <f t="shared" si="2"/>
        <v>2E-3</v>
      </c>
      <c r="J24">
        <f t="shared" si="4"/>
        <v>-0.14000000000000001</v>
      </c>
      <c r="P24">
        <v>1560</v>
      </c>
    </row>
    <row r="25" spans="1:16" x14ac:dyDescent="0.25">
      <c r="A25" t="s">
        <v>20</v>
      </c>
      <c r="B25" t="s">
        <v>34</v>
      </c>
      <c r="C25" s="9"/>
      <c r="D25" s="9">
        <v>304</v>
      </c>
      <c r="E25" s="9"/>
      <c r="F25" s="9"/>
      <c r="G25" s="9">
        <f t="shared" si="0"/>
        <v>304</v>
      </c>
      <c r="H25">
        <f t="shared" si="1"/>
        <v>0.19</v>
      </c>
      <c r="I25" s="10">
        <f t="shared" si="2"/>
        <v>0</v>
      </c>
      <c r="J25">
        <f t="shared" si="4"/>
        <v>0.38</v>
      </c>
      <c r="P25">
        <v>220</v>
      </c>
    </row>
    <row r="26" spans="1:16" x14ac:dyDescent="0.25">
      <c r="A26" t="s">
        <v>20</v>
      </c>
      <c r="B26" t="s">
        <v>35</v>
      </c>
      <c r="C26" s="9"/>
      <c r="D26" s="9"/>
      <c r="E26" s="9">
        <v>2289</v>
      </c>
      <c r="F26" s="9"/>
      <c r="G26" s="9">
        <f t="shared" si="0"/>
        <v>2289</v>
      </c>
      <c r="H26">
        <f t="shared" si="1"/>
        <v>1.42</v>
      </c>
      <c r="I26" s="10">
        <f t="shared" si="2"/>
        <v>3.0000000000000001E-3</v>
      </c>
      <c r="J26">
        <f t="shared" si="4"/>
        <v>0.08</v>
      </c>
      <c r="P26">
        <v>2116</v>
      </c>
    </row>
    <row r="27" spans="1:16" x14ac:dyDescent="0.25">
      <c r="A27" t="s">
        <v>20</v>
      </c>
      <c r="B27" t="s">
        <v>41</v>
      </c>
      <c r="C27" s="9"/>
      <c r="D27" s="9"/>
      <c r="E27" s="9">
        <v>3113</v>
      </c>
      <c r="F27" s="9"/>
      <c r="G27" s="9">
        <f t="shared" si="0"/>
        <v>3113</v>
      </c>
      <c r="H27">
        <f t="shared" si="1"/>
        <v>1.93</v>
      </c>
      <c r="I27" s="10">
        <f t="shared" si="2"/>
        <v>4.0000000000000001E-3</v>
      </c>
      <c r="J27">
        <f t="shared" si="4"/>
        <v>-0.01</v>
      </c>
      <c r="P27">
        <v>3143</v>
      </c>
    </row>
    <row r="28" spans="1:16" x14ac:dyDescent="0.25">
      <c r="A28" t="s">
        <v>20</v>
      </c>
      <c r="B28" t="s">
        <v>36</v>
      </c>
      <c r="C28" s="9"/>
      <c r="D28" s="9"/>
      <c r="E28" s="9">
        <v>5822</v>
      </c>
      <c r="F28" s="9"/>
      <c r="G28" s="9">
        <f t="shared" si="0"/>
        <v>5822</v>
      </c>
      <c r="H28">
        <f t="shared" si="1"/>
        <v>3.61</v>
      </c>
      <c r="I28" s="10">
        <f t="shared" si="2"/>
        <v>7.0000000000000001E-3</v>
      </c>
      <c r="J28">
        <f t="shared" si="4"/>
        <v>0.45</v>
      </c>
      <c r="P28">
        <v>4021</v>
      </c>
    </row>
    <row r="29" spans="1:16" x14ac:dyDescent="0.25">
      <c r="A29" t="s">
        <v>20</v>
      </c>
      <c r="B29" t="s">
        <v>37</v>
      </c>
      <c r="C29" s="9"/>
      <c r="D29" s="9"/>
      <c r="E29" s="9">
        <v>46405</v>
      </c>
      <c r="F29" s="9"/>
      <c r="G29" s="9">
        <f t="shared" si="0"/>
        <v>46405</v>
      </c>
      <c r="H29">
        <f t="shared" si="1"/>
        <v>28.75</v>
      </c>
      <c r="I29" s="10">
        <f t="shared" si="2"/>
        <v>5.2999999999999999E-2</v>
      </c>
      <c r="J29">
        <f t="shared" si="4"/>
        <v>0.14000000000000001</v>
      </c>
      <c r="P29">
        <v>40820</v>
      </c>
    </row>
    <row r="30" spans="1:16" x14ac:dyDescent="0.25">
      <c r="A30" t="s">
        <v>20</v>
      </c>
      <c r="B30" t="s">
        <v>38</v>
      </c>
      <c r="C30" s="9"/>
      <c r="D30" s="9"/>
      <c r="E30" s="9">
        <v>5610</v>
      </c>
      <c r="F30" s="9"/>
      <c r="G30" s="9">
        <f t="shared" si="0"/>
        <v>5610</v>
      </c>
      <c r="H30">
        <f t="shared" si="1"/>
        <v>3.48</v>
      </c>
      <c r="I30" s="10">
        <f t="shared" si="2"/>
        <v>6.0000000000000001E-3</v>
      </c>
      <c r="J30">
        <f t="shared" si="4"/>
        <v>0.35</v>
      </c>
      <c r="P30">
        <v>4170</v>
      </c>
    </row>
    <row r="31" spans="1:16" x14ac:dyDescent="0.25">
      <c r="A31" t="s">
        <v>20</v>
      </c>
      <c r="B31" t="s">
        <v>39</v>
      </c>
      <c r="C31" s="9"/>
      <c r="D31" s="9"/>
      <c r="E31" s="9">
        <v>14930</v>
      </c>
      <c r="F31" s="9"/>
      <c r="G31" s="9">
        <f t="shared" si="0"/>
        <v>14930</v>
      </c>
      <c r="H31">
        <f t="shared" si="1"/>
        <v>9.25</v>
      </c>
      <c r="I31" s="10">
        <f t="shared" si="2"/>
        <v>1.7000000000000001E-2</v>
      </c>
      <c r="J31">
        <f t="shared" si="4"/>
        <v>-0.03</v>
      </c>
      <c r="P31">
        <v>15380</v>
      </c>
    </row>
    <row r="32" spans="1:16" x14ac:dyDescent="0.25">
      <c r="A32" t="s">
        <v>20</v>
      </c>
      <c r="B32" t="s">
        <v>40</v>
      </c>
      <c r="C32" s="9"/>
      <c r="D32" s="9"/>
      <c r="E32" s="9">
        <v>64410</v>
      </c>
      <c r="F32" s="9"/>
      <c r="G32" s="9">
        <f t="shared" si="0"/>
        <v>64410</v>
      </c>
      <c r="H32">
        <f t="shared" si="1"/>
        <v>39.909999999999997</v>
      </c>
      <c r="I32" s="10">
        <f t="shared" si="2"/>
        <v>7.3999999999999996E-2</v>
      </c>
      <c r="J32">
        <f t="shared" si="4"/>
        <v>-0.05</v>
      </c>
      <c r="P32">
        <v>67850</v>
      </c>
    </row>
    <row r="33" spans="1:16" x14ac:dyDescent="0.25">
      <c r="A33" t="s">
        <v>20</v>
      </c>
      <c r="B33" t="s">
        <v>74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44</v>
      </c>
      <c r="B34" t="s">
        <v>45</v>
      </c>
      <c r="C34" s="9">
        <v>28610</v>
      </c>
      <c r="D34" s="9">
        <v>293525</v>
      </c>
      <c r="E34" s="9"/>
      <c r="F34" s="9"/>
      <c r="G34" s="9">
        <f t="shared" si="0"/>
        <v>322135</v>
      </c>
      <c r="H34">
        <f t="shared" si="1"/>
        <v>199.59</v>
      </c>
      <c r="I34" s="10">
        <f t="shared" si="2"/>
        <v>0.36799999999999999</v>
      </c>
      <c r="J34">
        <f>ROUND(G34/P34-1,2)</f>
        <v>0.11</v>
      </c>
      <c r="P34">
        <v>290675</v>
      </c>
    </row>
    <row r="35" spans="1:16" x14ac:dyDescent="0.25">
      <c r="A35" t="s">
        <v>44</v>
      </c>
      <c r="B35" t="s">
        <v>46</v>
      </c>
      <c r="C35" s="9"/>
      <c r="D35" s="9"/>
      <c r="E35" s="9">
        <v>31980</v>
      </c>
      <c r="F35" s="9"/>
      <c r="G35" s="9">
        <f t="shared" si="0"/>
        <v>31980</v>
      </c>
      <c r="H35">
        <f t="shared" si="1"/>
        <v>19.809999999999999</v>
      </c>
      <c r="I35" s="10">
        <f t="shared" si="2"/>
        <v>3.6999999999999998E-2</v>
      </c>
      <c r="J35">
        <f>ROUND(G35/P35-1,2)</f>
        <v>0.01</v>
      </c>
      <c r="P35">
        <v>31680</v>
      </c>
    </row>
    <row r="36" spans="1:16" x14ac:dyDescent="0.25">
      <c r="A36" t="s">
        <v>44</v>
      </c>
      <c r="B36" t="s">
        <v>47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J36">
        <f>ROUND(G36/P36-1,2)</f>
        <v>-1</v>
      </c>
      <c r="P36">
        <v>9800</v>
      </c>
    </row>
    <row r="37" spans="1:16" x14ac:dyDescent="0.25">
      <c r="A37" t="s">
        <v>16</v>
      </c>
      <c r="B37" t="s">
        <v>19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16</v>
      </c>
      <c r="B38" t="s">
        <v>66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SUM(C8:C38)</f>
        <v>44305</v>
      </c>
      <c r="D49" s="12">
        <f t="shared" si="5"/>
        <v>558856</v>
      </c>
      <c r="E49" s="12">
        <f t="shared" si="5"/>
        <v>272035</v>
      </c>
      <c r="F49" s="12">
        <f t="shared" si="5"/>
        <v>260</v>
      </c>
      <c r="G49" s="12">
        <f t="shared" si="5"/>
        <v>875456</v>
      </c>
      <c r="H49" s="11">
        <f t="shared" si="5"/>
        <v>542.4</v>
      </c>
      <c r="I49" s="4"/>
    </row>
    <row r="50" spans="1:10" x14ac:dyDescent="0.25">
      <c r="A50" s="11" t="s">
        <v>14</v>
      </c>
      <c r="C50" s="13">
        <f>ROUND(C49/G49,2)</f>
        <v>0.05</v>
      </c>
      <c r="D50" s="13">
        <f>ROUND(D49/G49,2)</f>
        <v>0.64</v>
      </c>
      <c r="E50" s="13">
        <f>ROUND(E49/G49,2)</f>
        <v>0.31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15695</v>
      </c>
      <c r="D54" s="15">
        <v>265331</v>
      </c>
      <c r="E54" s="15">
        <v>240055</v>
      </c>
      <c r="F54" s="15">
        <v>260</v>
      </c>
      <c r="G54" s="15">
        <f>SUM(C54:F54)</f>
        <v>521341</v>
      </c>
      <c r="H54" s="17">
        <f>ROUND(G54/1614,2)</f>
        <v>323.01</v>
      </c>
      <c r="I54" s="4"/>
      <c r="J54" s="4"/>
    </row>
    <row r="55" spans="1:10" x14ac:dyDescent="0.25">
      <c r="A55" s="33" t="s">
        <v>50</v>
      </c>
      <c r="B55" s="33"/>
      <c r="C55" s="15">
        <v>28610</v>
      </c>
      <c r="D55" s="15">
        <v>293525</v>
      </c>
      <c r="E55" s="15">
        <v>31980</v>
      </c>
      <c r="F55" s="15">
        <v>0</v>
      </c>
      <c r="G55" s="15">
        <f>SUM(C55:F55)</f>
        <v>354115</v>
      </c>
      <c r="H55" s="17">
        <f>ROUND(G55/1614,2)</f>
        <v>219.4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ROUND(G56/1614,2)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ROUND(0.5905, 4)</f>
        <v>0.59050000000000002</v>
      </c>
      <c r="D60" s="19">
        <f>ROUND(0.618, 4)</f>
        <v>0.61799999999999999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ROUND(0.5629, 4)</f>
        <v>0.56289999999999996</v>
      </c>
      <c r="D61" s="19">
        <f>ROUND(0.5885, 4)</f>
        <v>0.58850000000000002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162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199.59</v>
      </c>
      <c r="D64" s="16">
        <v>181.58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54.08</v>
      </c>
      <c r="D65" s="16">
        <v>57.03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323.01</v>
      </c>
      <c r="D66" s="16">
        <v>328.03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219.4</v>
      </c>
      <c r="D67" s="16">
        <v>201.94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P68"/>
  <sheetViews>
    <sheetView topLeftCell="A42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163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1620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43080</v>
      </c>
      <c r="D9" s="9"/>
      <c r="E9" s="9"/>
      <c r="F9" s="9">
        <v>100</v>
      </c>
      <c r="G9" s="9">
        <f t="shared" ref="G9:G33" si="0">SUM(C9:F9)</f>
        <v>43180</v>
      </c>
      <c r="H9">
        <f t="shared" ref="H9:H33" si="1">ROUND(G9/1620,2)</f>
        <v>26.65</v>
      </c>
      <c r="I9" s="10">
        <f t="shared" ref="I9:I33" si="2">ROUND(G9/$G$49,3)</f>
        <v>9.0999999999999998E-2</v>
      </c>
      <c r="J9">
        <f t="shared" ref="J9:J28" si="3">ROUND(G9/P9-1,2)</f>
        <v>0.02</v>
      </c>
      <c r="P9">
        <v>42380</v>
      </c>
    </row>
    <row r="10" spans="1:16" x14ac:dyDescent="0.25">
      <c r="A10" t="s">
        <v>20</v>
      </c>
      <c r="B10" t="s">
        <v>22</v>
      </c>
      <c r="C10" s="9">
        <v>58840</v>
      </c>
      <c r="D10" s="9"/>
      <c r="E10" s="9"/>
      <c r="F10" s="9"/>
      <c r="G10" s="9">
        <f t="shared" si="0"/>
        <v>58840</v>
      </c>
      <c r="H10">
        <f t="shared" si="1"/>
        <v>36.32</v>
      </c>
      <c r="I10" s="10">
        <f t="shared" si="2"/>
        <v>0.124</v>
      </c>
      <c r="J10">
        <f t="shared" si="3"/>
        <v>-0.14000000000000001</v>
      </c>
      <c r="P10">
        <v>68590</v>
      </c>
    </row>
    <row r="11" spans="1:16" x14ac:dyDescent="0.25">
      <c r="A11" t="s">
        <v>20</v>
      </c>
      <c r="B11" t="s">
        <v>79</v>
      </c>
      <c r="C11" s="9"/>
      <c r="D11" s="9"/>
      <c r="E11" s="9"/>
      <c r="F11" s="9">
        <v>179</v>
      </c>
      <c r="G11" s="9">
        <f t="shared" si="0"/>
        <v>179</v>
      </c>
      <c r="H11">
        <f t="shared" si="1"/>
        <v>0.11</v>
      </c>
      <c r="I11" s="10">
        <f t="shared" si="2"/>
        <v>0</v>
      </c>
      <c r="J11">
        <f t="shared" si="3"/>
        <v>4.59</v>
      </c>
      <c r="P11">
        <v>32</v>
      </c>
    </row>
    <row r="12" spans="1:16" x14ac:dyDescent="0.25">
      <c r="A12" t="s">
        <v>20</v>
      </c>
      <c r="B12" t="s">
        <v>42</v>
      </c>
      <c r="C12" s="9"/>
      <c r="D12" s="9"/>
      <c r="E12" s="9"/>
      <c r="F12" s="9">
        <v>48</v>
      </c>
      <c r="G12" s="9">
        <f t="shared" si="0"/>
        <v>48</v>
      </c>
      <c r="H12">
        <f t="shared" si="1"/>
        <v>0.03</v>
      </c>
      <c r="I12" s="10">
        <f t="shared" si="2"/>
        <v>0</v>
      </c>
      <c r="J12">
        <f t="shared" si="3"/>
        <v>-0.36</v>
      </c>
      <c r="P12">
        <v>75</v>
      </c>
    </row>
    <row r="13" spans="1:16" x14ac:dyDescent="0.25">
      <c r="A13" t="s">
        <v>20</v>
      </c>
      <c r="B13" t="s">
        <v>24</v>
      </c>
      <c r="C13" s="9"/>
      <c r="D13" s="9"/>
      <c r="E13" s="9"/>
      <c r="F13" s="9">
        <v>18480</v>
      </c>
      <c r="G13" s="9">
        <f t="shared" si="0"/>
        <v>18480</v>
      </c>
      <c r="H13">
        <f t="shared" si="1"/>
        <v>11.41</v>
      </c>
      <c r="I13" s="10">
        <f t="shared" si="2"/>
        <v>3.9E-2</v>
      </c>
      <c r="J13">
        <f t="shared" si="3"/>
        <v>-0.3</v>
      </c>
      <c r="P13">
        <v>26460</v>
      </c>
    </row>
    <row r="14" spans="1:16" x14ac:dyDescent="0.25">
      <c r="A14" t="s">
        <v>20</v>
      </c>
      <c r="B14" t="s">
        <v>25</v>
      </c>
      <c r="C14" s="9">
        <v>50910</v>
      </c>
      <c r="D14" s="9"/>
      <c r="E14" s="9"/>
      <c r="F14" s="9">
        <v>410</v>
      </c>
      <c r="G14" s="9">
        <f t="shared" si="0"/>
        <v>51320</v>
      </c>
      <c r="H14">
        <f t="shared" si="1"/>
        <v>31.68</v>
      </c>
      <c r="I14" s="10">
        <f t="shared" si="2"/>
        <v>0.109</v>
      </c>
      <c r="J14">
        <f t="shared" si="3"/>
        <v>0.02</v>
      </c>
      <c r="P14">
        <v>50560</v>
      </c>
    </row>
    <row r="15" spans="1:16" x14ac:dyDescent="0.25">
      <c r="A15" t="s">
        <v>20</v>
      </c>
      <c r="B15" t="s">
        <v>26</v>
      </c>
      <c r="C15" s="9">
        <v>134500</v>
      </c>
      <c r="D15" s="9"/>
      <c r="E15" s="9"/>
      <c r="F15" s="9">
        <v>600</v>
      </c>
      <c r="G15" s="9">
        <f t="shared" si="0"/>
        <v>135100</v>
      </c>
      <c r="H15">
        <f t="shared" si="1"/>
        <v>83.4</v>
      </c>
      <c r="I15" s="10">
        <f t="shared" si="2"/>
        <v>0.28599999999999998</v>
      </c>
      <c r="J15">
        <f t="shared" si="3"/>
        <v>0.02</v>
      </c>
      <c r="P15">
        <v>132510</v>
      </c>
    </row>
    <row r="16" spans="1:16" x14ac:dyDescent="0.25">
      <c r="A16" t="s">
        <v>20</v>
      </c>
      <c r="B16" t="s">
        <v>29</v>
      </c>
      <c r="C16" s="9"/>
      <c r="D16" s="9"/>
      <c r="E16" s="9"/>
      <c r="F16" s="9">
        <v>110</v>
      </c>
      <c r="G16" s="9">
        <f t="shared" si="0"/>
        <v>110</v>
      </c>
      <c r="H16">
        <f t="shared" si="1"/>
        <v>7.0000000000000007E-2</v>
      </c>
      <c r="I16" s="10">
        <f t="shared" si="2"/>
        <v>0</v>
      </c>
      <c r="J16">
        <f t="shared" si="3"/>
        <v>2.06</v>
      </c>
      <c r="P16">
        <v>36</v>
      </c>
    </row>
    <row r="17" spans="1:16" x14ac:dyDescent="0.25">
      <c r="A17" t="s">
        <v>20</v>
      </c>
      <c r="B17" t="s">
        <v>30</v>
      </c>
      <c r="C17" s="9"/>
      <c r="D17" s="9"/>
      <c r="E17" s="9"/>
      <c r="F17" s="9">
        <v>800</v>
      </c>
      <c r="G17" s="9">
        <f t="shared" si="0"/>
        <v>800</v>
      </c>
      <c r="H17">
        <f t="shared" si="1"/>
        <v>0.49</v>
      </c>
      <c r="I17" s="10">
        <f t="shared" si="2"/>
        <v>2E-3</v>
      </c>
      <c r="J17">
        <f t="shared" si="3"/>
        <v>-0.36</v>
      </c>
      <c r="P17">
        <v>1255</v>
      </c>
    </row>
    <row r="18" spans="1:16" x14ac:dyDescent="0.25">
      <c r="A18" t="s">
        <v>20</v>
      </c>
      <c r="B18" t="s">
        <v>31</v>
      </c>
      <c r="C18" s="9"/>
      <c r="D18" s="9"/>
      <c r="E18" s="9"/>
      <c r="F18" s="9">
        <v>610</v>
      </c>
      <c r="G18" s="9">
        <f t="shared" si="0"/>
        <v>610</v>
      </c>
      <c r="H18">
        <f t="shared" si="1"/>
        <v>0.38</v>
      </c>
      <c r="I18" s="10">
        <f t="shared" si="2"/>
        <v>1E-3</v>
      </c>
      <c r="J18">
        <f t="shared" si="3"/>
        <v>0.14000000000000001</v>
      </c>
      <c r="P18">
        <v>537</v>
      </c>
    </row>
    <row r="19" spans="1:16" x14ac:dyDescent="0.25">
      <c r="A19" t="s">
        <v>20</v>
      </c>
      <c r="B19" t="s">
        <v>32</v>
      </c>
      <c r="C19" s="9"/>
      <c r="D19" s="9"/>
      <c r="E19" s="9"/>
      <c r="F19" s="9">
        <v>270</v>
      </c>
      <c r="G19" s="9">
        <f t="shared" si="0"/>
        <v>270</v>
      </c>
      <c r="H19">
        <f t="shared" si="1"/>
        <v>0.17</v>
      </c>
      <c r="I19" s="10">
        <f t="shared" si="2"/>
        <v>1E-3</v>
      </c>
      <c r="J19">
        <f t="shared" si="3"/>
        <v>7.0000000000000007E-2</v>
      </c>
      <c r="P19">
        <v>253</v>
      </c>
    </row>
    <row r="20" spans="1:16" x14ac:dyDescent="0.25">
      <c r="A20" t="s">
        <v>20</v>
      </c>
      <c r="B20" t="s">
        <v>33</v>
      </c>
      <c r="C20" s="9"/>
      <c r="D20" s="9"/>
      <c r="E20" s="9"/>
      <c r="F20" s="9">
        <v>640</v>
      </c>
      <c r="G20" s="9">
        <f t="shared" si="0"/>
        <v>640</v>
      </c>
      <c r="H20">
        <f t="shared" si="1"/>
        <v>0.4</v>
      </c>
      <c r="I20" s="10">
        <f t="shared" si="2"/>
        <v>1E-3</v>
      </c>
      <c r="J20">
        <f t="shared" si="3"/>
        <v>-0.54</v>
      </c>
      <c r="P20">
        <v>1384</v>
      </c>
    </row>
    <row r="21" spans="1:16" x14ac:dyDescent="0.25">
      <c r="A21" t="s">
        <v>20</v>
      </c>
      <c r="B21" t="s">
        <v>43</v>
      </c>
      <c r="C21" s="9"/>
      <c r="D21" s="9">
        <v>207</v>
      </c>
      <c r="E21" s="9"/>
      <c r="F21" s="9"/>
      <c r="G21" s="9">
        <f t="shared" si="0"/>
        <v>207</v>
      </c>
      <c r="H21">
        <f t="shared" si="1"/>
        <v>0.13</v>
      </c>
      <c r="I21" s="10">
        <f t="shared" si="2"/>
        <v>0</v>
      </c>
      <c r="J21">
        <f t="shared" si="3"/>
        <v>0.16</v>
      </c>
      <c r="P21">
        <v>178</v>
      </c>
    </row>
    <row r="22" spans="1:16" x14ac:dyDescent="0.25">
      <c r="A22" t="s">
        <v>20</v>
      </c>
      <c r="B22" t="s">
        <v>34</v>
      </c>
      <c r="C22" s="9"/>
      <c r="D22" s="9">
        <v>240</v>
      </c>
      <c r="E22" s="9"/>
      <c r="F22" s="9">
        <v>570</v>
      </c>
      <c r="G22" s="9">
        <f t="shared" si="0"/>
        <v>810</v>
      </c>
      <c r="H22">
        <f t="shared" si="1"/>
        <v>0.5</v>
      </c>
      <c r="I22" s="10">
        <f t="shared" si="2"/>
        <v>2E-3</v>
      </c>
      <c r="J22">
        <f t="shared" si="3"/>
        <v>0.37</v>
      </c>
      <c r="P22">
        <v>590</v>
      </c>
    </row>
    <row r="23" spans="1:16" x14ac:dyDescent="0.25">
      <c r="A23" t="s">
        <v>20</v>
      </c>
      <c r="B23" t="s">
        <v>35</v>
      </c>
      <c r="C23" s="9"/>
      <c r="D23" s="9"/>
      <c r="E23" s="9"/>
      <c r="F23" s="9">
        <v>650</v>
      </c>
      <c r="G23" s="9">
        <f t="shared" si="0"/>
        <v>650</v>
      </c>
      <c r="H23">
        <f t="shared" si="1"/>
        <v>0.4</v>
      </c>
      <c r="I23" s="10">
        <f t="shared" si="2"/>
        <v>1E-3</v>
      </c>
      <c r="J23">
        <f t="shared" si="3"/>
        <v>-0.57999999999999996</v>
      </c>
      <c r="P23">
        <v>1562</v>
      </c>
    </row>
    <row r="24" spans="1:16" x14ac:dyDescent="0.25">
      <c r="A24" t="s">
        <v>20</v>
      </c>
      <c r="B24" t="s">
        <v>41</v>
      </c>
      <c r="C24" s="9"/>
      <c r="D24" s="9"/>
      <c r="E24" s="9"/>
      <c r="F24" s="9">
        <v>2360</v>
      </c>
      <c r="G24" s="9">
        <f t="shared" si="0"/>
        <v>2360</v>
      </c>
      <c r="H24">
        <f t="shared" si="1"/>
        <v>1.46</v>
      </c>
      <c r="I24" s="10">
        <f t="shared" si="2"/>
        <v>5.0000000000000001E-3</v>
      </c>
      <c r="J24">
        <f t="shared" si="3"/>
        <v>0.03</v>
      </c>
      <c r="P24">
        <v>2282</v>
      </c>
    </row>
    <row r="25" spans="1:16" x14ac:dyDescent="0.25">
      <c r="A25" t="s">
        <v>20</v>
      </c>
      <c r="B25" t="s">
        <v>36</v>
      </c>
      <c r="C25" s="9"/>
      <c r="D25" s="9"/>
      <c r="E25" s="9"/>
      <c r="F25" s="9">
        <v>1732</v>
      </c>
      <c r="G25" s="9">
        <f t="shared" si="0"/>
        <v>1732</v>
      </c>
      <c r="H25">
        <f t="shared" si="1"/>
        <v>1.07</v>
      </c>
      <c r="I25" s="10">
        <f t="shared" si="2"/>
        <v>4.0000000000000001E-3</v>
      </c>
      <c r="J25">
        <f t="shared" si="3"/>
        <v>-0.02</v>
      </c>
      <c r="P25">
        <v>1770</v>
      </c>
    </row>
    <row r="26" spans="1:16" x14ac:dyDescent="0.25">
      <c r="A26" t="s">
        <v>20</v>
      </c>
      <c r="B26" t="s">
        <v>37</v>
      </c>
      <c r="C26" s="9"/>
      <c r="D26" s="9"/>
      <c r="E26" s="9">
        <v>1900</v>
      </c>
      <c r="F26" s="9">
        <v>14850</v>
      </c>
      <c r="G26" s="9">
        <f t="shared" si="0"/>
        <v>16750</v>
      </c>
      <c r="H26">
        <f t="shared" si="1"/>
        <v>10.34</v>
      </c>
      <c r="I26" s="10">
        <f t="shared" si="2"/>
        <v>3.5000000000000003E-2</v>
      </c>
      <c r="J26">
        <f t="shared" si="3"/>
        <v>-0.39</v>
      </c>
      <c r="P26">
        <v>27530</v>
      </c>
    </row>
    <row r="27" spans="1:16" x14ac:dyDescent="0.25">
      <c r="A27" t="s">
        <v>20</v>
      </c>
      <c r="B27" t="s">
        <v>39</v>
      </c>
      <c r="C27" s="9"/>
      <c r="D27" s="9"/>
      <c r="E27" s="9"/>
      <c r="F27" s="9">
        <v>3700</v>
      </c>
      <c r="G27" s="9">
        <f t="shared" si="0"/>
        <v>3700</v>
      </c>
      <c r="H27">
        <f t="shared" si="1"/>
        <v>2.2799999999999998</v>
      </c>
      <c r="I27" s="10">
        <f t="shared" si="2"/>
        <v>8.0000000000000002E-3</v>
      </c>
      <c r="J27">
        <f t="shared" si="3"/>
        <v>0.28999999999999998</v>
      </c>
      <c r="P27">
        <v>2870</v>
      </c>
    </row>
    <row r="28" spans="1:16" x14ac:dyDescent="0.25">
      <c r="A28" t="s">
        <v>20</v>
      </c>
      <c r="B28" t="s">
        <v>40</v>
      </c>
      <c r="C28" s="9"/>
      <c r="D28" s="9"/>
      <c r="E28" s="9">
        <v>4520</v>
      </c>
      <c r="F28" s="9">
        <v>39350</v>
      </c>
      <c r="G28" s="9">
        <f t="shared" si="0"/>
        <v>43870</v>
      </c>
      <c r="H28">
        <f t="shared" si="1"/>
        <v>27.08</v>
      </c>
      <c r="I28" s="10">
        <f t="shared" si="2"/>
        <v>9.2999999999999999E-2</v>
      </c>
      <c r="J28">
        <f t="shared" si="3"/>
        <v>7.0000000000000007E-2</v>
      </c>
      <c r="P28">
        <v>40970</v>
      </c>
    </row>
    <row r="29" spans="1:16" x14ac:dyDescent="0.25">
      <c r="A29" t="s">
        <v>20</v>
      </c>
      <c r="B29" t="s">
        <v>70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44</v>
      </c>
      <c r="B30" t="s">
        <v>45</v>
      </c>
      <c r="C30" s="9">
        <v>55120</v>
      </c>
      <c r="D30" s="9"/>
      <c r="E30" s="9"/>
      <c r="F30" s="9"/>
      <c r="G30" s="9">
        <f t="shared" si="0"/>
        <v>55120</v>
      </c>
      <c r="H30">
        <f t="shared" si="1"/>
        <v>34.020000000000003</v>
      </c>
      <c r="I30" s="10">
        <f t="shared" si="2"/>
        <v>0.11700000000000001</v>
      </c>
      <c r="J30">
        <f>ROUND(G30/P30-1,2)</f>
        <v>0.03</v>
      </c>
      <c r="P30">
        <v>53575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>
        <v>29100</v>
      </c>
      <c r="G31" s="9">
        <f t="shared" si="0"/>
        <v>29100</v>
      </c>
      <c r="H31">
        <f t="shared" si="1"/>
        <v>17.96</v>
      </c>
      <c r="I31" s="10">
        <f t="shared" si="2"/>
        <v>6.2E-2</v>
      </c>
      <c r="J31">
        <f>ROUND(G31/P31-1,2)</f>
        <v>3.03</v>
      </c>
      <c r="P31">
        <v>7220</v>
      </c>
    </row>
    <row r="32" spans="1:16" x14ac:dyDescent="0.25">
      <c r="A32" t="s">
        <v>44</v>
      </c>
      <c r="B32" t="s">
        <v>46</v>
      </c>
      <c r="C32" s="9"/>
      <c r="D32" s="9"/>
      <c r="E32" s="9"/>
      <c r="F32" s="9">
        <v>9090</v>
      </c>
      <c r="G32" s="9">
        <f t="shared" si="0"/>
        <v>9090</v>
      </c>
      <c r="H32">
        <f t="shared" si="1"/>
        <v>5.61</v>
      </c>
      <c r="I32" s="10">
        <f t="shared" si="2"/>
        <v>1.9E-2</v>
      </c>
      <c r="J32">
        <f>ROUND(G32/P32-1,2)</f>
        <v>-0.19</v>
      </c>
      <c r="P32">
        <v>11230</v>
      </c>
    </row>
    <row r="33" spans="1:16" x14ac:dyDescent="0.25">
      <c r="A33" t="s">
        <v>16</v>
      </c>
      <c r="B33" t="s">
        <v>19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C34" s="9"/>
      <c r="D34" s="9"/>
      <c r="E34" s="9"/>
      <c r="F34" s="9"/>
      <c r="G34" s="9"/>
      <c r="I34" s="10"/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SUM(C8:C33)</f>
        <v>342450</v>
      </c>
      <c r="D49" s="12">
        <f t="shared" si="4"/>
        <v>447</v>
      </c>
      <c r="E49" s="12">
        <f t="shared" si="4"/>
        <v>6420</v>
      </c>
      <c r="F49" s="12">
        <f t="shared" si="4"/>
        <v>123649</v>
      </c>
      <c r="G49" s="12">
        <f t="shared" si="4"/>
        <v>472966</v>
      </c>
      <c r="H49" s="11">
        <f t="shared" si="4"/>
        <v>291.95999999999998</v>
      </c>
      <c r="I49" s="4"/>
    </row>
    <row r="50" spans="1:10" x14ac:dyDescent="0.25">
      <c r="A50" s="11" t="s">
        <v>14</v>
      </c>
      <c r="C50" s="13">
        <f>ROUND(C49/G49,2)</f>
        <v>0.72</v>
      </c>
      <c r="D50" s="13">
        <f>ROUND(D49/G49,2)</f>
        <v>0</v>
      </c>
      <c r="E50" s="13">
        <f>ROUND(E49/G49,2)</f>
        <v>0.01</v>
      </c>
      <c r="F50" s="13">
        <f>ROUND(F49/G49,2)</f>
        <v>0.26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287330</v>
      </c>
      <c r="D54" s="15">
        <v>447</v>
      </c>
      <c r="E54" s="15">
        <v>6420</v>
      </c>
      <c r="F54" s="15">
        <v>85459</v>
      </c>
      <c r="G54" s="15">
        <f>SUM(C54:F54)</f>
        <v>379656</v>
      </c>
      <c r="H54" s="17">
        <f>ROUND(G54/1620,2)</f>
        <v>234.36</v>
      </c>
      <c r="I54" s="4"/>
      <c r="J54" s="4"/>
    </row>
    <row r="55" spans="1:10" x14ac:dyDescent="0.25">
      <c r="A55" s="33" t="s">
        <v>50</v>
      </c>
      <c r="B55" s="33"/>
      <c r="C55" s="15">
        <v>55120</v>
      </c>
      <c r="D55" s="15">
        <v>0</v>
      </c>
      <c r="E55" s="15">
        <v>0</v>
      </c>
      <c r="F55" s="15">
        <v>38190</v>
      </c>
      <c r="G55" s="15">
        <f>SUM(C55:F55)</f>
        <v>93310</v>
      </c>
      <c r="H55" s="17">
        <f>ROUND(G55/1620,2)</f>
        <v>57.6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ROUND(G56/1620,2)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ROUND(0.8674, 4)</f>
        <v>0.86739999999999995</v>
      </c>
      <c r="D60" s="19">
        <f>ROUND(0.8753, 4)</f>
        <v>0.87529999999999997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ROUND(0.8552, 4)</f>
        <v>0.85519999999999996</v>
      </c>
      <c r="D61" s="19">
        <f>ROUND(0.863, 4)</f>
        <v>0.86299999999999999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164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34.020000000000003</v>
      </c>
      <c r="D64" s="17">
        <v>49.4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83.4</v>
      </c>
      <c r="D65" s="17">
        <v>83.05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234.36</v>
      </c>
      <c r="D66" s="17">
        <v>246.16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57.6</v>
      </c>
      <c r="D67" s="17">
        <v>67.58</v>
      </c>
      <c r="E67" s="17">
        <v>115.16</v>
      </c>
      <c r="F67" s="17">
        <v>80.39</v>
      </c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P76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165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478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12550</v>
      </c>
      <c r="D9" s="9"/>
      <c r="E9" s="9"/>
      <c r="F9" s="9"/>
      <c r="G9" s="9">
        <f t="shared" ref="G9:G34" si="0">SUM(C9:F9)</f>
        <v>12550</v>
      </c>
      <c r="H9">
        <f t="shared" ref="H9:H34" si="1">ROUND(G9/478,2)</f>
        <v>26.26</v>
      </c>
      <c r="I9" s="10">
        <f t="shared" ref="I9:I34" si="2">ROUND(G9/$G$49,3)</f>
        <v>7.8E-2</v>
      </c>
      <c r="J9">
        <f t="shared" ref="J9:J15" si="3">ROUND(G9/P9-1,2)</f>
        <v>7.0000000000000007E-2</v>
      </c>
      <c r="P9">
        <v>11780</v>
      </c>
    </row>
    <row r="10" spans="1:16" x14ac:dyDescent="0.25">
      <c r="A10" t="s">
        <v>20</v>
      </c>
      <c r="B10" t="s">
        <v>22</v>
      </c>
      <c r="C10" s="9">
        <v>20120</v>
      </c>
      <c r="D10" s="9"/>
      <c r="E10" s="9"/>
      <c r="F10" s="9">
        <v>60</v>
      </c>
      <c r="G10" s="9">
        <f t="shared" si="0"/>
        <v>20180</v>
      </c>
      <c r="H10">
        <f t="shared" si="1"/>
        <v>42.22</v>
      </c>
      <c r="I10" s="10">
        <f t="shared" si="2"/>
        <v>0.125</v>
      </c>
      <c r="J10">
        <f t="shared" si="3"/>
        <v>-0.09</v>
      </c>
      <c r="P10">
        <v>22180</v>
      </c>
    </row>
    <row r="11" spans="1:16" x14ac:dyDescent="0.25">
      <c r="A11" t="s">
        <v>20</v>
      </c>
      <c r="B11" t="s">
        <v>42</v>
      </c>
      <c r="C11" s="9"/>
      <c r="D11" s="9"/>
      <c r="E11" s="9">
        <v>67</v>
      </c>
      <c r="F11" s="9"/>
      <c r="G11" s="9">
        <f t="shared" si="0"/>
        <v>67</v>
      </c>
      <c r="H11">
        <f t="shared" si="1"/>
        <v>0.14000000000000001</v>
      </c>
      <c r="I11" s="10">
        <f t="shared" si="2"/>
        <v>0</v>
      </c>
      <c r="J11">
        <f t="shared" si="3"/>
        <v>-0.12</v>
      </c>
      <c r="P11">
        <v>76</v>
      </c>
    </row>
    <row r="12" spans="1:16" x14ac:dyDescent="0.25">
      <c r="A12" t="s">
        <v>20</v>
      </c>
      <c r="B12" t="s">
        <v>23</v>
      </c>
      <c r="C12" s="9"/>
      <c r="D12" s="9"/>
      <c r="E12" s="9">
        <v>840</v>
      </c>
      <c r="F12" s="9"/>
      <c r="G12" s="9">
        <f t="shared" si="0"/>
        <v>840</v>
      </c>
      <c r="H12">
        <f t="shared" si="1"/>
        <v>1.76</v>
      </c>
      <c r="I12" s="10">
        <f t="shared" si="2"/>
        <v>5.0000000000000001E-3</v>
      </c>
      <c r="J12">
        <f t="shared" si="3"/>
        <v>-0.43</v>
      </c>
      <c r="P12">
        <v>1480</v>
      </c>
    </row>
    <row r="13" spans="1:16" x14ac:dyDescent="0.25">
      <c r="A13" t="s">
        <v>20</v>
      </c>
      <c r="B13" t="s">
        <v>25</v>
      </c>
      <c r="C13" s="9">
        <v>17290</v>
      </c>
      <c r="D13" s="9"/>
      <c r="E13" s="9"/>
      <c r="F13" s="9"/>
      <c r="G13" s="9">
        <f t="shared" si="0"/>
        <v>17290</v>
      </c>
      <c r="H13">
        <f t="shared" si="1"/>
        <v>36.17</v>
      </c>
      <c r="I13" s="10">
        <f t="shared" si="2"/>
        <v>0.107</v>
      </c>
      <c r="J13">
        <f t="shared" si="3"/>
        <v>-0.02</v>
      </c>
      <c r="P13">
        <v>17730</v>
      </c>
    </row>
    <row r="14" spans="1:16" x14ac:dyDescent="0.25">
      <c r="A14" t="s">
        <v>20</v>
      </c>
      <c r="B14" t="s">
        <v>26</v>
      </c>
      <c r="C14" s="9">
        <v>11860</v>
      </c>
      <c r="D14" s="9"/>
      <c r="E14" s="9"/>
      <c r="F14" s="9">
        <v>300</v>
      </c>
      <c r="G14" s="9">
        <f t="shared" si="0"/>
        <v>12160</v>
      </c>
      <c r="H14">
        <f t="shared" si="1"/>
        <v>25.44</v>
      </c>
      <c r="I14" s="10">
        <f t="shared" si="2"/>
        <v>7.5999999999999998E-2</v>
      </c>
      <c r="J14">
        <f t="shared" si="3"/>
        <v>-0.13</v>
      </c>
      <c r="P14">
        <v>13910</v>
      </c>
    </row>
    <row r="15" spans="1:16" x14ac:dyDescent="0.25">
      <c r="A15" t="s">
        <v>20</v>
      </c>
      <c r="B15" t="s">
        <v>30</v>
      </c>
      <c r="C15" s="9"/>
      <c r="D15" s="9"/>
      <c r="E15" s="9">
        <v>1550</v>
      </c>
      <c r="F15" s="9"/>
      <c r="G15" s="9">
        <f t="shared" si="0"/>
        <v>1550</v>
      </c>
      <c r="H15">
        <f t="shared" si="1"/>
        <v>3.24</v>
      </c>
      <c r="I15" s="10">
        <f t="shared" si="2"/>
        <v>0.01</v>
      </c>
      <c r="J15">
        <f t="shared" si="3"/>
        <v>-0.19</v>
      </c>
      <c r="P15">
        <v>1920</v>
      </c>
    </row>
    <row r="16" spans="1:16" x14ac:dyDescent="0.25">
      <c r="A16" t="s">
        <v>20</v>
      </c>
      <c r="B16" t="s">
        <v>32</v>
      </c>
      <c r="C16" s="9"/>
      <c r="D16" s="9"/>
      <c r="E16" s="9">
        <v>270</v>
      </c>
      <c r="F16" s="9"/>
      <c r="G16" s="9">
        <f t="shared" si="0"/>
        <v>270</v>
      </c>
      <c r="H16">
        <f t="shared" si="1"/>
        <v>0.56000000000000005</v>
      </c>
      <c r="I16" s="10">
        <f t="shared" si="2"/>
        <v>2E-3</v>
      </c>
      <c r="P16">
        <v>0</v>
      </c>
    </row>
    <row r="17" spans="1:16" x14ac:dyDescent="0.25">
      <c r="A17" t="s">
        <v>20</v>
      </c>
      <c r="B17" t="s">
        <v>33</v>
      </c>
      <c r="C17" s="9"/>
      <c r="D17" s="9"/>
      <c r="E17" s="9">
        <v>1015</v>
      </c>
      <c r="F17" s="9"/>
      <c r="G17" s="9">
        <f t="shared" si="0"/>
        <v>1015</v>
      </c>
      <c r="H17">
        <f t="shared" si="1"/>
        <v>2.12</v>
      </c>
      <c r="I17" s="10">
        <f t="shared" si="2"/>
        <v>6.0000000000000001E-3</v>
      </c>
      <c r="J17">
        <f t="shared" ref="J17:J24" si="4">ROUND(G17/P17-1,2)</f>
        <v>0.69</v>
      </c>
      <c r="P17">
        <v>600</v>
      </c>
    </row>
    <row r="18" spans="1:16" x14ac:dyDescent="0.25">
      <c r="A18" t="s">
        <v>20</v>
      </c>
      <c r="B18" t="s">
        <v>43</v>
      </c>
      <c r="C18" s="9"/>
      <c r="D18" s="9">
        <v>46</v>
      </c>
      <c r="E18" s="9"/>
      <c r="F18" s="9"/>
      <c r="G18" s="9">
        <f t="shared" si="0"/>
        <v>46</v>
      </c>
      <c r="H18">
        <f t="shared" si="1"/>
        <v>0.1</v>
      </c>
      <c r="I18" s="10">
        <f t="shared" si="2"/>
        <v>0</v>
      </c>
      <c r="J18">
        <f t="shared" si="4"/>
        <v>0.02</v>
      </c>
      <c r="P18">
        <v>45</v>
      </c>
    </row>
    <row r="19" spans="1:16" x14ac:dyDescent="0.25">
      <c r="A19" t="s">
        <v>20</v>
      </c>
      <c r="B19" t="s">
        <v>35</v>
      </c>
      <c r="C19" s="9"/>
      <c r="D19" s="9"/>
      <c r="E19" s="9">
        <v>663</v>
      </c>
      <c r="F19" s="9"/>
      <c r="G19" s="9">
        <f t="shared" si="0"/>
        <v>663</v>
      </c>
      <c r="H19">
        <f t="shared" si="1"/>
        <v>1.39</v>
      </c>
      <c r="I19" s="10">
        <f t="shared" si="2"/>
        <v>4.0000000000000001E-3</v>
      </c>
      <c r="J19">
        <f t="shared" si="4"/>
        <v>-0.62</v>
      </c>
      <c r="P19">
        <v>1766</v>
      </c>
    </row>
    <row r="20" spans="1:16" x14ac:dyDescent="0.25">
      <c r="A20" t="s">
        <v>20</v>
      </c>
      <c r="B20" t="s">
        <v>41</v>
      </c>
      <c r="C20" s="9"/>
      <c r="D20" s="9"/>
      <c r="E20" s="9">
        <v>2040</v>
      </c>
      <c r="F20" s="9"/>
      <c r="G20" s="9">
        <f t="shared" si="0"/>
        <v>2040</v>
      </c>
      <c r="H20">
        <f t="shared" si="1"/>
        <v>4.2699999999999996</v>
      </c>
      <c r="I20" s="10">
        <f t="shared" si="2"/>
        <v>1.2999999999999999E-2</v>
      </c>
      <c r="J20">
        <f t="shared" si="4"/>
        <v>-0.23</v>
      </c>
      <c r="P20">
        <v>2663</v>
      </c>
    </row>
    <row r="21" spans="1:16" x14ac:dyDescent="0.25">
      <c r="A21" t="s">
        <v>20</v>
      </c>
      <c r="B21" t="s">
        <v>36</v>
      </c>
      <c r="C21" s="9"/>
      <c r="D21" s="9"/>
      <c r="E21" s="9">
        <v>500</v>
      </c>
      <c r="F21" s="9"/>
      <c r="G21" s="9">
        <f t="shared" si="0"/>
        <v>500</v>
      </c>
      <c r="H21">
        <f t="shared" si="1"/>
        <v>1.05</v>
      </c>
      <c r="I21" s="10">
        <f t="shared" si="2"/>
        <v>3.0000000000000001E-3</v>
      </c>
      <c r="J21">
        <f t="shared" si="4"/>
        <v>-0.64</v>
      </c>
      <c r="P21">
        <v>1380</v>
      </c>
    </row>
    <row r="22" spans="1:16" x14ac:dyDescent="0.25">
      <c r="A22" t="s">
        <v>20</v>
      </c>
      <c r="B22" t="s">
        <v>37</v>
      </c>
      <c r="C22" s="9"/>
      <c r="D22" s="9"/>
      <c r="E22" s="9">
        <v>18190</v>
      </c>
      <c r="F22" s="9"/>
      <c r="G22" s="9">
        <f t="shared" si="0"/>
        <v>18190</v>
      </c>
      <c r="H22">
        <f t="shared" si="1"/>
        <v>38.049999999999997</v>
      </c>
      <c r="I22" s="10">
        <f t="shared" si="2"/>
        <v>0.113</v>
      </c>
      <c r="J22">
        <f t="shared" si="4"/>
        <v>0.38</v>
      </c>
      <c r="P22">
        <v>13160</v>
      </c>
    </row>
    <row r="23" spans="1:16" x14ac:dyDescent="0.25">
      <c r="A23" t="s">
        <v>20</v>
      </c>
      <c r="B23" t="s">
        <v>38</v>
      </c>
      <c r="C23" s="9"/>
      <c r="D23" s="9"/>
      <c r="E23" s="9">
        <v>3610</v>
      </c>
      <c r="F23" s="9"/>
      <c r="G23" s="9">
        <f t="shared" si="0"/>
        <v>3610</v>
      </c>
      <c r="H23">
        <f t="shared" si="1"/>
        <v>7.55</v>
      </c>
      <c r="I23" s="10">
        <f t="shared" si="2"/>
        <v>2.1999999999999999E-2</v>
      </c>
      <c r="J23">
        <f t="shared" si="4"/>
        <v>0.31</v>
      </c>
      <c r="P23">
        <v>2760</v>
      </c>
    </row>
    <row r="24" spans="1:16" x14ac:dyDescent="0.25">
      <c r="A24" t="s">
        <v>20</v>
      </c>
      <c r="B24" t="s">
        <v>39</v>
      </c>
      <c r="C24" s="9"/>
      <c r="D24" s="9"/>
      <c r="E24" s="9">
        <v>7340</v>
      </c>
      <c r="F24" s="9"/>
      <c r="G24" s="9">
        <f t="shared" si="0"/>
        <v>7340</v>
      </c>
      <c r="H24">
        <f t="shared" si="1"/>
        <v>15.36</v>
      </c>
      <c r="I24" s="10">
        <f t="shared" si="2"/>
        <v>4.5999999999999999E-2</v>
      </c>
      <c r="J24">
        <f t="shared" si="4"/>
        <v>-0.05</v>
      </c>
      <c r="P24">
        <v>7720</v>
      </c>
    </row>
    <row r="25" spans="1:16" x14ac:dyDescent="0.25">
      <c r="A25" t="s">
        <v>20</v>
      </c>
      <c r="B25" t="s">
        <v>24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69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J26">
        <f>ROUND(G26/P26-1,2)</f>
        <v>-1</v>
      </c>
      <c r="P26">
        <v>1820</v>
      </c>
    </row>
    <row r="27" spans="1:16" x14ac:dyDescent="0.25">
      <c r="A27" t="s">
        <v>20</v>
      </c>
      <c r="B27" t="s">
        <v>70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J27">
        <f>ROUND(G27/P27-1,2)</f>
        <v>-1</v>
      </c>
      <c r="P27">
        <v>720</v>
      </c>
    </row>
    <row r="28" spans="1:16" x14ac:dyDescent="0.25">
      <c r="A28" t="s">
        <v>20</v>
      </c>
      <c r="B28" t="s">
        <v>67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31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J29">
        <f>ROUND(G29/P29-1,2)</f>
        <v>-1</v>
      </c>
      <c r="P29">
        <v>480</v>
      </c>
    </row>
    <row r="30" spans="1:16" x14ac:dyDescent="0.25">
      <c r="A30" t="s">
        <v>20</v>
      </c>
      <c r="B30" t="s">
        <v>34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29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44</v>
      </c>
      <c r="B32" t="s">
        <v>45</v>
      </c>
      <c r="C32" s="9">
        <v>54920</v>
      </c>
      <c r="D32" s="9"/>
      <c r="E32" s="9"/>
      <c r="F32" s="9">
        <v>160</v>
      </c>
      <c r="G32" s="9">
        <f t="shared" si="0"/>
        <v>55080</v>
      </c>
      <c r="H32">
        <f t="shared" si="1"/>
        <v>115.23</v>
      </c>
      <c r="I32" s="10">
        <f t="shared" si="2"/>
        <v>0.34200000000000003</v>
      </c>
      <c r="J32">
        <f>ROUND(G32/P32-1,2)</f>
        <v>0.01</v>
      </c>
      <c r="P32">
        <v>54380</v>
      </c>
    </row>
    <row r="33" spans="1:16" x14ac:dyDescent="0.25">
      <c r="A33" t="s">
        <v>44</v>
      </c>
      <c r="B33" t="s">
        <v>46</v>
      </c>
      <c r="C33" s="9"/>
      <c r="D33" s="9"/>
      <c r="E33" s="9">
        <v>7560</v>
      </c>
      <c r="F33" s="9"/>
      <c r="G33" s="9">
        <f t="shared" si="0"/>
        <v>7560</v>
      </c>
      <c r="H33">
        <f t="shared" si="1"/>
        <v>15.82</v>
      </c>
      <c r="I33" s="10">
        <f t="shared" si="2"/>
        <v>4.7E-2</v>
      </c>
      <c r="J33">
        <f>ROUND(G33/P33-1,2)</f>
        <v>-0.04</v>
      </c>
      <c r="P33">
        <v>7860</v>
      </c>
    </row>
    <row r="34" spans="1:16" x14ac:dyDescent="0.25">
      <c r="A34" t="s">
        <v>16</v>
      </c>
      <c r="B34" t="s">
        <v>19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SUM(C8:C34)</f>
        <v>116740</v>
      </c>
      <c r="D49" s="12">
        <f t="shared" si="5"/>
        <v>46</v>
      </c>
      <c r="E49" s="12">
        <f t="shared" si="5"/>
        <v>43645</v>
      </c>
      <c r="F49" s="12">
        <f t="shared" si="5"/>
        <v>520</v>
      </c>
      <c r="G49" s="12">
        <f t="shared" si="5"/>
        <v>160951</v>
      </c>
      <c r="H49" s="11">
        <f t="shared" si="5"/>
        <v>336.73000000000008</v>
      </c>
      <c r="I49" s="4"/>
    </row>
    <row r="50" spans="1:10" x14ac:dyDescent="0.25">
      <c r="A50" s="11" t="s">
        <v>14</v>
      </c>
      <c r="C50" s="13">
        <f>ROUND(C49/G49,2)</f>
        <v>0.73</v>
      </c>
      <c r="D50" s="13">
        <f>ROUND(D49/G49,2)</f>
        <v>0</v>
      </c>
      <c r="E50" s="13">
        <f>ROUND(E49/G49,2)</f>
        <v>0.27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61820</v>
      </c>
      <c r="D54" s="15">
        <v>46</v>
      </c>
      <c r="E54" s="15">
        <v>36085</v>
      </c>
      <c r="F54" s="15">
        <v>360</v>
      </c>
      <c r="G54" s="15">
        <f>SUM(C54:F54)</f>
        <v>98311</v>
      </c>
      <c r="H54" s="17">
        <f>ROUND(G54/478,2)</f>
        <v>205.67</v>
      </c>
      <c r="I54" s="4"/>
      <c r="J54" s="4"/>
    </row>
    <row r="55" spans="1:10" x14ac:dyDescent="0.25">
      <c r="A55" s="33" t="s">
        <v>50</v>
      </c>
      <c r="B55" s="33"/>
      <c r="C55" s="15">
        <v>54920</v>
      </c>
      <c r="D55" s="15">
        <v>0</v>
      </c>
      <c r="E55" s="15">
        <v>7560</v>
      </c>
      <c r="F55" s="15">
        <v>160</v>
      </c>
      <c r="G55" s="15">
        <f>SUM(C55:F55)</f>
        <v>62640</v>
      </c>
      <c r="H55" s="17">
        <f>ROUND(G55/478,2)</f>
        <v>131.05000000000001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ROUND(G56/478,2)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ROUND(0.6509, 4)</f>
        <v>0.65090000000000003</v>
      </c>
      <c r="D60" s="19">
        <f>ROUND(0.6611, 4)</f>
        <v>0.66110000000000002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ROUND(0.6408, 4)</f>
        <v>0.64080000000000004</v>
      </c>
      <c r="D61" s="19">
        <f>ROUND(0.6518, 4)</f>
        <v>0.65180000000000005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166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115.23</v>
      </c>
      <c r="D64" s="17">
        <v>106.01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25.44</v>
      </c>
      <c r="D65" s="17">
        <v>31.68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205.67</v>
      </c>
      <c r="D66" s="17">
        <v>251.26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131.05000000000001</v>
      </c>
      <c r="D67" s="17">
        <v>122.76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P68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8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167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4809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2200</v>
      </c>
      <c r="G9" s="9">
        <f t="shared" ref="G9:G43" si="0">SUM(C9:F9)</f>
        <v>2200</v>
      </c>
      <c r="H9">
        <f t="shared" ref="H9:H43" si="1">ROUND(G9/4809,2)</f>
        <v>0.46</v>
      </c>
      <c r="I9" s="10">
        <f t="shared" ref="I9:I43" si="2">ROUND(G9/$G$49,3)</f>
        <v>1E-3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67</v>
      </c>
      <c r="C11" s="9"/>
      <c r="D11" s="9"/>
      <c r="E11" s="9">
        <v>126</v>
      </c>
      <c r="F11" s="9"/>
      <c r="G11" s="9">
        <f t="shared" si="0"/>
        <v>126</v>
      </c>
      <c r="H11">
        <f t="shared" si="1"/>
        <v>0.03</v>
      </c>
      <c r="I11" s="10">
        <f t="shared" si="2"/>
        <v>0</v>
      </c>
      <c r="J11">
        <f t="shared" ref="J11:J16" si="3">ROUND(G11/P11-1,2)</f>
        <v>-0.02</v>
      </c>
      <c r="P11">
        <v>128</v>
      </c>
    </row>
    <row r="12" spans="1:16" x14ac:dyDescent="0.25">
      <c r="A12" t="s">
        <v>20</v>
      </c>
      <c r="B12" t="s">
        <v>21</v>
      </c>
      <c r="C12" s="9">
        <v>152245</v>
      </c>
      <c r="D12" s="9"/>
      <c r="E12" s="9"/>
      <c r="F12" s="9">
        <v>2705</v>
      </c>
      <c r="G12" s="9">
        <f t="shared" si="0"/>
        <v>154950</v>
      </c>
      <c r="H12">
        <f t="shared" si="1"/>
        <v>32.22</v>
      </c>
      <c r="I12" s="10">
        <f t="shared" si="2"/>
        <v>7.5999999999999998E-2</v>
      </c>
      <c r="J12">
        <f t="shared" si="3"/>
        <v>0.06</v>
      </c>
      <c r="P12">
        <v>146860</v>
      </c>
    </row>
    <row r="13" spans="1:16" x14ac:dyDescent="0.25">
      <c r="A13" t="s">
        <v>20</v>
      </c>
      <c r="B13" t="s">
        <v>22</v>
      </c>
      <c r="C13" s="9">
        <v>253660</v>
      </c>
      <c r="D13" s="9"/>
      <c r="E13" s="9"/>
      <c r="F13" s="9"/>
      <c r="G13" s="9">
        <f t="shared" si="0"/>
        <v>253660</v>
      </c>
      <c r="H13">
        <f t="shared" si="1"/>
        <v>52.75</v>
      </c>
      <c r="I13" s="10">
        <f t="shared" si="2"/>
        <v>0.124</v>
      </c>
      <c r="J13">
        <f t="shared" si="3"/>
        <v>-0.02</v>
      </c>
      <c r="P13">
        <v>260110</v>
      </c>
    </row>
    <row r="14" spans="1:16" x14ac:dyDescent="0.25">
      <c r="A14" t="s">
        <v>20</v>
      </c>
      <c r="B14" t="s">
        <v>79</v>
      </c>
      <c r="C14" s="9"/>
      <c r="D14" s="9"/>
      <c r="E14" s="9">
        <v>82</v>
      </c>
      <c r="F14" s="9"/>
      <c r="G14" s="9">
        <f t="shared" si="0"/>
        <v>82</v>
      </c>
      <c r="H14">
        <f t="shared" si="1"/>
        <v>0.02</v>
      </c>
      <c r="I14" s="10">
        <f t="shared" si="2"/>
        <v>0</v>
      </c>
      <c r="J14">
        <f t="shared" si="3"/>
        <v>-0.35</v>
      </c>
      <c r="P14">
        <v>127</v>
      </c>
    </row>
    <row r="15" spans="1:16" x14ac:dyDescent="0.25">
      <c r="A15" t="s">
        <v>20</v>
      </c>
      <c r="B15" t="s">
        <v>42</v>
      </c>
      <c r="C15" s="9"/>
      <c r="D15" s="9"/>
      <c r="E15" s="9">
        <v>275</v>
      </c>
      <c r="F15" s="9"/>
      <c r="G15" s="9">
        <f t="shared" si="0"/>
        <v>275</v>
      </c>
      <c r="H15">
        <f t="shared" si="1"/>
        <v>0.06</v>
      </c>
      <c r="I15" s="10">
        <f t="shared" si="2"/>
        <v>0</v>
      </c>
      <c r="J15">
        <f t="shared" si="3"/>
        <v>0.35</v>
      </c>
      <c r="P15">
        <v>203</v>
      </c>
    </row>
    <row r="16" spans="1:16" x14ac:dyDescent="0.25">
      <c r="A16" t="s">
        <v>20</v>
      </c>
      <c r="B16" t="s">
        <v>23</v>
      </c>
      <c r="C16" s="9"/>
      <c r="D16" s="9"/>
      <c r="E16" s="9">
        <v>2700</v>
      </c>
      <c r="F16" s="9"/>
      <c r="G16" s="9">
        <f t="shared" si="0"/>
        <v>2700</v>
      </c>
      <c r="H16">
        <f t="shared" si="1"/>
        <v>0.56000000000000005</v>
      </c>
      <c r="I16" s="10">
        <f t="shared" si="2"/>
        <v>1E-3</v>
      </c>
      <c r="J16">
        <f t="shared" si="3"/>
        <v>0.5</v>
      </c>
      <c r="P16">
        <v>1800</v>
      </c>
    </row>
    <row r="17" spans="1:16" x14ac:dyDescent="0.25">
      <c r="A17" t="s">
        <v>20</v>
      </c>
      <c r="B17" t="s">
        <v>168</v>
      </c>
      <c r="C17" s="9"/>
      <c r="D17" s="9"/>
      <c r="E17" s="9"/>
      <c r="F17" s="9">
        <v>14600</v>
      </c>
      <c r="G17" s="9">
        <f t="shared" si="0"/>
        <v>14600</v>
      </c>
      <c r="H17">
        <f t="shared" si="1"/>
        <v>3.04</v>
      </c>
      <c r="I17" s="10">
        <f t="shared" si="2"/>
        <v>7.0000000000000001E-3</v>
      </c>
      <c r="P17">
        <v>0</v>
      </c>
    </row>
    <row r="18" spans="1:16" x14ac:dyDescent="0.25">
      <c r="A18" t="s">
        <v>20</v>
      </c>
      <c r="B18" t="s">
        <v>24</v>
      </c>
      <c r="C18" s="9"/>
      <c r="D18" s="9"/>
      <c r="E18" s="9">
        <v>24460</v>
      </c>
      <c r="F18" s="9"/>
      <c r="G18" s="9">
        <f t="shared" si="0"/>
        <v>24460</v>
      </c>
      <c r="H18">
        <f t="shared" si="1"/>
        <v>5.09</v>
      </c>
      <c r="I18" s="10">
        <f t="shared" si="2"/>
        <v>1.2E-2</v>
      </c>
      <c r="J18">
        <f t="shared" ref="J18:J38" si="4">ROUND(G18/P18-1,2)</f>
        <v>-0.49</v>
      </c>
      <c r="P18">
        <v>48180</v>
      </c>
    </row>
    <row r="19" spans="1:16" x14ac:dyDescent="0.25">
      <c r="A19" t="s">
        <v>20</v>
      </c>
      <c r="B19" t="s">
        <v>25</v>
      </c>
      <c r="C19" s="9">
        <v>208090</v>
      </c>
      <c r="D19" s="9"/>
      <c r="E19" s="9">
        <v>21480</v>
      </c>
      <c r="F19" s="9">
        <v>24360</v>
      </c>
      <c r="G19" s="9">
        <f t="shared" si="0"/>
        <v>253930</v>
      </c>
      <c r="H19">
        <f t="shared" si="1"/>
        <v>52.8</v>
      </c>
      <c r="I19" s="10">
        <f t="shared" si="2"/>
        <v>0.124</v>
      </c>
      <c r="J19">
        <f t="shared" si="4"/>
        <v>0.02</v>
      </c>
      <c r="P19">
        <v>249700</v>
      </c>
    </row>
    <row r="20" spans="1:16" x14ac:dyDescent="0.25">
      <c r="A20" t="s">
        <v>20</v>
      </c>
      <c r="B20" t="s">
        <v>69</v>
      </c>
      <c r="C20" s="9"/>
      <c r="D20" s="9"/>
      <c r="E20" s="9">
        <v>8330</v>
      </c>
      <c r="F20" s="9"/>
      <c r="G20" s="9">
        <f t="shared" si="0"/>
        <v>8330</v>
      </c>
      <c r="H20">
        <f t="shared" si="1"/>
        <v>1.73</v>
      </c>
      <c r="I20" s="10">
        <f t="shared" si="2"/>
        <v>4.0000000000000001E-3</v>
      </c>
      <c r="J20">
        <f t="shared" si="4"/>
        <v>0.55000000000000004</v>
      </c>
      <c r="P20">
        <v>5370</v>
      </c>
    </row>
    <row r="21" spans="1:16" x14ac:dyDescent="0.25">
      <c r="A21" t="s">
        <v>20</v>
      </c>
      <c r="B21" t="s">
        <v>26</v>
      </c>
      <c r="C21" s="9">
        <v>311830</v>
      </c>
      <c r="D21" s="9"/>
      <c r="E21" s="9"/>
      <c r="F21" s="9">
        <v>1150</v>
      </c>
      <c r="G21" s="9">
        <f t="shared" si="0"/>
        <v>312980</v>
      </c>
      <c r="H21">
        <f t="shared" si="1"/>
        <v>65.08</v>
      </c>
      <c r="I21" s="10">
        <f t="shared" si="2"/>
        <v>0.153</v>
      </c>
      <c r="J21">
        <f t="shared" si="4"/>
        <v>-0.04</v>
      </c>
      <c r="P21">
        <v>326840</v>
      </c>
    </row>
    <row r="22" spans="1:16" x14ac:dyDescent="0.25">
      <c r="A22" t="s">
        <v>20</v>
      </c>
      <c r="B22" t="s">
        <v>27</v>
      </c>
      <c r="C22" s="9"/>
      <c r="D22" s="9"/>
      <c r="E22" s="9">
        <v>848</v>
      </c>
      <c r="F22" s="9"/>
      <c r="G22" s="9">
        <f t="shared" si="0"/>
        <v>848</v>
      </c>
      <c r="H22">
        <f t="shared" si="1"/>
        <v>0.18</v>
      </c>
      <c r="I22" s="10">
        <f t="shared" si="2"/>
        <v>0</v>
      </c>
      <c r="J22">
        <f t="shared" si="4"/>
        <v>-0.38</v>
      </c>
      <c r="P22">
        <v>1357</v>
      </c>
    </row>
    <row r="23" spans="1:16" x14ac:dyDescent="0.25">
      <c r="A23" t="s">
        <v>20</v>
      </c>
      <c r="B23" t="s">
        <v>28</v>
      </c>
      <c r="C23" s="9"/>
      <c r="D23" s="9"/>
      <c r="E23" s="9">
        <v>681</v>
      </c>
      <c r="F23" s="9"/>
      <c r="G23" s="9">
        <f t="shared" si="0"/>
        <v>681</v>
      </c>
      <c r="H23">
        <f t="shared" si="1"/>
        <v>0.14000000000000001</v>
      </c>
      <c r="I23" s="10">
        <f t="shared" si="2"/>
        <v>0</v>
      </c>
      <c r="J23">
        <f t="shared" si="4"/>
        <v>1.35</v>
      </c>
      <c r="P23">
        <v>290</v>
      </c>
    </row>
    <row r="24" spans="1:16" x14ac:dyDescent="0.25">
      <c r="A24" t="s">
        <v>20</v>
      </c>
      <c r="B24" t="s">
        <v>29</v>
      </c>
      <c r="C24" s="9"/>
      <c r="D24" s="9"/>
      <c r="E24" s="9">
        <v>289</v>
      </c>
      <c r="F24" s="9"/>
      <c r="G24" s="9">
        <f t="shared" si="0"/>
        <v>289</v>
      </c>
      <c r="H24">
        <f t="shared" si="1"/>
        <v>0.06</v>
      </c>
      <c r="I24" s="10">
        <f t="shared" si="2"/>
        <v>0</v>
      </c>
      <c r="J24">
        <f t="shared" si="4"/>
        <v>0.98</v>
      </c>
      <c r="P24">
        <v>146</v>
      </c>
    </row>
    <row r="25" spans="1:16" x14ac:dyDescent="0.25">
      <c r="A25" t="s">
        <v>20</v>
      </c>
      <c r="B25" t="s">
        <v>30</v>
      </c>
      <c r="C25" s="9"/>
      <c r="D25" s="9"/>
      <c r="E25" s="9">
        <v>13710</v>
      </c>
      <c r="F25" s="9"/>
      <c r="G25" s="9">
        <f t="shared" si="0"/>
        <v>13710</v>
      </c>
      <c r="H25">
        <f t="shared" si="1"/>
        <v>2.85</v>
      </c>
      <c r="I25" s="10">
        <f t="shared" si="2"/>
        <v>7.0000000000000001E-3</v>
      </c>
      <c r="J25">
        <f t="shared" si="4"/>
        <v>0.02</v>
      </c>
      <c r="P25">
        <v>13390</v>
      </c>
    </row>
    <row r="26" spans="1:16" x14ac:dyDescent="0.25">
      <c r="A26" t="s">
        <v>20</v>
      </c>
      <c r="B26" t="s">
        <v>31</v>
      </c>
      <c r="C26" s="9"/>
      <c r="D26" s="9"/>
      <c r="E26" s="9">
        <v>1520</v>
      </c>
      <c r="F26" s="9"/>
      <c r="G26" s="9">
        <f t="shared" si="0"/>
        <v>1520</v>
      </c>
      <c r="H26">
        <f t="shared" si="1"/>
        <v>0.32</v>
      </c>
      <c r="I26" s="10">
        <f t="shared" si="2"/>
        <v>1E-3</v>
      </c>
      <c r="J26">
        <f t="shared" si="4"/>
        <v>-0.01</v>
      </c>
      <c r="P26">
        <v>1530</v>
      </c>
    </row>
    <row r="27" spans="1:16" x14ac:dyDescent="0.25">
      <c r="A27" t="s">
        <v>20</v>
      </c>
      <c r="B27" t="s">
        <v>33</v>
      </c>
      <c r="C27" s="9"/>
      <c r="D27" s="9"/>
      <c r="E27" s="9">
        <v>1735</v>
      </c>
      <c r="F27" s="9"/>
      <c r="G27" s="9">
        <f t="shared" si="0"/>
        <v>1735</v>
      </c>
      <c r="H27">
        <f t="shared" si="1"/>
        <v>0.36</v>
      </c>
      <c r="I27" s="10">
        <f t="shared" si="2"/>
        <v>1E-3</v>
      </c>
      <c r="J27">
        <f t="shared" si="4"/>
        <v>-0.13</v>
      </c>
      <c r="P27">
        <v>2000</v>
      </c>
    </row>
    <row r="28" spans="1:16" x14ac:dyDescent="0.25">
      <c r="A28" t="s">
        <v>20</v>
      </c>
      <c r="B28" t="s">
        <v>43</v>
      </c>
      <c r="C28" s="9"/>
      <c r="D28" s="9">
        <v>425</v>
      </c>
      <c r="E28" s="9"/>
      <c r="F28" s="9"/>
      <c r="G28" s="9">
        <f t="shared" si="0"/>
        <v>425</v>
      </c>
      <c r="H28">
        <f t="shared" si="1"/>
        <v>0.09</v>
      </c>
      <c r="I28" s="10">
        <f t="shared" si="2"/>
        <v>0</v>
      </c>
      <c r="J28">
        <f t="shared" si="4"/>
        <v>-0.06</v>
      </c>
      <c r="P28">
        <v>454</v>
      </c>
    </row>
    <row r="29" spans="1:16" x14ac:dyDescent="0.25">
      <c r="A29" t="s">
        <v>20</v>
      </c>
      <c r="B29" t="s">
        <v>70</v>
      </c>
      <c r="C29" s="9"/>
      <c r="D29" s="9"/>
      <c r="E29" s="9">
        <v>520</v>
      </c>
      <c r="F29" s="9"/>
      <c r="G29" s="9">
        <f t="shared" si="0"/>
        <v>520</v>
      </c>
      <c r="H29">
        <f t="shared" si="1"/>
        <v>0.11</v>
      </c>
      <c r="I29" s="10">
        <f t="shared" si="2"/>
        <v>0</v>
      </c>
      <c r="J29">
        <f t="shared" si="4"/>
        <v>-0.31</v>
      </c>
      <c r="P29">
        <v>750</v>
      </c>
    </row>
    <row r="30" spans="1:16" x14ac:dyDescent="0.25">
      <c r="A30" t="s">
        <v>20</v>
      </c>
      <c r="B30" t="s">
        <v>35</v>
      </c>
      <c r="C30" s="9"/>
      <c r="D30" s="9"/>
      <c r="E30" s="9">
        <v>4380</v>
      </c>
      <c r="F30" s="9"/>
      <c r="G30" s="9">
        <f t="shared" si="0"/>
        <v>4380</v>
      </c>
      <c r="H30">
        <f t="shared" si="1"/>
        <v>0.91</v>
      </c>
      <c r="I30" s="10">
        <f t="shared" si="2"/>
        <v>2E-3</v>
      </c>
      <c r="J30">
        <f t="shared" si="4"/>
        <v>-0.41</v>
      </c>
      <c r="P30">
        <v>7415</v>
      </c>
    </row>
    <row r="31" spans="1:16" x14ac:dyDescent="0.25">
      <c r="A31" t="s">
        <v>20</v>
      </c>
      <c r="B31" t="s">
        <v>36</v>
      </c>
      <c r="C31" s="9"/>
      <c r="D31" s="9"/>
      <c r="E31" s="9">
        <v>6490</v>
      </c>
      <c r="F31" s="9"/>
      <c r="G31" s="9">
        <f t="shared" si="0"/>
        <v>6490</v>
      </c>
      <c r="H31">
        <f t="shared" si="1"/>
        <v>1.35</v>
      </c>
      <c r="I31" s="10">
        <f t="shared" si="2"/>
        <v>3.0000000000000001E-3</v>
      </c>
      <c r="J31">
        <f t="shared" si="4"/>
        <v>-0.56000000000000005</v>
      </c>
      <c r="P31">
        <v>14862</v>
      </c>
    </row>
    <row r="32" spans="1:16" x14ac:dyDescent="0.25">
      <c r="A32" t="s">
        <v>20</v>
      </c>
      <c r="B32" t="s">
        <v>41</v>
      </c>
      <c r="C32" s="9"/>
      <c r="D32" s="9"/>
      <c r="E32" s="9">
        <v>23962</v>
      </c>
      <c r="F32" s="9"/>
      <c r="G32" s="9">
        <f t="shared" si="0"/>
        <v>23962</v>
      </c>
      <c r="H32">
        <f t="shared" si="1"/>
        <v>4.9800000000000004</v>
      </c>
      <c r="I32" s="10">
        <f t="shared" si="2"/>
        <v>1.2E-2</v>
      </c>
      <c r="J32">
        <f t="shared" si="4"/>
        <v>1.99</v>
      </c>
      <c r="P32">
        <v>8026</v>
      </c>
    </row>
    <row r="33" spans="1:16" x14ac:dyDescent="0.25">
      <c r="A33" t="s">
        <v>20</v>
      </c>
      <c r="B33" t="s">
        <v>37</v>
      </c>
      <c r="C33" s="9"/>
      <c r="D33" s="9"/>
      <c r="E33" s="9">
        <v>79550</v>
      </c>
      <c r="F33" s="9">
        <v>40</v>
      </c>
      <c r="G33" s="9">
        <f t="shared" si="0"/>
        <v>79590</v>
      </c>
      <c r="H33">
        <f t="shared" si="1"/>
        <v>16.55</v>
      </c>
      <c r="I33" s="10">
        <f t="shared" si="2"/>
        <v>3.9E-2</v>
      </c>
      <c r="J33">
        <f t="shared" si="4"/>
        <v>-0.09</v>
      </c>
      <c r="P33">
        <v>87160</v>
      </c>
    </row>
    <row r="34" spans="1:16" x14ac:dyDescent="0.25">
      <c r="A34" t="s">
        <v>20</v>
      </c>
      <c r="B34" t="s">
        <v>38</v>
      </c>
      <c r="C34" s="9"/>
      <c r="D34" s="9"/>
      <c r="E34" s="9">
        <v>18835</v>
      </c>
      <c r="F34" s="9"/>
      <c r="G34" s="9">
        <f t="shared" si="0"/>
        <v>18835</v>
      </c>
      <c r="H34">
        <f t="shared" si="1"/>
        <v>3.92</v>
      </c>
      <c r="I34" s="10">
        <f t="shared" si="2"/>
        <v>8.9999999999999993E-3</v>
      </c>
      <c r="J34">
        <f t="shared" si="4"/>
        <v>1.75</v>
      </c>
      <c r="P34">
        <v>6860</v>
      </c>
    </row>
    <row r="35" spans="1:16" x14ac:dyDescent="0.25">
      <c r="A35" t="s">
        <v>20</v>
      </c>
      <c r="B35" t="s">
        <v>39</v>
      </c>
      <c r="C35" s="9"/>
      <c r="D35" s="9"/>
      <c r="E35" s="9">
        <v>36620</v>
      </c>
      <c r="F35" s="9">
        <v>40</v>
      </c>
      <c r="G35" s="9">
        <f t="shared" si="0"/>
        <v>36660</v>
      </c>
      <c r="H35">
        <f t="shared" si="1"/>
        <v>7.62</v>
      </c>
      <c r="I35" s="10">
        <f t="shared" si="2"/>
        <v>1.7999999999999999E-2</v>
      </c>
      <c r="J35">
        <f t="shared" si="4"/>
        <v>0.52</v>
      </c>
      <c r="P35">
        <v>24050</v>
      </c>
    </row>
    <row r="36" spans="1:16" x14ac:dyDescent="0.25">
      <c r="A36" t="s">
        <v>20</v>
      </c>
      <c r="B36" t="s">
        <v>40</v>
      </c>
      <c r="C36" s="9"/>
      <c r="D36" s="9"/>
      <c r="E36" s="9">
        <v>226520</v>
      </c>
      <c r="F36" s="9">
        <v>2480</v>
      </c>
      <c r="G36" s="9">
        <f t="shared" si="0"/>
        <v>229000</v>
      </c>
      <c r="H36">
        <f t="shared" si="1"/>
        <v>47.62</v>
      </c>
      <c r="I36" s="10">
        <f t="shared" si="2"/>
        <v>0.112</v>
      </c>
      <c r="J36">
        <f t="shared" si="4"/>
        <v>0.02</v>
      </c>
      <c r="P36">
        <v>225090</v>
      </c>
    </row>
    <row r="37" spans="1:16" x14ac:dyDescent="0.25">
      <c r="A37" t="s">
        <v>20</v>
      </c>
      <c r="B37" t="s">
        <v>32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J37">
        <f t="shared" si="4"/>
        <v>-1</v>
      </c>
      <c r="P37">
        <v>890</v>
      </c>
    </row>
    <row r="38" spans="1:16" x14ac:dyDescent="0.25">
      <c r="A38" t="s">
        <v>20</v>
      </c>
      <c r="B38" t="s">
        <v>34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J38">
        <f t="shared" si="4"/>
        <v>-1</v>
      </c>
      <c r="P38">
        <v>1153</v>
      </c>
    </row>
    <row r="39" spans="1:16" x14ac:dyDescent="0.25">
      <c r="A39" t="s">
        <v>20</v>
      </c>
      <c r="B39" t="s">
        <v>169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20</v>
      </c>
      <c r="B40" t="s">
        <v>126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44</v>
      </c>
      <c r="B41" t="s">
        <v>45</v>
      </c>
      <c r="C41" s="9">
        <v>450700</v>
      </c>
      <c r="D41" s="9"/>
      <c r="E41" s="9"/>
      <c r="F41" s="9">
        <v>14500</v>
      </c>
      <c r="G41" s="9">
        <f t="shared" si="0"/>
        <v>465200</v>
      </c>
      <c r="H41">
        <f t="shared" si="1"/>
        <v>96.74</v>
      </c>
      <c r="I41" s="10">
        <f t="shared" si="2"/>
        <v>0.22800000000000001</v>
      </c>
      <c r="J41">
        <f>ROUND(G41/P41-1,2)</f>
        <v>0.06</v>
      </c>
      <c r="P41">
        <v>438990</v>
      </c>
    </row>
    <row r="42" spans="1:16" x14ac:dyDescent="0.25">
      <c r="A42" t="s">
        <v>44</v>
      </c>
      <c r="B42" t="s">
        <v>47</v>
      </c>
      <c r="C42" s="9"/>
      <c r="D42" s="9"/>
      <c r="E42" s="9"/>
      <c r="F42" s="9">
        <v>76670</v>
      </c>
      <c r="G42" s="9">
        <f t="shared" si="0"/>
        <v>76670</v>
      </c>
      <c r="H42">
        <f t="shared" si="1"/>
        <v>15.94</v>
      </c>
      <c r="I42" s="10">
        <f t="shared" si="2"/>
        <v>3.7999999999999999E-2</v>
      </c>
      <c r="J42">
        <f>ROUND(G42/P42-1,2)</f>
        <v>0</v>
      </c>
      <c r="P42">
        <v>76860</v>
      </c>
    </row>
    <row r="43" spans="1:16" x14ac:dyDescent="0.25">
      <c r="A43" t="s">
        <v>44</v>
      </c>
      <c r="B43" t="s">
        <v>46</v>
      </c>
      <c r="C43" s="9"/>
      <c r="D43" s="9"/>
      <c r="E43" s="9">
        <v>52350</v>
      </c>
      <c r="F43" s="9"/>
      <c r="G43" s="9">
        <f t="shared" si="0"/>
        <v>52350</v>
      </c>
      <c r="H43">
        <f t="shared" si="1"/>
        <v>10.89</v>
      </c>
      <c r="I43" s="10">
        <f t="shared" si="2"/>
        <v>2.5999999999999999E-2</v>
      </c>
      <c r="J43">
        <f>ROUND(G43/P43-1,2)</f>
        <v>-0.11</v>
      </c>
      <c r="P43">
        <v>58540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SUM(C8:C43)</f>
        <v>1376525</v>
      </c>
      <c r="D49" s="12">
        <f t="shared" si="5"/>
        <v>425</v>
      </c>
      <c r="E49" s="12">
        <f t="shared" si="5"/>
        <v>525463</v>
      </c>
      <c r="F49" s="12">
        <f t="shared" si="5"/>
        <v>138745</v>
      </c>
      <c r="G49" s="12">
        <f t="shared" si="5"/>
        <v>2041158</v>
      </c>
      <c r="H49" s="11">
        <f t="shared" si="5"/>
        <v>424.47</v>
      </c>
      <c r="I49" s="4"/>
    </row>
    <row r="50" spans="1:10" x14ac:dyDescent="0.25">
      <c r="A50" s="11" t="s">
        <v>14</v>
      </c>
      <c r="C50" s="13">
        <f>ROUND(C49/G49,2)</f>
        <v>0.67</v>
      </c>
      <c r="D50" s="13">
        <f>ROUND(D49/G49,2)</f>
        <v>0</v>
      </c>
      <c r="E50" s="13">
        <f>ROUND(E49/G49,2)</f>
        <v>0.26</v>
      </c>
      <c r="F50" s="13">
        <f>ROUND(F49/G49,2)</f>
        <v>7.0000000000000007E-2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925825</v>
      </c>
      <c r="D54" s="15">
        <v>425</v>
      </c>
      <c r="E54" s="15">
        <v>473113</v>
      </c>
      <c r="F54" s="15">
        <v>45375</v>
      </c>
      <c r="G54" s="15">
        <f>SUM(C54:F54)</f>
        <v>1444738</v>
      </c>
      <c r="H54" s="17">
        <f>ROUND(G54/4809,2)</f>
        <v>300.42</v>
      </c>
      <c r="I54" s="4"/>
      <c r="J54" s="4"/>
    </row>
    <row r="55" spans="1:10" x14ac:dyDescent="0.25">
      <c r="A55" s="33" t="s">
        <v>50</v>
      </c>
      <c r="B55" s="33"/>
      <c r="C55" s="15">
        <v>450700</v>
      </c>
      <c r="D55" s="15">
        <v>0</v>
      </c>
      <c r="E55" s="15">
        <v>52350</v>
      </c>
      <c r="F55" s="15">
        <v>91170</v>
      </c>
      <c r="G55" s="15">
        <f>SUM(C55:F55)</f>
        <v>594220</v>
      </c>
      <c r="H55" s="17">
        <f>ROUND(G55/4809,2)</f>
        <v>123.56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2200</v>
      </c>
      <c r="G56" s="15">
        <f>SUM(C56:F56)</f>
        <v>2200</v>
      </c>
      <c r="H56" s="17">
        <f>ROUND(G56/4809,2)</f>
        <v>0.46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ROUND(0.7906, 4)</f>
        <v>0.79059999999999997</v>
      </c>
      <c r="D60" s="19">
        <f>ROUND(0.7671, 4)</f>
        <v>0.7671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ROUND(0.7821, 4)</f>
        <v>0.78210000000000002</v>
      </c>
      <c r="D61" s="19">
        <f>ROUND(0.7575, 4)</f>
        <v>0.75749999999999995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170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97</v>
      </c>
      <c r="D64" s="17">
        <v>90.6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65.08</v>
      </c>
      <c r="D65" s="17">
        <v>71.09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829.59</v>
      </c>
      <c r="D66" s="17">
        <v>397.22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139.11000000000001</v>
      </c>
      <c r="D67" s="17">
        <v>121.99</v>
      </c>
      <c r="E67" s="17">
        <v>115.16</v>
      </c>
      <c r="F67" s="17">
        <v>80.39</v>
      </c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151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171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2415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37</v>
      </c>
      <c r="G9" s="9">
        <f t="shared" ref="G9:G44" si="0">SUM(C9:F9)</f>
        <v>37</v>
      </c>
      <c r="H9">
        <f t="shared" ref="H9:H44" si="1">ROUND(G9/2415,2)</f>
        <v>0.02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127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67</v>
      </c>
      <c r="C12" s="9"/>
      <c r="D12" s="9"/>
      <c r="E12" s="9">
        <v>119</v>
      </c>
      <c r="F12" s="9"/>
      <c r="G12" s="9">
        <f t="shared" si="0"/>
        <v>119</v>
      </c>
      <c r="H12">
        <f t="shared" si="1"/>
        <v>0.05</v>
      </c>
      <c r="I12" s="10">
        <f t="shared" si="2"/>
        <v>0</v>
      </c>
      <c r="J12">
        <f t="shared" ref="J12:J17" si="3">ROUND(G12/P12-1,2)</f>
        <v>0.35</v>
      </c>
      <c r="P12">
        <v>88</v>
      </c>
    </row>
    <row r="13" spans="1:16" x14ac:dyDescent="0.25">
      <c r="A13" t="s">
        <v>20</v>
      </c>
      <c r="B13" t="s">
        <v>21</v>
      </c>
      <c r="C13" s="9">
        <v>64340</v>
      </c>
      <c r="D13" s="9"/>
      <c r="E13" s="9"/>
      <c r="F13" s="9"/>
      <c r="G13" s="9">
        <f t="shared" si="0"/>
        <v>64340</v>
      </c>
      <c r="H13">
        <f t="shared" si="1"/>
        <v>26.64</v>
      </c>
      <c r="I13" s="10">
        <f t="shared" si="2"/>
        <v>7.6999999999999999E-2</v>
      </c>
      <c r="J13">
        <f t="shared" si="3"/>
        <v>0.02</v>
      </c>
      <c r="P13">
        <v>63000</v>
      </c>
    </row>
    <row r="14" spans="1:16" x14ac:dyDescent="0.25">
      <c r="A14" t="s">
        <v>20</v>
      </c>
      <c r="B14" t="s">
        <v>22</v>
      </c>
      <c r="C14" s="9">
        <v>107980</v>
      </c>
      <c r="D14" s="9"/>
      <c r="E14" s="9"/>
      <c r="F14" s="9"/>
      <c r="G14" s="9">
        <f t="shared" si="0"/>
        <v>107980</v>
      </c>
      <c r="H14">
        <f t="shared" si="1"/>
        <v>44.71</v>
      </c>
      <c r="I14" s="10">
        <f t="shared" si="2"/>
        <v>0.129</v>
      </c>
      <c r="J14">
        <f t="shared" si="3"/>
        <v>-0.14000000000000001</v>
      </c>
      <c r="P14">
        <v>125950</v>
      </c>
    </row>
    <row r="15" spans="1:16" x14ac:dyDescent="0.25">
      <c r="A15" t="s">
        <v>20</v>
      </c>
      <c r="B15" t="s">
        <v>79</v>
      </c>
      <c r="C15" s="9"/>
      <c r="D15" s="9"/>
      <c r="E15" s="9">
        <v>107</v>
      </c>
      <c r="F15" s="9"/>
      <c r="G15" s="9">
        <f t="shared" si="0"/>
        <v>107</v>
      </c>
      <c r="H15">
        <f t="shared" si="1"/>
        <v>0.04</v>
      </c>
      <c r="I15" s="10">
        <f t="shared" si="2"/>
        <v>0</v>
      </c>
      <c r="J15">
        <f t="shared" si="3"/>
        <v>-0.15</v>
      </c>
      <c r="P15">
        <v>126</v>
      </c>
    </row>
    <row r="16" spans="1:16" x14ac:dyDescent="0.25">
      <c r="A16" t="s">
        <v>20</v>
      </c>
      <c r="B16" t="s">
        <v>42</v>
      </c>
      <c r="C16" s="9"/>
      <c r="D16" s="9"/>
      <c r="E16" s="9">
        <v>93</v>
      </c>
      <c r="F16" s="9"/>
      <c r="G16" s="9">
        <f t="shared" si="0"/>
        <v>93</v>
      </c>
      <c r="H16">
        <f t="shared" si="1"/>
        <v>0.04</v>
      </c>
      <c r="I16" s="10">
        <f t="shared" si="2"/>
        <v>0</v>
      </c>
      <c r="J16">
        <f t="shared" si="3"/>
        <v>-0.67</v>
      </c>
      <c r="P16">
        <v>286</v>
      </c>
    </row>
    <row r="17" spans="1:16" x14ac:dyDescent="0.25">
      <c r="A17" t="s">
        <v>20</v>
      </c>
      <c r="B17" t="s">
        <v>23</v>
      </c>
      <c r="C17" s="9"/>
      <c r="D17" s="9"/>
      <c r="E17" s="9">
        <v>900</v>
      </c>
      <c r="F17" s="9"/>
      <c r="G17" s="9">
        <f t="shared" si="0"/>
        <v>900</v>
      </c>
      <c r="H17">
        <f t="shared" si="1"/>
        <v>0.37</v>
      </c>
      <c r="I17" s="10">
        <f t="shared" si="2"/>
        <v>1E-3</v>
      </c>
      <c r="J17">
        <f t="shared" si="3"/>
        <v>0.34</v>
      </c>
      <c r="P17">
        <v>670</v>
      </c>
    </row>
    <row r="18" spans="1:16" x14ac:dyDescent="0.25">
      <c r="A18" t="s">
        <v>20</v>
      </c>
      <c r="B18" t="s">
        <v>154</v>
      </c>
      <c r="C18" s="9"/>
      <c r="D18" s="9"/>
      <c r="E18" s="9"/>
      <c r="F18" s="9">
        <v>20</v>
      </c>
      <c r="G18" s="9">
        <f t="shared" si="0"/>
        <v>20</v>
      </c>
      <c r="H18">
        <f t="shared" si="1"/>
        <v>0.01</v>
      </c>
      <c r="I18" s="10">
        <f t="shared" si="2"/>
        <v>0</v>
      </c>
      <c r="P18">
        <v>0</v>
      </c>
    </row>
    <row r="19" spans="1:16" x14ac:dyDescent="0.25">
      <c r="A19" t="s">
        <v>20</v>
      </c>
      <c r="B19" t="s">
        <v>172</v>
      </c>
      <c r="C19" s="9"/>
      <c r="D19" s="9"/>
      <c r="E19" s="9"/>
      <c r="F19" s="9">
        <v>767</v>
      </c>
      <c r="G19" s="9">
        <f t="shared" si="0"/>
        <v>767</v>
      </c>
      <c r="H19">
        <f t="shared" si="1"/>
        <v>0.32</v>
      </c>
      <c r="I19" s="10">
        <f t="shared" si="2"/>
        <v>1E-3</v>
      </c>
      <c r="P19">
        <v>0</v>
      </c>
    </row>
    <row r="20" spans="1:16" x14ac:dyDescent="0.25">
      <c r="A20" t="s">
        <v>20</v>
      </c>
      <c r="B20" t="s">
        <v>80</v>
      </c>
      <c r="C20" s="9"/>
      <c r="D20" s="9"/>
      <c r="E20" s="9"/>
      <c r="F20" s="9">
        <v>408</v>
      </c>
      <c r="G20" s="9">
        <f t="shared" si="0"/>
        <v>408</v>
      </c>
      <c r="H20">
        <f t="shared" si="1"/>
        <v>0.17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41440</v>
      </c>
      <c r="F21" s="9"/>
      <c r="G21" s="9">
        <f t="shared" si="0"/>
        <v>41440</v>
      </c>
      <c r="H21">
        <f t="shared" si="1"/>
        <v>17.16</v>
      </c>
      <c r="I21" s="10">
        <f t="shared" si="2"/>
        <v>0.05</v>
      </c>
      <c r="J21">
        <f t="shared" ref="J21:J26" si="4">ROUND(G21/P21-1,2)</f>
        <v>7.0000000000000007E-2</v>
      </c>
      <c r="P21">
        <v>38740</v>
      </c>
    </row>
    <row r="22" spans="1:16" x14ac:dyDescent="0.25">
      <c r="A22" t="s">
        <v>20</v>
      </c>
      <c r="B22" t="s">
        <v>25</v>
      </c>
      <c r="C22" s="9">
        <v>99160</v>
      </c>
      <c r="D22" s="9"/>
      <c r="E22" s="9"/>
      <c r="F22" s="9"/>
      <c r="G22" s="9">
        <f t="shared" si="0"/>
        <v>99160</v>
      </c>
      <c r="H22">
        <f t="shared" si="1"/>
        <v>41.06</v>
      </c>
      <c r="I22" s="10">
        <f t="shared" si="2"/>
        <v>0.11899999999999999</v>
      </c>
      <c r="J22">
        <f t="shared" si="4"/>
        <v>-0.04</v>
      </c>
      <c r="P22">
        <v>102860</v>
      </c>
    </row>
    <row r="23" spans="1:16" x14ac:dyDescent="0.25">
      <c r="A23" t="s">
        <v>20</v>
      </c>
      <c r="B23" t="s">
        <v>69</v>
      </c>
      <c r="C23" s="9"/>
      <c r="D23" s="9"/>
      <c r="E23" s="9">
        <v>1750</v>
      </c>
      <c r="F23" s="9"/>
      <c r="G23" s="9">
        <f t="shared" si="0"/>
        <v>1750</v>
      </c>
      <c r="H23">
        <f t="shared" si="1"/>
        <v>0.72</v>
      </c>
      <c r="I23" s="10">
        <f t="shared" si="2"/>
        <v>2E-3</v>
      </c>
      <c r="J23">
        <f t="shared" si="4"/>
        <v>-0.41</v>
      </c>
      <c r="P23">
        <v>2990</v>
      </c>
    </row>
    <row r="24" spans="1:16" x14ac:dyDescent="0.25">
      <c r="A24" t="s">
        <v>20</v>
      </c>
      <c r="B24" t="s">
        <v>26</v>
      </c>
      <c r="C24" s="9">
        <v>144550</v>
      </c>
      <c r="D24" s="9"/>
      <c r="E24" s="9"/>
      <c r="F24" s="9">
        <v>1950</v>
      </c>
      <c r="G24" s="9">
        <f t="shared" si="0"/>
        <v>146500</v>
      </c>
      <c r="H24">
        <f t="shared" si="1"/>
        <v>60.66</v>
      </c>
      <c r="I24" s="10">
        <f t="shared" si="2"/>
        <v>0.17499999999999999</v>
      </c>
      <c r="J24">
        <f t="shared" si="4"/>
        <v>0.09</v>
      </c>
      <c r="P24">
        <v>134480</v>
      </c>
    </row>
    <row r="25" spans="1:16" x14ac:dyDescent="0.25">
      <c r="A25" t="s">
        <v>20</v>
      </c>
      <c r="B25" t="s">
        <v>27</v>
      </c>
      <c r="C25" s="9"/>
      <c r="D25" s="9"/>
      <c r="E25" s="9">
        <v>702</v>
      </c>
      <c r="F25" s="9"/>
      <c r="G25" s="9">
        <f t="shared" si="0"/>
        <v>702</v>
      </c>
      <c r="H25">
        <f t="shared" si="1"/>
        <v>0.28999999999999998</v>
      </c>
      <c r="I25" s="10">
        <f t="shared" si="2"/>
        <v>1E-3</v>
      </c>
      <c r="J25">
        <f t="shared" si="4"/>
        <v>-0.11</v>
      </c>
      <c r="P25">
        <v>793</v>
      </c>
    </row>
    <row r="26" spans="1:16" x14ac:dyDescent="0.25">
      <c r="A26" t="s">
        <v>20</v>
      </c>
      <c r="B26" t="s">
        <v>28</v>
      </c>
      <c r="C26" s="9"/>
      <c r="D26" s="9"/>
      <c r="E26" s="9">
        <v>387</v>
      </c>
      <c r="F26" s="9"/>
      <c r="G26" s="9">
        <f t="shared" si="0"/>
        <v>387</v>
      </c>
      <c r="H26">
        <f t="shared" si="1"/>
        <v>0.16</v>
      </c>
      <c r="I26" s="10">
        <f t="shared" si="2"/>
        <v>0</v>
      </c>
      <c r="J26">
        <f t="shared" si="4"/>
        <v>2.52</v>
      </c>
      <c r="P26">
        <v>110</v>
      </c>
    </row>
    <row r="27" spans="1:16" x14ac:dyDescent="0.25">
      <c r="A27" t="s">
        <v>20</v>
      </c>
      <c r="B27" t="s">
        <v>29</v>
      </c>
      <c r="C27" s="9"/>
      <c r="D27" s="9"/>
      <c r="E27" s="9">
        <v>136</v>
      </c>
      <c r="F27" s="9"/>
      <c r="G27" s="9">
        <f t="shared" si="0"/>
        <v>136</v>
      </c>
      <c r="H27">
        <f t="shared" si="1"/>
        <v>0.06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30</v>
      </c>
      <c r="C28" s="9"/>
      <c r="D28" s="9"/>
      <c r="E28" s="9">
        <v>2259</v>
      </c>
      <c r="F28" s="9"/>
      <c r="G28" s="9">
        <f t="shared" si="0"/>
        <v>2259</v>
      </c>
      <c r="H28">
        <f t="shared" si="1"/>
        <v>0.94</v>
      </c>
      <c r="I28" s="10">
        <f t="shared" si="2"/>
        <v>3.0000000000000001E-3</v>
      </c>
      <c r="J28">
        <f t="shared" ref="J28:J44" si="5">ROUND(G28/P28-1,2)</f>
        <v>-0.37</v>
      </c>
      <c r="P28">
        <v>3600</v>
      </c>
    </row>
    <row r="29" spans="1:16" x14ac:dyDescent="0.25">
      <c r="A29" t="s">
        <v>20</v>
      </c>
      <c r="B29" t="s">
        <v>31</v>
      </c>
      <c r="C29" s="9"/>
      <c r="D29" s="9"/>
      <c r="E29" s="9">
        <v>1150</v>
      </c>
      <c r="F29" s="9"/>
      <c r="G29" s="9">
        <f t="shared" si="0"/>
        <v>1150</v>
      </c>
      <c r="H29">
        <f t="shared" si="1"/>
        <v>0.48</v>
      </c>
      <c r="I29" s="10">
        <f t="shared" si="2"/>
        <v>1E-3</v>
      </c>
      <c r="J29">
        <f t="shared" si="5"/>
        <v>-0.45</v>
      </c>
      <c r="P29">
        <v>2090</v>
      </c>
    </row>
    <row r="30" spans="1:16" x14ac:dyDescent="0.25">
      <c r="A30" t="s">
        <v>20</v>
      </c>
      <c r="B30" t="s">
        <v>32</v>
      </c>
      <c r="C30" s="9"/>
      <c r="D30" s="9"/>
      <c r="E30" s="9">
        <v>550</v>
      </c>
      <c r="F30" s="9"/>
      <c r="G30" s="9">
        <f t="shared" si="0"/>
        <v>550</v>
      </c>
      <c r="H30">
        <f t="shared" si="1"/>
        <v>0.23</v>
      </c>
      <c r="I30" s="10">
        <f t="shared" si="2"/>
        <v>1E-3</v>
      </c>
      <c r="J30">
        <f t="shared" si="5"/>
        <v>1.75</v>
      </c>
      <c r="P30">
        <v>200</v>
      </c>
    </row>
    <row r="31" spans="1:16" x14ac:dyDescent="0.25">
      <c r="A31" t="s">
        <v>20</v>
      </c>
      <c r="B31" t="s">
        <v>33</v>
      </c>
      <c r="C31" s="9"/>
      <c r="D31" s="9"/>
      <c r="E31" s="9">
        <v>735</v>
      </c>
      <c r="F31" s="9"/>
      <c r="G31" s="9">
        <f t="shared" si="0"/>
        <v>735</v>
      </c>
      <c r="H31">
        <f t="shared" si="1"/>
        <v>0.3</v>
      </c>
      <c r="I31" s="10">
        <f t="shared" si="2"/>
        <v>1E-3</v>
      </c>
      <c r="J31">
        <f t="shared" si="5"/>
        <v>-0.56000000000000005</v>
      </c>
      <c r="P31">
        <v>1670</v>
      </c>
    </row>
    <row r="32" spans="1:16" x14ac:dyDescent="0.25">
      <c r="A32" t="s">
        <v>20</v>
      </c>
      <c r="B32" t="s">
        <v>43</v>
      </c>
      <c r="C32" s="9"/>
      <c r="D32" s="9">
        <v>198</v>
      </c>
      <c r="E32" s="9"/>
      <c r="F32" s="9"/>
      <c r="G32" s="9">
        <f t="shared" si="0"/>
        <v>198</v>
      </c>
      <c r="H32">
        <f t="shared" si="1"/>
        <v>0.08</v>
      </c>
      <c r="I32" s="10">
        <f t="shared" si="2"/>
        <v>0</v>
      </c>
      <c r="J32">
        <f t="shared" si="5"/>
        <v>0.2</v>
      </c>
      <c r="P32">
        <v>165</v>
      </c>
    </row>
    <row r="33" spans="1:16" x14ac:dyDescent="0.25">
      <c r="A33" t="s">
        <v>20</v>
      </c>
      <c r="B33" t="s">
        <v>70</v>
      </c>
      <c r="C33" s="9"/>
      <c r="D33" s="9"/>
      <c r="E33" s="9">
        <v>1330</v>
      </c>
      <c r="F33" s="9"/>
      <c r="G33" s="9">
        <f t="shared" si="0"/>
        <v>1330</v>
      </c>
      <c r="H33">
        <f t="shared" si="1"/>
        <v>0.55000000000000004</v>
      </c>
      <c r="I33" s="10">
        <f t="shared" si="2"/>
        <v>2E-3</v>
      </c>
      <c r="J33">
        <f t="shared" si="5"/>
        <v>-0.2</v>
      </c>
      <c r="P33">
        <v>1655</v>
      </c>
    </row>
    <row r="34" spans="1:16" x14ac:dyDescent="0.25">
      <c r="A34" t="s">
        <v>20</v>
      </c>
      <c r="B34" t="s">
        <v>34</v>
      </c>
      <c r="C34" s="9"/>
      <c r="D34" s="9">
        <v>350</v>
      </c>
      <c r="E34" s="9"/>
      <c r="F34" s="9"/>
      <c r="G34" s="9">
        <f t="shared" si="0"/>
        <v>350</v>
      </c>
      <c r="H34">
        <f t="shared" si="1"/>
        <v>0.14000000000000001</v>
      </c>
      <c r="I34" s="10">
        <f t="shared" si="2"/>
        <v>0</v>
      </c>
      <c r="J34">
        <f t="shared" si="5"/>
        <v>0.32</v>
      </c>
      <c r="P34">
        <v>265</v>
      </c>
    </row>
    <row r="35" spans="1:16" x14ac:dyDescent="0.25">
      <c r="A35" t="s">
        <v>20</v>
      </c>
      <c r="B35" t="s">
        <v>35</v>
      </c>
      <c r="C35" s="9"/>
      <c r="D35" s="9"/>
      <c r="E35" s="9">
        <v>1679</v>
      </c>
      <c r="F35" s="9"/>
      <c r="G35" s="9">
        <f t="shared" si="0"/>
        <v>1679</v>
      </c>
      <c r="H35">
        <f t="shared" si="1"/>
        <v>0.7</v>
      </c>
      <c r="I35" s="10">
        <f t="shared" si="2"/>
        <v>2E-3</v>
      </c>
      <c r="J35">
        <f t="shared" si="5"/>
        <v>-0.32</v>
      </c>
      <c r="P35">
        <v>2459</v>
      </c>
    </row>
    <row r="36" spans="1:16" x14ac:dyDescent="0.25">
      <c r="A36" t="s">
        <v>20</v>
      </c>
      <c r="B36" t="s">
        <v>41</v>
      </c>
      <c r="C36" s="9"/>
      <c r="D36" s="9"/>
      <c r="E36" s="9">
        <v>6642</v>
      </c>
      <c r="F36" s="9"/>
      <c r="G36" s="9">
        <f t="shared" si="0"/>
        <v>6642</v>
      </c>
      <c r="H36">
        <f t="shared" si="1"/>
        <v>2.75</v>
      </c>
      <c r="I36" s="10">
        <f t="shared" si="2"/>
        <v>8.0000000000000002E-3</v>
      </c>
      <c r="J36">
        <f t="shared" si="5"/>
        <v>0.74</v>
      </c>
      <c r="P36">
        <v>3813</v>
      </c>
    </row>
    <row r="37" spans="1:16" x14ac:dyDescent="0.25">
      <c r="A37" t="s">
        <v>20</v>
      </c>
      <c r="B37" t="s">
        <v>36</v>
      </c>
      <c r="C37" s="9"/>
      <c r="D37" s="9"/>
      <c r="E37" s="9">
        <v>2610</v>
      </c>
      <c r="F37" s="9"/>
      <c r="G37" s="9">
        <f t="shared" si="0"/>
        <v>2610</v>
      </c>
      <c r="H37">
        <f t="shared" si="1"/>
        <v>1.08</v>
      </c>
      <c r="I37" s="10">
        <f t="shared" si="2"/>
        <v>3.0000000000000001E-3</v>
      </c>
      <c r="J37">
        <f t="shared" si="5"/>
        <v>-0.43</v>
      </c>
      <c r="P37">
        <v>4560</v>
      </c>
    </row>
    <row r="38" spans="1:16" x14ac:dyDescent="0.25">
      <c r="A38" t="s">
        <v>20</v>
      </c>
      <c r="B38" t="s">
        <v>37</v>
      </c>
      <c r="C38" s="9"/>
      <c r="D38" s="9"/>
      <c r="E38" s="9">
        <v>45930</v>
      </c>
      <c r="F38" s="9"/>
      <c r="G38" s="9">
        <f t="shared" si="0"/>
        <v>45930</v>
      </c>
      <c r="H38">
        <f t="shared" si="1"/>
        <v>19.02</v>
      </c>
      <c r="I38" s="10">
        <f t="shared" si="2"/>
        <v>5.5E-2</v>
      </c>
      <c r="J38">
        <f t="shared" si="5"/>
        <v>0.19</v>
      </c>
      <c r="P38">
        <v>38640</v>
      </c>
    </row>
    <row r="39" spans="1:16" x14ac:dyDescent="0.25">
      <c r="A39" t="s">
        <v>20</v>
      </c>
      <c r="B39" t="s">
        <v>38</v>
      </c>
      <c r="C39" s="9"/>
      <c r="D39" s="9"/>
      <c r="E39" s="9">
        <v>3840</v>
      </c>
      <c r="F39" s="9"/>
      <c r="G39" s="9">
        <f t="shared" si="0"/>
        <v>3840</v>
      </c>
      <c r="H39">
        <f t="shared" si="1"/>
        <v>1.59</v>
      </c>
      <c r="I39" s="10">
        <f t="shared" si="2"/>
        <v>5.0000000000000001E-3</v>
      </c>
      <c r="J39">
        <f t="shared" si="5"/>
        <v>0.38</v>
      </c>
      <c r="P39">
        <v>2775</v>
      </c>
    </row>
    <row r="40" spans="1:16" x14ac:dyDescent="0.25">
      <c r="A40" t="s">
        <v>20</v>
      </c>
      <c r="B40" t="s">
        <v>39</v>
      </c>
      <c r="C40" s="9"/>
      <c r="D40" s="9"/>
      <c r="E40" s="9">
        <v>15470</v>
      </c>
      <c r="F40" s="9"/>
      <c r="G40" s="9">
        <f t="shared" si="0"/>
        <v>15470</v>
      </c>
      <c r="H40">
        <f t="shared" si="1"/>
        <v>6.41</v>
      </c>
      <c r="I40" s="10">
        <f t="shared" si="2"/>
        <v>1.9E-2</v>
      </c>
      <c r="J40">
        <f t="shared" si="5"/>
        <v>0</v>
      </c>
      <c r="P40">
        <v>15540</v>
      </c>
    </row>
    <row r="41" spans="1:16" x14ac:dyDescent="0.25">
      <c r="A41" t="s">
        <v>20</v>
      </c>
      <c r="B41" t="s">
        <v>40</v>
      </c>
      <c r="C41" s="9"/>
      <c r="D41" s="9"/>
      <c r="E41" s="9">
        <v>74680</v>
      </c>
      <c r="F41" s="9"/>
      <c r="G41" s="9">
        <f t="shared" si="0"/>
        <v>74680</v>
      </c>
      <c r="H41">
        <f t="shared" si="1"/>
        <v>30.92</v>
      </c>
      <c r="I41" s="10">
        <f t="shared" si="2"/>
        <v>8.8999999999999996E-2</v>
      </c>
      <c r="J41">
        <f t="shared" si="5"/>
        <v>0.25</v>
      </c>
      <c r="P41">
        <v>59790</v>
      </c>
    </row>
    <row r="42" spans="1:16" x14ac:dyDescent="0.25">
      <c r="A42" t="s">
        <v>44</v>
      </c>
      <c r="B42" t="s">
        <v>45</v>
      </c>
      <c r="C42" s="9">
        <v>165730</v>
      </c>
      <c r="D42" s="9"/>
      <c r="E42" s="9"/>
      <c r="F42" s="9">
        <v>60</v>
      </c>
      <c r="G42" s="9">
        <f t="shared" si="0"/>
        <v>165790</v>
      </c>
      <c r="H42">
        <f t="shared" si="1"/>
        <v>68.650000000000006</v>
      </c>
      <c r="I42" s="10">
        <f t="shared" si="2"/>
        <v>0.19800000000000001</v>
      </c>
      <c r="J42">
        <f t="shared" si="5"/>
        <v>0.02</v>
      </c>
      <c r="P42">
        <v>163000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12620</v>
      </c>
      <c r="G43" s="9">
        <f t="shared" si="0"/>
        <v>12620</v>
      </c>
      <c r="H43">
        <f t="shared" si="1"/>
        <v>5.23</v>
      </c>
      <c r="I43" s="10">
        <f t="shared" si="2"/>
        <v>1.4999999999999999E-2</v>
      </c>
      <c r="J43">
        <f t="shared" si="5"/>
        <v>0.25</v>
      </c>
      <c r="P43">
        <v>10060</v>
      </c>
    </row>
    <row r="44" spans="1:16" x14ac:dyDescent="0.25">
      <c r="A44" t="s">
        <v>44</v>
      </c>
      <c r="B44" t="s">
        <v>46</v>
      </c>
      <c r="C44" s="9"/>
      <c r="D44" s="9"/>
      <c r="E44" s="9">
        <v>34560</v>
      </c>
      <c r="F44" s="9"/>
      <c r="G44" s="9">
        <f t="shared" si="0"/>
        <v>34560</v>
      </c>
      <c r="H44">
        <f t="shared" si="1"/>
        <v>14.31</v>
      </c>
      <c r="I44" s="10">
        <f t="shared" si="2"/>
        <v>4.1000000000000002E-2</v>
      </c>
      <c r="J44">
        <f t="shared" si="5"/>
        <v>0.03</v>
      </c>
      <c r="P44">
        <v>33450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6">SUM(C8:C44)</f>
        <v>581760</v>
      </c>
      <c r="D49" s="12">
        <f t="shared" si="6"/>
        <v>548</v>
      </c>
      <c r="E49" s="12">
        <f t="shared" si="6"/>
        <v>237069</v>
      </c>
      <c r="F49" s="12">
        <f t="shared" si="6"/>
        <v>15862</v>
      </c>
      <c r="G49" s="12">
        <f t="shared" si="6"/>
        <v>835239</v>
      </c>
      <c r="H49" s="11">
        <f t="shared" si="6"/>
        <v>345.86000000000007</v>
      </c>
      <c r="I49" s="4"/>
    </row>
    <row r="50" spans="1:10" x14ac:dyDescent="0.25">
      <c r="A50" s="11" t="s">
        <v>14</v>
      </c>
      <c r="C50" s="13">
        <f>ROUND(C49/G49,2)</f>
        <v>0.7</v>
      </c>
      <c r="D50" s="13">
        <f>ROUND(D49/G49,2)</f>
        <v>0</v>
      </c>
      <c r="E50" s="13">
        <f>ROUND(E49/G49,2)</f>
        <v>0.28000000000000003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416030</v>
      </c>
      <c r="D54" s="15">
        <v>548</v>
      </c>
      <c r="E54" s="15">
        <v>202509</v>
      </c>
      <c r="F54" s="15">
        <v>3145</v>
      </c>
      <c r="G54" s="15">
        <f>SUM(C54:F54)</f>
        <v>622232</v>
      </c>
      <c r="H54" s="17">
        <f>ROUND(G54/2415,2)</f>
        <v>257.64999999999998</v>
      </c>
      <c r="I54" s="4"/>
      <c r="J54" s="4"/>
    </row>
    <row r="55" spans="1:10" x14ac:dyDescent="0.25">
      <c r="A55" s="33" t="s">
        <v>50</v>
      </c>
      <c r="B55" s="33"/>
      <c r="C55" s="15">
        <v>165730</v>
      </c>
      <c r="D55" s="15">
        <v>0</v>
      </c>
      <c r="E55" s="15">
        <v>34560</v>
      </c>
      <c r="F55" s="15">
        <v>12680</v>
      </c>
      <c r="G55" s="15">
        <f>SUM(C55:F55)</f>
        <v>212970</v>
      </c>
      <c r="H55" s="17">
        <f>ROUND(G55/2415,2)</f>
        <v>88.19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37</v>
      </c>
      <c r="G56" s="15">
        <f>SUM(C56:F56)</f>
        <v>37</v>
      </c>
      <c r="H56" s="17">
        <f>ROUND(G56/2415,2)</f>
        <v>0.02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ROUND(0.7863, 4)</f>
        <v>0.7863</v>
      </c>
      <c r="D60" s="19">
        <f>ROUND(0.7847, 4)</f>
        <v>0.78469999999999995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ROUND(0.7759, 4)</f>
        <v>0.77590000000000003</v>
      </c>
      <c r="D61" s="19">
        <f>ROUND(0.7742, 4)</f>
        <v>0.7742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173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68.650000000000006</v>
      </c>
      <c r="D64" s="17">
        <v>63.27</v>
      </c>
      <c r="E64" s="17">
        <v>91.53</v>
      </c>
      <c r="F64" s="17">
        <v>56.73</v>
      </c>
      <c r="H64" s="3"/>
      <c r="I64" s="4"/>
      <c r="J64" s="4"/>
    </row>
    <row r="65" spans="1:6" x14ac:dyDescent="0.25">
      <c r="A65" s="32" t="s">
        <v>60</v>
      </c>
      <c r="B65" s="32"/>
      <c r="C65" s="16">
        <v>60.66</v>
      </c>
      <c r="D65" s="16">
        <v>62.57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257.64999999999998</v>
      </c>
      <c r="D66" s="16">
        <v>252.44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88.19</v>
      </c>
      <c r="D67" s="16">
        <v>78.91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0"/>
  <sheetViews>
    <sheetView topLeftCell="A36" workbookViewId="0">
      <selection activeCell="A36" sqref="A36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7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65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2050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13</v>
      </c>
      <c r="G9" s="9">
        <f t="shared" ref="G9:G42" si="0">SUM(C9:F9)</f>
        <v>13</v>
      </c>
      <c r="H9">
        <f t="shared" ref="H9:H42" si="1">ROUND(G9/2050,2)</f>
        <v>0.01</v>
      </c>
      <c r="I9" s="10">
        <f t="shared" ref="I9:I42" si="2">ROUND(G9/$G$49,3)</f>
        <v>0</v>
      </c>
      <c r="P9">
        <v>0</v>
      </c>
    </row>
    <row r="10" spans="1:16" x14ac:dyDescent="0.25">
      <c r="A10" t="s">
        <v>16</v>
      </c>
      <c r="B10" t="s">
        <v>66</v>
      </c>
      <c r="C10" s="9"/>
      <c r="D10" s="9"/>
      <c r="E10" s="9"/>
      <c r="F10" s="9">
        <v>160</v>
      </c>
      <c r="G10" s="9">
        <f t="shared" si="0"/>
        <v>160</v>
      </c>
      <c r="H10">
        <f t="shared" si="1"/>
        <v>0.08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60</v>
      </c>
      <c r="G11" s="9">
        <f t="shared" si="0"/>
        <v>60</v>
      </c>
      <c r="H11">
        <f t="shared" si="1"/>
        <v>0.03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19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45</v>
      </c>
      <c r="F13" s="9"/>
      <c r="G13" s="9">
        <f t="shared" si="0"/>
        <v>45</v>
      </c>
      <c r="H13">
        <f t="shared" si="1"/>
        <v>0.02</v>
      </c>
      <c r="I13" s="10">
        <f t="shared" si="2"/>
        <v>0</v>
      </c>
      <c r="J13">
        <f>ROUND(G13/P13-1,2)</f>
        <v>0.13</v>
      </c>
      <c r="P13">
        <v>40</v>
      </c>
    </row>
    <row r="14" spans="1:16" x14ac:dyDescent="0.25">
      <c r="A14" t="s">
        <v>20</v>
      </c>
      <c r="B14" t="s">
        <v>68</v>
      </c>
      <c r="C14" s="9"/>
      <c r="D14" s="9"/>
      <c r="E14" s="9">
        <v>640</v>
      </c>
      <c r="F14" s="9"/>
      <c r="G14" s="9">
        <f t="shared" si="0"/>
        <v>640</v>
      </c>
      <c r="H14">
        <f t="shared" si="1"/>
        <v>0.31</v>
      </c>
      <c r="I14" s="10">
        <f t="shared" si="2"/>
        <v>1E-3</v>
      </c>
      <c r="P14">
        <v>0</v>
      </c>
    </row>
    <row r="15" spans="1:16" x14ac:dyDescent="0.25">
      <c r="A15" t="s">
        <v>20</v>
      </c>
      <c r="B15" t="s">
        <v>21</v>
      </c>
      <c r="C15" s="9">
        <v>57190</v>
      </c>
      <c r="D15" s="9"/>
      <c r="E15" s="9">
        <v>14680.67</v>
      </c>
      <c r="F15" s="9">
        <v>150</v>
      </c>
      <c r="G15" s="9">
        <f t="shared" si="0"/>
        <v>72020.67</v>
      </c>
      <c r="H15">
        <f t="shared" si="1"/>
        <v>35.130000000000003</v>
      </c>
      <c r="I15" s="10">
        <f t="shared" si="2"/>
        <v>8.2000000000000003E-2</v>
      </c>
      <c r="J15">
        <f t="shared" ref="J15:J37" si="3">ROUND(G15/P15-1,2)</f>
        <v>-0.08</v>
      </c>
      <c r="P15">
        <v>78327.320000000007</v>
      </c>
    </row>
    <row r="16" spans="1:16" x14ac:dyDescent="0.25">
      <c r="A16" t="s">
        <v>20</v>
      </c>
      <c r="B16" t="s">
        <v>22</v>
      </c>
      <c r="C16" s="9">
        <v>94390</v>
      </c>
      <c r="D16" s="9"/>
      <c r="E16" s="9"/>
      <c r="F16" s="9"/>
      <c r="G16" s="9">
        <f t="shared" si="0"/>
        <v>94390</v>
      </c>
      <c r="H16">
        <f t="shared" si="1"/>
        <v>46.04</v>
      </c>
      <c r="I16" s="10">
        <f t="shared" si="2"/>
        <v>0.108</v>
      </c>
      <c r="J16">
        <f t="shared" si="3"/>
        <v>0.43</v>
      </c>
      <c r="P16">
        <v>65890</v>
      </c>
    </row>
    <row r="17" spans="1:16" x14ac:dyDescent="0.25">
      <c r="A17" t="s">
        <v>20</v>
      </c>
      <c r="B17" t="s">
        <v>42</v>
      </c>
      <c r="C17" s="9"/>
      <c r="D17" s="9"/>
      <c r="E17" s="9">
        <v>351.66</v>
      </c>
      <c r="F17" s="9">
        <v>80</v>
      </c>
      <c r="G17" s="9">
        <f t="shared" si="0"/>
        <v>431.66</v>
      </c>
      <c r="H17">
        <f t="shared" si="1"/>
        <v>0.21</v>
      </c>
      <c r="I17" s="10">
        <f t="shared" si="2"/>
        <v>0</v>
      </c>
      <c r="J17">
        <f t="shared" si="3"/>
        <v>3.95</v>
      </c>
      <c r="P17">
        <v>87.27</v>
      </c>
    </row>
    <row r="18" spans="1:16" x14ac:dyDescent="0.25">
      <c r="A18" t="s">
        <v>20</v>
      </c>
      <c r="B18" t="s">
        <v>23</v>
      </c>
      <c r="C18" s="9"/>
      <c r="D18" s="9"/>
      <c r="E18" s="9">
        <v>1937.5</v>
      </c>
      <c r="F18" s="9"/>
      <c r="G18" s="9">
        <f t="shared" si="0"/>
        <v>1937.5</v>
      </c>
      <c r="H18">
        <f t="shared" si="1"/>
        <v>0.95</v>
      </c>
      <c r="I18" s="10">
        <f t="shared" si="2"/>
        <v>2E-3</v>
      </c>
      <c r="J18">
        <f t="shared" si="3"/>
        <v>1.21</v>
      </c>
      <c r="P18">
        <v>875</v>
      </c>
    </row>
    <row r="19" spans="1:16" x14ac:dyDescent="0.25">
      <c r="A19" t="s">
        <v>20</v>
      </c>
      <c r="B19" t="s">
        <v>24</v>
      </c>
      <c r="C19" s="9"/>
      <c r="D19" s="9"/>
      <c r="E19" s="9">
        <v>84894.48</v>
      </c>
      <c r="F19" s="9"/>
      <c r="G19" s="9">
        <f t="shared" si="0"/>
        <v>84894.48</v>
      </c>
      <c r="H19">
        <f t="shared" si="1"/>
        <v>41.41</v>
      </c>
      <c r="I19" s="10">
        <f t="shared" si="2"/>
        <v>9.7000000000000003E-2</v>
      </c>
      <c r="J19">
        <f t="shared" si="3"/>
        <v>0.04</v>
      </c>
      <c r="P19">
        <v>81931.100000000006</v>
      </c>
    </row>
    <row r="20" spans="1:16" x14ac:dyDescent="0.25">
      <c r="A20" t="s">
        <v>20</v>
      </c>
      <c r="B20" t="s">
        <v>25</v>
      </c>
      <c r="C20" s="9">
        <v>58670</v>
      </c>
      <c r="D20" s="9"/>
      <c r="E20" s="9">
        <v>20372.02</v>
      </c>
      <c r="F20" s="9">
        <v>180</v>
      </c>
      <c r="G20" s="9">
        <f t="shared" si="0"/>
        <v>79222.02</v>
      </c>
      <c r="H20">
        <f t="shared" si="1"/>
        <v>38.64</v>
      </c>
      <c r="I20" s="10">
        <f t="shared" si="2"/>
        <v>9.0999999999999998E-2</v>
      </c>
      <c r="J20">
        <f t="shared" si="3"/>
        <v>-0.12</v>
      </c>
      <c r="P20">
        <v>89754.2</v>
      </c>
    </row>
    <row r="21" spans="1:16" x14ac:dyDescent="0.25">
      <c r="A21" t="s">
        <v>20</v>
      </c>
      <c r="B21" t="s">
        <v>69</v>
      </c>
      <c r="C21" s="9"/>
      <c r="D21" s="9"/>
      <c r="E21" s="9">
        <v>3770</v>
      </c>
      <c r="F21" s="9"/>
      <c r="G21" s="9">
        <f t="shared" si="0"/>
        <v>3770</v>
      </c>
      <c r="H21">
        <f t="shared" si="1"/>
        <v>1.84</v>
      </c>
      <c r="I21" s="10">
        <f t="shared" si="2"/>
        <v>4.0000000000000001E-3</v>
      </c>
      <c r="J21">
        <f t="shared" si="3"/>
        <v>-0.2</v>
      </c>
      <c r="P21">
        <v>4700</v>
      </c>
    </row>
    <row r="22" spans="1:16" x14ac:dyDescent="0.25">
      <c r="A22" t="s">
        <v>20</v>
      </c>
      <c r="B22" t="s">
        <v>26</v>
      </c>
      <c r="C22" s="9">
        <v>67610</v>
      </c>
      <c r="D22" s="9"/>
      <c r="E22" s="9"/>
      <c r="F22" s="9"/>
      <c r="G22" s="9">
        <f t="shared" si="0"/>
        <v>67610</v>
      </c>
      <c r="H22">
        <f t="shared" si="1"/>
        <v>32.979999999999997</v>
      </c>
      <c r="I22" s="10">
        <f t="shared" si="2"/>
        <v>7.6999999999999999E-2</v>
      </c>
      <c r="J22">
        <f t="shared" si="3"/>
        <v>-0.35</v>
      </c>
      <c r="P22">
        <v>103570</v>
      </c>
    </row>
    <row r="23" spans="1:16" x14ac:dyDescent="0.25">
      <c r="A23" t="s">
        <v>20</v>
      </c>
      <c r="B23" t="s">
        <v>27</v>
      </c>
      <c r="C23" s="9"/>
      <c r="D23" s="9"/>
      <c r="E23" s="9">
        <v>1010</v>
      </c>
      <c r="F23" s="9"/>
      <c r="G23" s="9">
        <f t="shared" si="0"/>
        <v>1010</v>
      </c>
      <c r="H23">
        <f t="shared" si="1"/>
        <v>0.49</v>
      </c>
      <c r="I23" s="10">
        <f t="shared" si="2"/>
        <v>1E-3</v>
      </c>
      <c r="J23">
        <f t="shared" si="3"/>
        <v>6.06</v>
      </c>
      <c r="P23">
        <v>143</v>
      </c>
    </row>
    <row r="24" spans="1:16" x14ac:dyDescent="0.25">
      <c r="A24" t="s">
        <v>20</v>
      </c>
      <c r="B24" t="s">
        <v>28</v>
      </c>
      <c r="C24" s="9"/>
      <c r="D24" s="9"/>
      <c r="E24" s="9">
        <v>410</v>
      </c>
      <c r="F24" s="9"/>
      <c r="G24" s="9">
        <f t="shared" si="0"/>
        <v>410</v>
      </c>
      <c r="H24">
        <f t="shared" si="1"/>
        <v>0.2</v>
      </c>
      <c r="I24" s="10">
        <f t="shared" si="2"/>
        <v>0</v>
      </c>
      <c r="J24">
        <f t="shared" si="3"/>
        <v>1.72</v>
      </c>
      <c r="P24">
        <v>151</v>
      </c>
    </row>
    <row r="25" spans="1:16" x14ac:dyDescent="0.25">
      <c r="A25" t="s">
        <v>20</v>
      </c>
      <c r="B25" t="s">
        <v>29</v>
      </c>
      <c r="C25" s="9"/>
      <c r="D25" s="9"/>
      <c r="E25" s="9">
        <v>194.23</v>
      </c>
      <c r="F25" s="9"/>
      <c r="G25" s="9">
        <f t="shared" si="0"/>
        <v>194.23</v>
      </c>
      <c r="H25">
        <f t="shared" si="1"/>
        <v>0.09</v>
      </c>
      <c r="I25" s="10">
        <f t="shared" si="2"/>
        <v>0</v>
      </c>
      <c r="J25">
        <f t="shared" si="3"/>
        <v>1.05</v>
      </c>
      <c r="P25">
        <v>94.55</v>
      </c>
    </row>
    <row r="26" spans="1:16" x14ac:dyDescent="0.25">
      <c r="A26" t="s">
        <v>20</v>
      </c>
      <c r="B26" t="s">
        <v>30</v>
      </c>
      <c r="C26" s="9"/>
      <c r="D26" s="9"/>
      <c r="E26" s="9">
        <v>4334.55</v>
      </c>
      <c r="F26" s="9"/>
      <c r="G26" s="9">
        <f t="shared" si="0"/>
        <v>4334.55</v>
      </c>
      <c r="H26">
        <f t="shared" si="1"/>
        <v>2.11</v>
      </c>
      <c r="I26" s="10">
        <f t="shared" si="2"/>
        <v>5.0000000000000001E-3</v>
      </c>
      <c r="J26">
        <f t="shared" si="3"/>
        <v>0.78</v>
      </c>
      <c r="P26">
        <v>2428.59</v>
      </c>
    </row>
    <row r="27" spans="1:16" x14ac:dyDescent="0.25">
      <c r="A27" t="s">
        <v>20</v>
      </c>
      <c r="B27" t="s">
        <v>31</v>
      </c>
      <c r="C27" s="9"/>
      <c r="D27" s="9"/>
      <c r="E27" s="9">
        <v>1040.6400000000001</v>
      </c>
      <c r="F27" s="9"/>
      <c r="G27" s="9">
        <f t="shared" si="0"/>
        <v>1040.6400000000001</v>
      </c>
      <c r="H27">
        <f t="shared" si="1"/>
        <v>0.51</v>
      </c>
      <c r="I27" s="10">
        <f t="shared" si="2"/>
        <v>1E-3</v>
      </c>
      <c r="J27">
        <f t="shared" si="3"/>
        <v>0.96</v>
      </c>
      <c r="P27">
        <v>530.89</v>
      </c>
    </row>
    <row r="28" spans="1:16" x14ac:dyDescent="0.25">
      <c r="A28" t="s">
        <v>20</v>
      </c>
      <c r="B28" t="s">
        <v>33</v>
      </c>
      <c r="C28" s="9"/>
      <c r="D28" s="9"/>
      <c r="E28" s="9">
        <v>1677.97</v>
      </c>
      <c r="F28" s="9">
        <v>500</v>
      </c>
      <c r="G28" s="9">
        <f t="shared" si="0"/>
        <v>2177.9700000000003</v>
      </c>
      <c r="H28">
        <f t="shared" si="1"/>
        <v>1.06</v>
      </c>
      <c r="I28" s="10">
        <f t="shared" si="2"/>
        <v>2E-3</v>
      </c>
      <c r="J28">
        <f t="shared" si="3"/>
        <v>3.99</v>
      </c>
      <c r="P28">
        <v>436.67</v>
      </c>
    </row>
    <row r="29" spans="1:16" x14ac:dyDescent="0.25">
      <c r="A29" t="s">
        <v>20</v>
      </c>
      <c r="B29" t="s">
        <v>43</v>
      </c>
      <c r="C29" s="9"/>
      <c r="D29" s="9">
        <v>200</v>
      </c>
      <c r="E29" s="9">
        <v>340</v>
      </c>
      <c r="F29" s="9"/>
      <c r="G29" s="9">
        <f t="shared" si="0"/>
        <v>540</v>
      </c>
      <c r="H29">
        <f t="shared" si="1"/>
        <v>0.26</v>
      </c>
      <c r="I29" s="10">
        <f t="shared" si="2"/>
        <v>1E-3</v>
      </c>
      <c r="J29">
        <f t="shared" si="3"/>
        <v>19.77</v>
      </c>
      <c r="P29">
        <v>26</v>
      </c>
    </row>
    <row r="30" spans="1:16" x14ac:dyDescent="0.25">
      <c r="A30" t="s">
        <v>20</v>
      </c>
      <c r="B30" t="s">
        <v>34</v>
      </c>
      <c r="C30" s="9"/>
      <c r="D30" s="9"/>
      <c r="E30" s="9">
        <v>725.25</v>
      </c>
      <c r="F30" s="9"/>
      <c r="G30" s="9">
        <f t="shared" si="0"/>
        <v>725.25</v>
      </c>
      <c r="H30">
        <f t="shared" si="1"/>
        <v>0.35</v>
      </c>
      <c r="I30" s="10">
        <f t="shared" si="2"/>
        <v>1E-3</v>
      </c>
      <c r="J30">
        <f t="shared" si="3"/>
        <v>5.19</v>
      </c>
      <c r="P30">
        <v>117.21</v>
      </c>
    </row>
    <row r="31" spans="1:16" x14ac:dyDescent="0.25">
      <c r="A31" t="s">
        <v>20</v>
      </c>
      <c r="B31" t="s">
        <v>70</v>
      </c>
      <c r="C31" s="9"/>
      <c r="D31" s="9"/>
      <c r="E31" s="9">
        <v>610</v>
      </c>
      <c r="F31" s="9"/>
      <c r="G31" s="9">
        <f t="shared" si="0"/>
        <v>610</v>
      </c>
      <c r="H31">
        <f t="shared" si="1"/>
        <v>0.3</v>
      </c>
      <c r="I31" s="10">
        <f t="shared" si="2"/>
        <v>1E-3</v>
      </c>
      <c r="J31">
        <f t="shared" si="3"/>
        <v>-0.53</v>
      </c>
      <c r="P31">
        <v>1290</v>
      </c>
    </row>
    <row r="32" spans="1:16" x14ac:dyDescent="0.25">
      <c r="A32" t="s">
        <v>20</v>
      </c>
      <c r="B32" t="s">
        <v>35</v>
      </c>
      <c r="C32" s="9"/>
      <c r="D32" s="9"/>
      <c r="E32" s="9">
        <v>3573.2</v>
      </c>
      <c r="F32" s="9"/>
      <c r="G32" s="9">
        <f t="shared" si="0"/>
        <v>3573.2</v>
      </c>
      <c r="H32">
        <f t="shared" si="1"/>
        <v>1.74</v>
      </c>
      <c r="I32" s="10">
        <f t="shared" si="2"/>
        <v>4.0000000000000001E-3</v>
      </c>
      <c r="J32">
        <f t="shared" si="3"/>
        <v>-0.2</v>
      </c>
      <c r="P32">
        <v>4472.07</v>
      </c>
    </row>
    <row r="33" spans="1:16" x14ac:dyDescent="0.25">
      <c r="A33" t="s">
        <v>20</v>
      </c>
      <c r="B33" t="s">
        <v>41</v>
      </c>
      <c r="C33" s="9"/>
      <c r="D33" s="9"/>
      <c r="E33" s="9">
        <v>8830</v>
      </c>
      <c r="F33" s="9"/>
      <c r="G33" s="9">
        <f t="shared" si="0"/>
        <v>8830</v>
      </c>
      <c r="H33">
        <f t="shared" si="1"/>
        <v>4.3099999999999996</v>
      </c>
      <c r="I33" s="10">
        <f t="shared" si="2"/>
        <v>0.01</v>
      </c>
      <c r="J33">
        <f t="shared" si="3"/>
        <v>0.11</v>
      </c>
      <c r="P33">
        <v>7927</v>
      </c>
    </row>
    <row r="34" spans="1:16" x14ac:dyDescent="0.25">
      <c r="A34" t="s">
        <v>20</v>
      </c>
      <c r="B34" t="s">
        <v>36</v>
      </c>
      <c r="C34" s="9"/>
      <c r="D34" s="9"/>
      <c r="E34" s="9">
        <v>5099.6899999999996</v>
      </c>
      <c r="F34" s="9"/>
      <c r="G34" s="9">
        <f t="shared" si="0"/>
        <v>5099.6899999999996</v>
      </c>
      <c r="H34">
        <f t="shared" si="1"/>
        <v>2.4900000000000002</v>
      </c>
      <c r="I34" s="10">
        <f t="shared" si="2"/>
        <v>6.0000000000000001E-3</v>
      </c>
      <c r="J34">
        <f t="shared" si="3"/>
        <v>-0.35</v>
      </c>
      <c r="P34">
        <v>7858.9</v>
      </c>
    </row>
    <row r="35" spans="1:16" x14ac:dyDescent="0.25">
      <c r="A35" t="s">
        <v>20</v>
      </c>
      <c r="B35" t="s">
        <v>37</v>
      </c>
      <c r="C35" s="9"/>
      <c r="D35" s="9"/>
      <c r="E35" s="9">
        <v>75131.34</v>
      </c>
      <c r="F35" s="9"/>
      <c r="G35" s="9">
        <f t="shared" si="0"/>
        <v>75131.34</v>
      </c>
      <c r="H35">
        <f t="shared" si="1"/>
        <v>36.65</v>
      </c>
      <c r="I35" s="10">
        <f t="shared" si="2"/>
        <v>8.5999999999999993E-2</v>
      </c>
      <c r="J35">
        <f t="shared" si="3"/>
        <v>0.11</v>
      </c>
      <c r="P35">
        <v>67598.02</v>
      </c>
    </row>
    <row r="36" spans="1:16" x14ac:dyDescent="0.25">
      <c r="A36" t="s">
        <v>20</v>
      </c>
      <c r="B36" t="s">
        <v>39</v>
      </c>
      <c r="C36" s="9"/>
      <c r="D36" s="9"/>
      <c r="E36" s="9">
        <v>23020.79</v>
      </c>
      <c r="F36" s="9"/>
      <c r="G36" s="9">
        <f t="shared" si="0"/>
        <v>23020.79</v>
      </c>
      <c r="H36">
        <f t="shared" si="1"/>
        <v>11.23</v>
      </c>
      <c r="I36" s="10">
        <f t="shared" si="2"/>
        <v>2.5999999999999999E-2</v>
      </c>
      <c r="J36">
        <f t="shared" si="3"/>
        <v>-0.1</v>
      </c>
      <c r="P36">
        <v>25453.73</v>
      </c>
    </row>
    <row r="37" spans="1:16" x14ac:dyDescent="0.25">
      <c r="A37" t="s">
        <v>20</v>
      </c>
      <c r="B37" t="s">
        <v>40</v>
      </c>
      <c r="C37" s="9"/>
      <c r="D37" s="9"/>
      <c r="E37" s="9">
        <v>31157.95</v>
      </c>
      <c r="F37" s="9"/>
      <c r="G37" s="9">
        <f t="shared" si="0"/>
        <v>31157.95</v>
      </c>
      <c r="H37">
        <f t="shared" si="1"/>
        <v>15.2</v>
      </c>
      <c r="I37" s="10">
        <f t="shared" si="2"/>
        <v>3.5999999999999997E-2</v>
      </c>
      <c r="J37">
        <f t="shared" si="3"/>
        <v>0.65</v>
      </c>
      <c r="P37">
        <v>18849.12</v>
      </c>
    </row>
    <row r="38" spans="1:16" x14ac:dyDescent="0.25">
      <c r="A38" t="s">
        <v>20</v>
      </c>
      <c r="B38" t="s">
        <v>32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20</v>
      </c>
      <c r="B39" t="s">
        <v>38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44</v>
      </c>
      <c r="B40" t="s">
        <v>45</v>
      </c>
      <c r="C40" s="9">
        <v>261920</v>
      </c>
      <c r="D40" s="9"/>
      <c r="E40" s="9"/>
      <c r="F40" s="9">
        <v>1340</v>
      </c>
      <c r="G40" s="9">
        <f t="shared" si="0"/>
        <v>263260</v>
      </c>
      <c r="H40">
        <f t="shared" si="1"/>
        <v>128.41999999999999</v>
      </c>
      <c r="I40" s="10">
        <f t="shared" si="2"/>
        <v>0.30099999999999999</v>
      </c>
      <c r="J40">
        <f>ROUND(G40/P40-1,2)</f>
        <v>0.43</v>
      </c>
      <c r="P40">
        <v>183550</v>
      </c>
    </row>
    <row r="41" spans="1:16" x14ac:dyDescent="0.25">
      <c r="A41" t="s">
        <v>44</v>
      </c>
      <c r="B41" t="s">
        <v>46</v>
      </c>
      <c r="C41" s="9"/>
      <c r="D41" s="9"/>
      <c r="E41" s="9">
        <v>48353.69</v>
      </c>
      <c r="F41" s="9"/>
      <c r="G41" s="9">
        <f t="shared" si="0"/>
        <v>48353.69</v>
      </c>
      <c r="H41">
        <f t="shared" si="1"/>
        <v>23.59</v>
      </c>
      <c r="I41" s="10">
        <f t="shared" si="2"/>
        <v>5.5E-2</v>
      </c>
      <c r="J41">
        <f>ROUND(G41/P41-1,2)</f>
        <v>-0.02</v>
      </c>
      <c r="P41">
        <v>49580.54</v>
      </c>
    </row>
    <row r="42" spans="1:16" x14ac:dyDescent="0.25">
      <c r="A42" t="s">
        <v>44</v>
      </c>
      <c r="B42" t="s">
        <v>47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SUM(C8:C42)</f>
        <v>539780</v>
      </c>
      <c r="D49" s="12">
        <f t="shared" si="4"/>
        <v>200</v>
      </c>
      <c r="E49" s="12">
        <f t="shared" si="4"/>
        <v>332200.63</v>
      </c>
      <c r="F49" s="12">
        <f t="shared" si="4"/>
        <v>2483</v>
      </c>
      <c r="G49" s="12">
        <f t="shared" si="4"/>
        <v>874663.62999999989</v>
      </c>
      <c r="H49" s="11">
        <f t="shared" si="4"/>
        <v>426.64999999999992</v>
      </c>
      <c r="I49" s="4"/>
    </row>
    <row r="50" spans="1:10" x14ac:dyDescent="0.25">
      <c r="A50" s="11" t="s">
        <v>14</v>
      </c>
      <c r="C50" s="13">
        <f>ROUND(C49/G49,2)</f>
        <v>0.62</v>
      </c>
      <c r="D50" s="13">
        <f>ROUND(D49/G49,2)</f>
        <v>0</v>
      </c>
      <c r="E50" s="13">
        <f>ROUND(E49/G49,2)</f>
        <v>0.38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277860</v>
      </c>
      <c r="D54" s="15">
        <v>200</v>
      </c>
      <c r="E54" s="15">
        <v>283846.94</v>
      </c>
      <c r="F54" s="15">
        <v>910</v>
      </c>
      <c r="G54" s="15">
        <f>SUM(C54:F54)</f>
        <v>562816.93999999994</v>
      </c>
      <c r="H54" s="17">
        <f>ROUND(G54/2050,2)</f>
        <v>274.54000000000002</v>
      </c>
      <c r="I54" s="4"/>
      <c r="J54" s="4"/>
    </row>
    <row r="55" spans="1:10" x14ac:dyDescent="0.25">
      <c r="A55" s="33" t="s">
        <v>50</v>
      </c>
      <c r="B55" s="33"/>
      <c r="C55" s="15">
        <v>261920</v>
      </c>
      <c r="D55" s="15">
        <v>0</v>
      </c>
      <c r="E55" s="15">
        <v>48353.69</v>
      </c>
      <c r="F55" s="15">
        <v>1340</v>
      </c>
      <c r="G55" s="15">
        <f>SUM(C55:F55)</f>
        <v>311613.69</v>
      </c>
      <c r="H55" s="17">
        <f>ROUND(G55/2050,2)</f>
        <v>152.01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233</v>
      </c>
      <c r="G56" s="15">
        <f>SUM(C56:F56)</f>
        <v>233</v>
      </c>
      <c r="H56" s="17">
        <f>ROUND(G56/2050,2)</f>
        <v>0.11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ROUND(0.6592, 4)</f>
        <v>0.65920000000000001</v>
      </c>
      <c r="D60" s="19">
        <f>ROUND(0.7351, 4)</f>
        <v>0.73509999999999998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ROUND(0.6252, 4)</f>
        <v>0.62519999999999998</v>
      </c>
      <c r="D61" s="19">
        <f>ROUND(0.6941, 4)</f>
        <v>0.69410000000000005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71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128.41999999999999</v>
      </c>
      <c r="D64" s="17">
        <v>93.29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32.979999999999997</v>
      </c>
      <c r="D65" s="17">
        <v>46.56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274.54000000000002</v>
      </c>
      <c r="D66" s="17">
        <v>273.39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152.01</v>
      </c>
      <c r="D67" s="17">
        <v>117.82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174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2587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28</v>
      </c>
      <c r="F9" s="9"/>
      <c r="G9" s="9">
        <f t="shared" ref="G9:G41" si="0">SUM(C9:F9)</f>
        <v>28</v>
      </c>
      <c r="H9">
        <f t="shared" ref="H9:H41" si="1">ROUND(G9/2587,2)</f>
        <v>0.01</v>
      </c>
      <c r="I9" s="10">
        <f t="shared" ref="I9:I41" si="2">ROUND(G9/$G$49,3)</f>
        <v>0</v>
      </c>
      <c r="J9">
        <f t="shared" ref="J9:J20" si="3">ROUND(G9/P9-1,2)</f>
        <v>-0.03</v>
      </c>
      <c r="P9">
        <v>29</v>
      </c>
    </row>
    <row r="10" spans="1:16" x14ac:dyDescent="0.25">
      <c r="A10" t="s">
        <v>20</v>
      </c>
      <c r="B10" t="s">
        <v>21</v>
      </c>
      <c r="C10" s="9">
        <v>82360</v>
      </c>
      <c r="D10" s="9"/>
      <c r="E10" s="9"/>
      <c r="F10" s="9"/>
      <c r="G10" s="9">
        <f t="shared" si="0"/>
        <v>82360</v>
      </c>
      <c r="H10">
        <f t="shared" si="1"/>
        <v>31.84</v>
      </c>
      <c r="I10" s="10">
        <f t="shared" si="2"/>
        <v>8.1000000000000003E-2</v>
      </c>
      <c r="J10">
        <f t="shared" si="3"/>
        <v>0.02</v>
      </c>
      <c r="P10">
        <v>81100</v>
      </c>
    </row>
    <row r="11" spans="1:16" x14ac:dyDescent="0.25">
      <c r="A11" t="s">
        <v>20</v>
      </c>
      <c r="B11" t="s">
        <v>22</v>
      </c>
      <c r="C11" s="9">
        <v>131340</v>
      </c>
      <c r="D11" s="9"/>
      <c r="E11" s="9"/>
      <c r="F11" s="9"/>
      <c r="G11" s="9">
        <f t="shared" si="0"/>
        <v>131340</v>
      </c>
      <c r="H11">
        <f t="shared" si="1"/>
        <v>50.77</v>
      </c>
      <c r="I11" s="10">
        <f t="shared" si="2"/>
        <v>0.129</v>
      </c>
      <c r="J11">
        <f t="shared" si="3"/>
        <v>-0.15</v>
      </c>
      <c r="P11">
        <v>154070</v>
      </c>
    </row>
    <row r="12" spans="1:16" x14ac:dyDescent="0.25">
      <c r="A12" t="s">
        <v>20</v>
      </c>
      <c r="B12" t="s">
        <v>79</v>
      </c>
      <c r="C12" s="9"/>
      <c r="D12" s="9"/>
      <c r="E12" s="9">
        <v>76</v>
      </c>
      <c r="F12" s="9"/>
      <c r="G12" s="9">
        <f t="shared" si="0"/>
        <v>76</v>
      </c>
      <c r="H12">
        <f t="shared" si="1"/>
        <v>0.03</v>
      </c>
      <c r="I12" s="10">
        <f t="shared" si="2"/>
        <v>0</v>
      </c>
      <c r="J12">
        <f t="shared" si="3"/>
        <v>0.9</v>
      </c>
      <c r="P12">
        <v>40</v>
      </c>
    </row>
    <row r="13" spans="1:16" x14ac:dyDescent="0.25">
      <c r="A13" t="s">
        <v>20</v>
      </c>
      <c r="B13" t="s">
        <v>42</v>
      </c>
      <c r="C13" s="9"/>
      <c r="D13" s="9"/>
      <c r="E13" s="9">
        <v>148</v>
      </c>
      <c r="F13" s="9"/>
      <c r="G13" s="9">
        <f t="shared" si="0"/>
        <v>148</v>
      </c>
      <c r="H13">
        <f t="shared" si="1"/>
        <v>0.06</v>
      </c>
      <c r="I13" s="10">
        <f t="shared" si="2"/>
        <v>0</v>
      </c>
      <c r="J13">
        <f t="shared" si="3"/>
        <v>-0.01</v>
      </c>
      <c r="P13">
        <v>150</v>
      </c>
    </row>
    <row r="14" spans="1:16" x14ac:dyDescent="0.25">
      <c r="A14" t="s">
        <v>20</v>
      </c>
      <c r="B14" t="s">
        <v>23</v>
      </c>
      <c r="C14" s="9"/>
      <c r="D14" s="9"/>
      <c r="E14" s="9">
        <v>800</v>
      </c>
      <c r="F14" s="9"/>
      <c r="G14" s="9">
        <f t="shared" si="0"/>
        <v>800</v>
      </c>
      <c r="H14">
        <f t="shared" si="1"/>
        <v>0.31</v>
      </c>
      <c r="I14" s="10">
        <f t="shared" si="2"/>
        <v>1E-3</v>
      </c>
      <c r="J14">
        <f t="shared" si="3"/>
        <v>-0.27</v>
      </c>
      <c r="P14">
        <v>1100</v>
      </c>
    </row>
    <row r="15" spans="1:16" x14ac:dyDescent="0.25">
      <c r="A15" t="s">
        <v>20</v>
      </c>
      <c r="B15" t="s">
        <v>24</v>
      </c>
      <c r="C15" s="9"/>
      <c r="D15" s="9"/>
      <c r="E15" s="9">
        <v>31780</v>
      </c>
      <c r="F15" s="9"/>
      <c r="G15" s="9">
        <f t="shared" si="0"/>
        <v>31780</v>
      </c>
      <c r="H15">
        <f t="shared" si="1"/>
        <v>12.28</v>
      </c>
      <c r="I15" s="10">
        <f t="shared" si="2"/>
        <v>3.1E-2</v>
      </c>
      <c r="J15">
        <f t="shared" si="3"/>
        <v>0</v>
      </c>
      <c r="P15">
        <v>31900</v>
      </c>
    </row>
    <row r="16" spans="1:16" x14ac:dyDescent="0.25">
      <c r="A16" t="s">
        <v>20</v>
      </c>
      <c r="B16" t="s">
        <v>25</v>
      </c>
      <c r="C16" s="9">
        <v>127340</v>
      </c>
      <c r="D16" s="9"/>
      <c r="E16" s="9">
        <v>615</v>
      </c>
      <c r="F16" s="9"/>
      <c r="G16" s="9">
        <f t="shared" si="0"/>
        <v>127955</v>
      </c>
      <c r="H16">
        <f t="shared" si="1"/>
        <v>49.46</v>
      </c>
      <c r="I16" s="10">
        <f t="shared" si="2"/>
        <v>0.125</v>
      </c>
      <c r="J16">
        <f t="shared" si="3"/>
        <v>0.02</v>
      </c>
      <c r="P16">
        <v>125570</v>
      </c>
    </row>
    <row r="17" spans="1:16" x14ac:dyDescent="0.25">
      <c r="A17" t="s">
        <v>20</v>
      </c>
      <c r="B17" t="s">
        <v>69</v>
      </c>
      <c r="C17" s="9"/>
      <c r="D17" s="9"/>
      <c r="E17" s="9">
        <v>3070</v>
      </c>
      <c r="F17" s="9"/>
      <c r="G17" s="9">
        <f t="shared" si="0"/>
        <v>3070</v>
      </c>
      <c r="H17">
        <f t="shared" si="1"/>
        <v>1.19</v>
      </c>
      <c r="I17" s="10">
        <f t="shared" si="2"/>
        <v>3.0000000000000001E-3</v>
      </c>
      <c r="J17">
        <f t="shared" si="3"/>
        <v>0.04</v>
      </c>
      <c r="P17">
        <v>2965</v>
      </c>
    </row>
    <row r="18" spans="1:16" x14ac:dyDescent="0.25">
      <c r="A18" t="s">
        <v>20</v>
      </c>
      <c r="B18" t="s">
        <v>26</v>
      </c>
      <c r="C18" s="9">
        <v>183640</v>
      </c>
      <c r="D18" s="9"/>
      <c r="E18" s="9"/>
      <c r="F18" s="9">
        <v>1330</v>
      </c>
      <c r="G18" s="9">
        <f t="shared" si="0"/>
        <v>184970</v>
      </c>
      <c r="H18">
        <f t="shared" si="1"/>
        <v>71.5</v>
      </c>
      <c r="I18" s="10">
        <f t="shared" si="2"/>
        <v>0.18099999999999999</v>
      </c>
      <c r="J18">
        <f t="shared" si="3"/>
        <v>0.01</v>
      </c>
      <c r="P18">
        <v>183950</v>
      </c>
    </row>
    <row r="19" spans="1:16" x14ac:dyDescent="0.25">
      <c r="A19" t="s">
        <v>20</v>
      </c>
      <c r="B19" t="s">
        <v>27</v>
      </c>
      <c r="C19" s="9"/>
      <c r="D19" s="9"/>
      <c r="E19" s="9">
        <v>469</v>
      </c>
      <c r="F19" s="9"/>
      <c r="G19" s="9">
        <f t="shared" si="0"/>
        <v>469</v>
      </c>
      <c r="H19">
        <f t="shared" si="1"/>
        <v>0.18</v>
      </c>
      <c r="I19" s="10">
        <f t="shared" si="2"/>
        <v>0</v>
      </c>
      <c r="J19">
        <f t="shared" si="3"/>
        <v>0.1</v>
      </c>
      <c r="P19">
        <v>425</v>
      </c>
    </row>
    <row r="20" spans="1:16" x14ac:dyDescent="0.25">
      <c r="A20" t="s">
        <v>20</v>
      </c>
      <c r="B20" t="s">
        <v>28</v>
      </c>
      <c r="C20" s="9"/>
      <c r="D20" s="9"/>
      <c r="E20" s="9">
        <v>559</v>
      </c>
      <c r="F20" s="9"/>
      <c r="G20" s="9">
        <f t="shared" si="0"/>
        <v>559</v>
      </c>
      <c r="H20">
        <f t="shared" si="1"/>
        <v>0.22</v>
      </c>
      <c r="I20" s="10">
        <f t="shared" si="2"/>
        <v>1E-3</v>
      </c>
      <c r="J20">
        <f t="shared" si="3"/>
        <v>21.36</v>
      </c>
      <c r="P20">
        <v>25</v>
      </c>
    </row>
    <row r="21" spans="1:16" x14ac:dyDescent="0.25">
      <c r="A21" t="s">
        <v>20</v>
      </c>
      <c r="B21" t="s">
        <v>29</v>
      </c>
      <c r="C21" s="9"/>
      <c r="D21" s="9"/>
      <c r="E21" s="9">
        <v>87</v>
      </c>
      <c r="F21" s="9"/>
      <c r="G21" s="9">
        <f t="shared" si="0"/>
        <v>87</v>
      </c>
      <c r="H21">
        <f t="shared" si="1"/>
        <v>0.03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30</v>
      </c>
      <c r="C22" s="9"/>
      <c r="D22" s="9"/>
      <c r="E22" s="9">
        <v>6160</v>
      </c>
      <c r="F22" s="9"/>
      <c r="G22" s="9">
        <f t="shared" si="0"/>
        <v>6160</v>
      </c>
      <c r="H22">
        <f t="shared" si="1"/>
        <v>2.38</v>
      </c>
      <c r="I22" s="10">
        <f t="shared" si="2"/>
        <v>6.0000000000000001E-3</v>
      </c>
      <c r="J22">
        <f t="shared" ref="J22:J35" si="4">ROUND(G22/P22-1,2)</f>
        <v>-0.31</v>
      </c>
      <c r="P22">
        <v>8900</v>
      </c>
    </row>
    <row r="23" spans="1:16" x14ac:dyDescent="0.25">
      <c r="A23" t="s">
        <v>20</v>
      </c>
      <c r="B23" t="s">
        <v>31</v>
      </c>
      <c r="C23" s="9"/>
      <c r="D23" s="9"/>
      <c r="E23" s="9">
        <v>750</v>
      </c>
      <c r="F23" s="9"/>
      <c r="G23" s="9">
        <f t="shared" si="0"/>
        <v>750</v>
      </c>
      <c r="H23">
        <f t="shared" si="1"/>
        <v>0.28999999999999998</v>
      </c>
      <c r="I23" s="10">
        <f t="shared" si="2"/>
        <v>1E-3</v>
      </c>
      <c r="J23">
        <f t="shared" si="4"/>
        <v>-0.52</v>
      </c>
      <c r="P23">
        <v>1550</v>
      </c>
    </row>
    <row r="24" spans="1:16" x14ac:dyDescent="0.25">
      <c r="A24" t="s">
        <v>20</v>
      </c>
      <c r="B24" t="s">
        <v>32</v>
      </c>
      <c r="C24" s="9"/>
      <c r="D24" s="9"/>
      <c r="E24" s="9">
        <v>250</v>
      </c>
      <c r="F24" s="9"/>
      <c r="G24" s="9">
        <f t="shared" si="0"/>
        <v>250</v>
      </c>
      <c r="H24">
        <f t="shared" si="1"/>
        <v>0.1</v>
      </c>
      <c r="I24" s="10">
        <f t="shared" si="2"/>
        <v>0</v>
      </c>
      <c r="J24">
        <f t="shared" si="4"/>
        <v>-0.56000000000000005</v>
      </c>
      <c r="P24">
        <v>570</v>
      </c>
    </row>
    <row r="25" spans="1:16" x14ac:dyDescent="0.25">
      <c r="A25" t="s">
        <v>20</v>
      </c>
      <c r="B25" t="s">
        <v>33</v>
      </c>
      <c r="C25" s="9"/>
      <c r="D25" s="9"/>
      <c r="E25" s="9">
        <v>1670</v>
      </c>
      <c r="F25" s="9"/>
      <c r="G25" s="9">
        <f t="shared" si="0"/>
        <v>1670</v>
      </c>
      <c r="H25">
        <f t="shared" si="1"/>
        <v>0.65</v>
      </c>
      <c r="I25" s="10">
        <f t="shared" si="2"/>
        <v>2E-3</v>
      </c>
      <c r="J25">
        <f t="shared" si="4"/>
        <v>0.57999999999999996</v>
      </c>
      <c r="P25">
        <v>1060</v>
      </c>
    </row>
    <row r="26" spans="1:16" x14ac:dyDescent="0.25">
      <c r="A26" t="s">
        <v>20</v>
      </c>
      <c r="B26" t="s">
        <v>43</v>
      </c>
      <c r="C26" s="9"/>
      <c r="D26" s="9">
        <v>393</v>
      </c>
      <c r="E26" s="9"/>
      <c r="F26" s="9"/>
      <c r="G26" s="9">
        <f t="shared" si="0"/>
        <v>393</v>
      </c>
      <c r="H26">
        <f t="shared" si="1"/>
        <v>0.15</v>
      </c>
      <c r="I26" s="10">
        <f t="shared" si="2"/>
        <v>0</v>
      </c>
      <c r="J26">
        <f t="shared" si="4"/>
        <v>0.27</v>
      </c>
      <c r="P26">
        <v>310</v>
      </c>
    </row>
    <row r="27" spans="1:16" x14ac:dyDescent="0.25">
      <c r="A27" t="s">
        <v>20</v>
      </c>
      <c r="B27" t="s">
        <v>34</v>
      </c>
      <c r="C27" s="9"/>
      <c r="D27" s="9"/>
      <c r="E27" s="9">
        <v>392</v>
      </c>
      <c r="F27" s="9"/>
      <c r="G27" s="9">
        <f t="shared" si="0"/>
        <v>392</v>
      </c>
      <c r="H27">
        <f t="shared" si="1"/>
        <v>0.15</v>
      </c>
      <c r="I27" s="10">
        <f t="shared" si="2"/>
        <v>0</v>
      </c>
      <c r="J27">
        <f t="shared" si="4"/>
        <v>-0.19</v>
      </c>
      <c r="P27">
        <v>481</v>
      </c>
    </row>
    <row r="28" spans="1:16" x14ac:dyDescent="0.25">
      <c r="A28" t="s">
        <v>20</v>
      </c>
      <c r="B28" t="s">
        <v>70</v>
      </c>
      <c r="C28" s="9"/>
      <c r="D28" s="9"/>
      <c r="E28" s="9">
        <v>2480</v>
      </c>
      <c r="F28" s="9"/>
      <c r="G28" s="9">
        <f t="shared" si="0"/>
        <v>2480</v>
      </c>
      <c r="H28">
        <f t="shared" si="1"/>
        <v>0.96</v>
      </c>
      <c r="I28" s="10">
        <f t="shared" si="2"/>
        <v>2E-3</v>
      </c>
      <c r="J28">
        <f t="shared" si="4"/>
        <v>0.39</v>
      </c>
      <c r="P28">
        <v>1780</v>
      </c>
    </row>
    <row r="29" spans="1:16" x14ac:dyDescent="0.25">
      <c r="A29" t="s">
        <v>20</v>
      </c>
      <c r="B29" t="s">
        <v>35</v>
      </c>
      <c r="C29" s="9"/>
      <c r="D29" s="9"/>
      <c r="E29" s="9">
        <v>3580</v>
      </c>
      <c r="F29" s="9"/>
      <c r="G29" s="9">
        <f t="shared" si="0"/>
        <v>3580</v>
      </c>
      <c r="H29">
        <f t="shared" si="1"/>
        <v>1.38</v>
      </c>
      <c r="I29" s="10">
        <f t="shared" si="2"/>
        <v>4.0000000000000001E-3</v>
      </c>
      <c r="J29">
        <f t="shared" si="4"/>
        <v>0.09</v>
      </c>
      <c r="P29">
        <v>3284</v>
      </c>
    </row>
    <row r="30" spans="1:16" x14ac:dyDescent="0.25">
      <c r="A30" t="s">
        <v>20</v>
      </c>
      <c r="B30" t="s">
        <v>36</v>
      </c>
      <c r="C30" s="9"/>
      <c r="D30" s="9"/>
      <c r="E30" s="9">
        <v>8260</v>
      </c>
      <c r="F30" s="9"/>
      <c r="G30" s="9">
        <f t="shared" si="0"/>
        <v>8260</v>
      </c>
      <c r="H30">
        <f t="shared" si="1"/>
        <v>3.19</v>
      </c>
      <c r="I30" s="10">
        <f t="shared" si="2"/>
        <v>8.0000000000000002E-3</v>
      </c>
      <c r="J30">
        <f t="shared" si="4"/>
        <v>-0.34</v>
      </c>
      <c r="P30">
        <v>12520</v>
      </c>
    </row>
    <row r="31" spans="1:16" x14ac:dyDescent="0.25">
      <c r="A31" t="s">
        <v>20</v>
      </c>
      <c r="B31" t="s">
        <v>41</v>
      </c>
      <c r="C31" s="9"/>
      <c r="D31" s="9"/>
      <c r="E31" s="9">
        <v>9620</v>
      </c>
      <c r="F31" s="9"/>
      <c r="G31" s="9">
        <f t="shared" si="0"/>
        <v>9620</v>
      </c>
      <c r="H31">
        <f t="shared" si="1"/>
        <v>3.72</v>
      </c>
      <c r="I31" s="10">
        <f t="shared" si="2"/>
        <v>8.9999999999999993E-3</v>
      </c>
      <c r="J31">
        <f t="shared" si="4"/>
        <v>0.41</v>
      </c>
      <c r="P31">
        <v>6801</v>
      </c>
    </row>
    <row r="32" spans="1:16" x14ac:dyDescent="0.25">
      <c r="A32" t="s">
        <v>20</v>
      </c>
      <c r="B32" t="s">
        <v>37</v>
      </c>
      <c r="C32" s="9"/>
      <c r="D32" s="9"/>
      <c r="E32" s="9">
        <v>73500</v>
      </c>
      <c r="F32" s="9">
        <v>1660</v>
      </c>
      <c r="G32" s="9">
        <f t="shared" si="0"/>
        <v>75160</v>
      </c>
      <c r="H32">
        <f t="shared" si="1"/>
        <v>29.05</v>
      </c>
      <c r="I32" s="10">
        <f t="shared" si="2"/>
        <v>7.3999999999999996E-2</v>
      </c>
      <c r="J32">
        <f t="shared" si="4"/>
        <v>0.4</v>
      </c>
      <c r="P32">
        <v>53830</v>
      </c>
    </row>
    <row r="33" spans="1:16" x14ac:dyDescent="0.25">
      <c r="A33" t="s">
        <v>20</v>
      </c>
      <c r="B33" t="s">
        <v>38</v>
      </c>
      <c r="C33" s="9"/>
      <c r="D33" s="9"/>
      <c r="E33" s="9">
        <v>5100</v>
      </c>
      <c r="F33" s="9"/>
      <c r="G33" s="9">
        <f t="shared" si="0"/>
        <v>5100</v>
      </c>
      <c r="H33">
        <f t="shared" si="1"/>
        <v>1.97</v>
      </c>
      <c r="I33" s="10">
        <f t="shared" si="2"/>
        <v>5.0000000000000001E-3</v>
      </c>
      <c r="J33">
        <f t="shared" si="4"/>
        <v>-0.17</v>
      </c>
      <c r="P33">
        <v>6180</v>
      </c>
    </row>
    <row r="34" spans="1:16" x14ac:dyDescent="0.25">
      <c r="A34" t="s">
        <v>20</v>
      </c>
      <c r="B34" t="s">
        <v>39</v>
      </c>
      <c r="C34" s="9"/>
      <c r="D34" s="9"/>
      <c r="E34" s="9">
        <v>21220</v>
      </c>
      <c r="F34" s="9">
        <v>70</v>
      </c>
      <c r="G34" s="9">
        <f t="shared" si="0"/>
        <v>21290</v>
      </c>
      <c r="H34">
        <f t="shared" si="1"/>
        <v>8.23</v>
      </c>
      <c r="I34" s="10">
        <f t="shared" si="2"/>
        <v>2.1000000000000001E-2</v>
      </c>
      <c r="J34">
        <f t="shared" si="4"/>
        <v>0.3</v>
      </c>
      <c r="P34">
        <v>16410</v>
      </c>
    </row>
    <row r="35" spans="1:16" x14ac:dyDescent="0.25">
      <c r="A35" t="s">
        <v>20</v>
      </c>
      <c r="B35" t="s">
        <v>40</v>
      </c>
      <c r="C35" s="9"/>
      <c r="D35" s="9"/>
      <c r="E35" s="9"/>
      <c r="F35" s="9">
        <v>11740</v>
      </c>
      <c r="G35" s="9">
        <f t="shared" si="0"/>
        <v>11740</v>
      </c>
      <c r="H35">
        <f t="shared" si="1"/>
        <v>4.54</v>
      </c>
      <c r="I35" s="10">
        <f t="shared" si="2"/>
        <v>1.2E-2</v>
      </c>
      <c r="J35">
        <f t="shared" si="4"/>
        <v>-0.02</v>
      </c>
      <c r="P35">
        <v>11940</v>
      </c>
    </row>
    <row r="36" spans="1:16" x14ac:dyDescent="0.25">
      <c r="A36" t="s">
        <v>20</v>
      </c>
      <c r="B36" t="s">
        <v>82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44</v>
      </c>
      <c r="B37" t="s">
        <v>45</v>
      </c>
      <c r="C37" s="9">
        <v>270120</v>
      </c>
      <c r="D37" s="9"/>
      <c r="E37" s="9"/>
      <c r="F37" s="9">
        <v>280</v>
      </c>
      <c r="G37" s="9">
        <f t="shared" si="0"/>
        <v>270400</v>
      </c>
      <c r="H37">
        <f t="shared" si="1"/>
        <v>104.52</v>
      </c>
      <c r="I37" s="10">
        <f t="shared" si="2"/>
        <v>0.26500000000000001</v>
      </c>
      <c r="J37">
        <f>ROUND(G37/P37-1,2)</f>
        <v>0.03</v>
      </c>
      <c r="P37">
        <v>263610</v>
      </c>
    </row>
    <row r="38" spans="1:16" x14ac:dyDescent="0.25">
      <c r="A38" t="s">
        <v>44</v>
      </c>
      <c r="B38" t="s">
        <v>46</v>
      </c>
      <c r="C38" s="9"/>
      <c r="D38" s="9"/>
      <c r="E38" s="9">
        <v>39200</v>
      </c>
      <c r="F38" s="9"/>
      <c r="G38" s="9">
        <f t="shared" si="0"/>
        <v>39200</v>
      </c>
      <c r="H38">
        <f t="shared" si="1"/>
        <v>15.15</v>
      </c>
      <c r="I38" s="10">
        <f t="shared" si="2"/>
        <v>3.7999999999999999E-2</v>
      </c>
      <c r="J38">
        <f>ROUND(G38/P38-1,2)</f>
        <v>7.0000000000000007E-2</v>
      </c>
      <c r="P38">
        <v>36660</v>
      </c>
    </row>
    <row r="39" spans="1:16" x14ac:dyDescent="0.25">
      <c r="A39" t="s">
        <v>44</v>
      </c>
      <c r="B39" t="s">
        <v>47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16</v>
      </c>
      <c r="B40" t="s">
        <v>19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16</v>
      </c>
      <c r="B41" t="s">
        <v>66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SUM(C8:C41)</f>
        <v>794800</v>
      </c>
      <c r="D49" s="12">
        <f t="shared" si="5"/>
        <v>393</v>
      </c>
      <c r="E49" s="12">
        <f t="shared" si="5"/>
        <v>209814</v>
      </c>
      <c r="F49" s="12">
        <f t="shared" si="5"/>
        <v>15080</v>
      </c>
      <c r="G49" s="12">
        <f t="shared" si="5"/>
        <v>1020087</v>
      </c>
      <c r="H49" s="11">
        <f t="shared" si="5"/>
        <v>394.31000000000006</v>
      </c>
      <c r="I49" s="4"/>
    </row>
    <row r="50" spans="1:10" x14ac:dyDescent="0.25">
      <c r="A50" s="11" t="s">
        <v>14</v>
      </c>
      <c r="C50" s="13">
        <f>ROUND(C49/G49,2)</f>
        <v>0.78</v>
      </c>
      <c r="D50" s="13">
        <f>ROUND(D49/G49,2)</f>
        <v>0</v>
      </c>
      <c r="E50" s="13">
        <f>ROUND(E49/G49,2)</f>
        <v>0.21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524680</v>
      </c>
      <c r="D54" s="15">
        <v>393</v>
      </c>
      <c r="E54" s="15">
        <v>170614</v>
      </c>
      <c r="F54" s="15">
        <v>14800</v>
      </c>
      <c r="G54" s="15">
        <f>SUM(C54:F54)</f>
        <v>710487</v>
      </c>
      <c r="H54" s="17">
        <f>ROUND(G54/2587,2)</f>
        <v>274.64</v>
      </c>
      <c r="I54" s="4"/>
      <c r="J54" s="4"/>
    </row>
    <row r="55" spans="1:10" x14ac:dyDescent="0.25">
      <c r="A55" s="33" t="s">
        <v>50</v>
      </c>
      <c r="B55" s="33"/>
      <c r="C55" s="15">
        <v>270120</v>
      </c>
      <c r="D55" s="15">
        <v>0</v>
      </c>
      <c r="E55" s="15">
        <v>39200</v>
      </c>
      <c r="F55" s="15">
        <v>280</v>
      </c>
      <c r="G55" s="15">
        <f>SUM(C55:F55)</f>
        <v>309600</v>
      </c>
      <c r="H55" s="17">
        <f>ROUND(G55/2587,2)</f>
        <v>119.68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ROUND(G56/2587,2)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ROUND(0.7219, 4)</f>
        <v>0.72189999999999999</v>
      </c>
      <c r="D60" s="19">
        <f>ROUND(0.7254, 4)</f>
        <v>0.72540000000000004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ROUND(0.7112, 4)</f>
        <v>0.71120000000000005</v>
      </c>
      <c r="D61" s="19">
        <f>ROUND(0.7146, 4)</f>
        <v>0.71460000000000001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175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104.52</v>
      </c>
      <c r="D64" s="17">
        <v>106.78</v>
      </c>
      <c r="E64" s="17">
        <v>91.53</v>
      </c>
      <c r="F64" s="17">
        <v>56.73</v>
      </c>
      <c r="H64" s="3"/>
      <c r="I64" s="4"/>
      <c r="J64" s="4"/>
    </row>
    <row r="65" spans="1:6" x14ac:dyDescent="0.25">
      <c r="A65" s="32" t="s">
        <v>60</v>
      </c>
      <c r="B65" s="32"/>
      <c r="C65" s="16">
        <v>71.5</v>
      </c>
      <c r="D65" s="16">
        <v>73.64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274.64</v>
      </c>
      <c r="D66" s="16">
        <v>274.39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119.68</v>
      </c>
      <c r="D67" s="16">
        <v>124.06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P71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176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2782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84100</v>
      </c>
      <c r="D9" s="9"/>
      <c r="E9" s="9"/>
      <c r="F9" s="9"/>
      <c r="G9" s="9">
        <f t="shared" ref="G9:G38" si="0">SUM(C9:F9)</f>
        <v>84100</v>
      </c>
      <c r="H9">
        <f t="shared" ref="H9:H38" si="1">ROUND(G9/2782,2)</f>
        <v>30.23</v>
      </c>
      <c r="I9" s="10">
        <f t="shared" ref="I9:I38" si="2">ROUND(G9/$G$49,3)</f>
        <v>0.08</v>
      </c>
      <c r="J9">
        <f t="shared" ref="J9:J31" si="3">ROUND(G9/P9-1,2)</f>
        <v>-0.02</v>
      </c>
      <c r="P9">
        <v>86230</v>
      </c>
    </row>
    <row r="10" spans="1:16" x14ac:dyDescent="0.25">
      <c r="A10" t="s">
        <v>20</v>
      </c>
      <c r="B10" t="s">
        <v>22</v>
      </c>
      <c r="C10" s="9">
        <v>113730</v>
      </c>
      <c r="D10" s="9"/>
      <c r="E10" s="9"/>
      <c r="F10" s="9"/>
      <c r="G10" s="9">
        <f t="shared" si="0"/>
        <v>113730</v>
      </c>
      <c r="H10">
        <f t="shared" si="1"/>
        <v>40.880000000000003</v>
      </c>
      <c r="I10" s="10">
        <f t="shared" si="2"/>
        <v>0.108</v>
      </c>
      <c r="J10">
        <f t="shared" si="3"/>
        <v>-0.08</v>
      </c>
      <c r="P10">
        <v>123900</v>
      </c>
    </row>
    <row r="11" spans="1:16" x14ac:dyDescent="0.25">
      <c r="A11" t="s">
        <v>20</v>
      </c>
      <c r="B11" t="s">
        <v>42</v>
      </c>
      <c r="C11" s="9"/>
      <c r="D11" s="9"/>
      <c r="E11" s="9">
        <v>145</v>
      </c>
      <c r="F11" s="9"/>
      <c r="G11" s="9">
        <f t="shared" si="0"/>
        <v>145</v>
      </c>
      <c r="H11">
        <f t="shared" si="1"/>
        <v>0.05</v>
      </c>
      <c r="I11" s="10">
        <f t="shared" si="2"/>
        <v>0</v>
      </c>
      <c r="J11">
        <f t="shared" si="3"/>
        <v>-0.28000000000000003</v>
      </c>
      <c r="P11">
        <v>200</v>
      </c>
    </row>
    <row r="12" spans="1:16" x14ac:dyDescent="0.25">
      <c r="A12" t="s">
        <v>20</v>
      </c>
      <c r="B12" t="s">
        <v>24</v>
      </c>
      <c r="C12" s="9"/>
      <c r="D12" s="9"/>
      <c r="E12" s="9">
        <v>40200</v>
      </c>
      <c r="F12" s="9"/>
      <c r="G12" s="9">
        <f t="shared" si="0"/>
        <v>40200</v>
      </c>
      <c r="H12">
        <f t="shared" si="1"/>
        <v>14.45</v>
      </c>
      <c r="I12" s="10">
        <f t="shared" si="2"/>
        <v>3.7999999999999999E-2</v>
      </c>
      <c r="J12">
        <f t="shared" si="3"/>
        <v>0.21</v>
      </c>
      <c r="P12">
        <v>33120</v>
      </c>
    </row>
    <row r="13" spans="1:16" x14ac:dyDescent="0.25">
      <c r="A13" t="s">
        <v>20</v>
      </c>
      <c r="B13" t="s">
        <v>25</v>
      </c>
      <c r="C13" s="9">
        <v>119410</v>
      </c>
      <c r="D13" s="9"/>
      <c r="E13" s="9"/>
      <c r="F13" s="9"/>
      <c r="G13" s="9">
        <f t="shared" si="0"/>
        <v>119410</v>
      </c>
      <c r="H13">
        <f t="shared" si="1"/>
        <v>42.92</v>
      </c>
      <c r="I13" s="10">
        <f t="shared" si="2"/>
        <v>0.114</v>
      </c>
      <c r="J13">
        <f t="shared" si="3"/>
        <v>-0.03</v>
      </c>
      <c r="P13">
        <v>123040</v>
      </c>
    </row>
    <row r="14" spans="1:16" x14ac:dyDescent="0.25">
      <c r="A14" t="s">
        <v>20</v>
      </c>
      <c r="B14" t="s">
        <v>69</v>
      </c>
      <c r="C14" s="9"/>
      <c r="D14" s="9"/>
      <c r="E14" s="9">
        <v>5610</v>
      </c>
      <c r="F14" s="9"/>
      <c r="G14" s="9">
        <f t="shared" si="0"/>
        <v>5610</v>
      </c>
      <c r="H14">
        <f t="shared" si="1"/>
        <v>2.02</v>
      </c>
      <c r="I14" s="10">
        <f t="shared" si="2"/>
        <v>5.0000000000000001E-3</v>
      </c>
      <c r="J14">
        <f t="shared" si="3"/>
        <v>0.04</v>
      </c>
      <c r="P14">
        <v>5390</v>
      </c>
    </row>
    <row r="15" spans="1:16" x14ac:dyDescent="0.25">
      <c r="A15" t="s">
        <v>20</v>
      </c>
      <c r="B15" t="s">
        <v>26</v>
      </c>
      <c r="C15" s="9">
        <v>196590</v>
      </c>
      <c r="D15" s="9"/>
      <c r="E15" s="9"/>
      <c r="F15" s="9">
        <v>140</v>
      </c>
      <c r="G15" s="9">
        <f t="shared" si="0"/>
        <v>196730</v>
      </c>
      <c r="H15">
        <f t="shared" si="1"/>
        <v>70.72</v>
      </c>
      <c r="I15" s="10">
        <f t="shared" si="2"/>
        <v>0.188</v>
      </c>
      <c r="J15">
        <f t="shared" si="3"/>
        <v>0.04</v>
      </c>
      <c r="P15">
        <v>188860</v>
      </c>
    </row>
    <row r="16" spans="1:16" x14ac:dyDescent="0.25">
      <c r="A16" t="s">
        <v>20</v>
      </c>
      <c r="B16" t="s">
        <v>29</v>
      </c>
      <c r="C16" s="9"/>
      <c r="D16" s="9"/>
      <c r="E16" s="9">
        <v>129</v>
      </c>
      <c r="F16" s="9"/>
      <c r="G16" s="9">
        <f t="shared" si="0"/>
        <v>129</v>
      </c>
      <c r="H16">
        <f t="shared" si="1"/>
        <v>0.05</v>
      </c>
      <c r="I16" s="10">
        <f t="shared" si="2"/>
        <v>0</v>
      </c>
      <c r="J16">
        <f t="shared" si="3"/>
        <v>0.5</v>
      </c>
      <c r="P16">
        <v>86</v>
      </c>
    </row>
    <row r="17" spans="1:16" x14ac:dyDescent="0.25">
      <c r="A17" t="s">
        <v>20</v>
      </c>
      <c r="B17" t="s">
        <v>30</v>
      </c>
      <c r="C17" s="9"/>
      <c r="D17" s="9"/>
      <c r="E17" s="9">
        <v>3370</v>
      </c>
      <c r="F17" s="9"/>
      <c r="G17" s="9">
        <f t="shared" si="0"/>
        <v>3370</v>
      </c>
      <c r="H17">
        <f t="shared" si="1"/>
        <v>1.21</v>
      </c>
      <c r="I17" s="10">
        <f t="shared" si="2"/>
        <v>3.0000000000000001E-3</v>
      </c>
      <c r="J17">
        <f t="shared" si="3"/>
        <v>-0.22</v>
      </c>
      <c r="P17">
        <v>4310</v>
      </c>
    </row>
    <row r="18" spans="1:16" x14ac:dyDescent="0.25">
      <c r="A18" t="s">
        <v>20</v>
      </c>
      <c r="B18" t="s">
        <v>31</v>
      </c>
      <c r="C18" s="9"/>
      <c r="D18" s="9"/>
      <c r="E18" s="9">
        <v>880</v>
      </c>
      <c r="F18" s="9"/>
      <c r="G18" s="9">
        <f t="shared" si="0"/>
        <v>880</v>
      </c>
      <c r="H18">
        <f t="shared" si="1"/>
        <v>0.32</v>
      </c>
      <c r="I18" s="10">
        <f t="shared" si="2"/>
        <v>1E-3</v>
      </c>
      <c r="J18">
        <f t="shared" si="3"/>
        <v>0.26</v>
      </c>
      <c r="P18">
        <v>700</v>
      </c>
    </row>
    <row r="19" spans="1:16" x14ac:dyDescent="0.25">
      <c r="A19" t="s">
        <v>20</v>
      </c>
      <c r="B19" t="s">
        <v>32</v>
      </c>
      <c r="C19" s="9"/>
      <c r="D19" s="9"/>
      <c r="E19" s="9">
        <v>450</v>
      </c>
      <c r="F19" s="9"/>
      <c r="G19" s="9">
        <f t="shared" si="0"/>
        <v>450</v>
      </c>
      <c r="H19">
        <f t="shared" si="1"/>
        <v>0.16</v>
      </c>
      <c r="I19" s="10">
        <f t="shared" si="2"/>
        <v>0</v>
      </c>
      <c r="J19">
        <f t="shared" si="3"/>
        <v>0</v>
      </c>
      <c r="P19">
        <v>450</v>
      </c>
    </row>
    <row r="20" spans="1:16" x14ac:dyDescent="0.25">
      <c r="A20" t="s">
        <v>20</v>
      </c>
      <c r="B20" t="s">
        <v>33</v>
      </c>
      <c r="C20" s="9"/>
      <c r="D20" s="9"/>
      <c r="E20" s="9">
        <v>1440</v>
      </c>
      <c r="F20" s="9"/>
      <c r="G20" s="9">
        <f t="shared" si="0"/>
        <v>1440</v>
      </c>
      <c r="H20">
        <f t="shared" si="1"/>
        <v>0.52</v>
      </c>
      <c r="I20" s="10">
        <f t="shared" si="2"/>
        <v>1E-3</v>
      </c>
      <c r="J20">
        <f t="shared" si="3"/>
        <v>0.33</v>
      </c>
      <c r="P20">
        <v>1080</v>
      </c>
    </row>
    <row r="21" spans="1:16" x14ac:dyDescent="0.25">
      <c r="A21" t="s">
        <v>20</v>
      </c>
      <c r="B21" t="s">
        <v>43</v>
      </c>
      <c r="C21" s="9"/>
      <c r="D21" s="9">
        <v>228</v>
      </c>
      <c r="E21" s="9"/>
      <c r="F21" s="9"/>
      <c r="G21" s="9">
        <f t="shared" si="0"/>
        <v>228</v>
      </c>
      <c r="H21">
        <f t="shared" si="1"/>
        <v>0.08</v>
      </c>
      <c r="I21" s="10">
        <f t="shared" si="2"/>
        <v>0</v>
      </c>
      <c r="J21">
        <f t="shared" si="3"/>
        <v>-0.1</v>
      </c>
      <c r="P21">
        <v>254</v>
      </c>
    </row>
    <row r="22" spans="1:16" x14ac:dyDescent="0.25">
      <c r="A22" t="s">
        <v>20</v>
      </c>
      <c r="B22" t="s">
        <v>70</v>
      </c>
      <c r="C22" s="9"/>
      <c r="D22" s="9"/>
      <c r="E22" s="9">
        <v>970</v>
      </c>
      <c r="F22" s="9"/>
      <c r="G22" s="9">
        <f t="shared" si="0"/>
        <v>970</v>
      </c>
      <c r="H22">
        <f t="shared" si="1"/>
        <v>0.35</v>
      </c>
      <c r="I22" s="10">
        <f t="shared" si="2"/>
        <v>1E-3</v>
      </c>
      <c r="J22">
        <f t="shared" si="3"/>
        <v>-0.08</v>
      </c>
      <c r="P22">
        <v>1050</v>
      </c>
    </row>
    <row r="23" spans="1:16" x14ac:dyDescent="0.25">
      <c r="A23" t="s">
        <v>20</v>
      </c>
      <c r="B23" t="s">
        <v>34</v>
      </c>
      <c r="C23" s="9"/>
      <c r="D23" s="9">
        <v>380</v>
      </c>
      <c r="E23" s="9"/>
      <c r="F23" s="9"/>
      <c r="G23" s="9">
        <f t="shared" si="0"/>
        <v>380</v>
      </c>
      <c r="H23">
        <f t="shared" si="1"/>
        <v>0.14000000000000001</v>
      </c>
      <c r="I23" s="10">
        <f t="shared" si="2"/>
        <v>0</v>
      </c>
      <c r="J23">
        <f t="shared" si="3"/>
        <v>0.28000000000000003</v>
      </c>
      <c r="P23">
        <v>296</v>
      </c>
    </row>
    <row r="24" spans="1:16" x14ac:dyDescent="0.25">
      <c r="A24" t="s">
        <v>20</v>
      </c>
      <c r="B24" t="s">
        <v>35</v>
      </c>
      <c r="C24" s="9"/>
      <c r="D24" s="9"/>
      <c r="E24" s="9">
        <v>2190</v>
      </c>
      <c r="F24" s="9"/>
      <c r="G24" s="9">
        <f t="shared" si="0"/>
        <v>2190</v>
      </c>
      <c r="H24">
        <f t="shared" si="1"/>
        <v>0.79</v>
      </c>
      <c r="I24" s="10">
        <f t="shared" si="2"/>
        <v>2E-3</v>
      </c>
      <c r="J24">
        <f t="shared" si="3"/>
        <v>-0.3</v>
      </c>
      <c r="P24">
        <v>3148</v>
      </c>
    </row>
    <row r="25" spans="1:16" x14ac:dyDescent="0.25">
      <c r="A25" t="s">
        <v>20</v>
      </c>
      <c r="B25" t="s">
        <v>41</v>
      </c>
      <c r="C25" s="9"/>
      <c r="D25" s="9"/>
      <c r="E25" s="9">
        <v>6725</v>
      </c>
      <c r="F25" s="9"/>
      <c r="G25" s="9">
        <f t="shared" si="0"/>
        <v>6725</v>
      </c>
      <c r="H25">
        <f t="shared" si="1"/>
        <v>2.42</v>
      </c>
      <c r="I25" s="10">
        <f t="shared" si="2"/>
        <v>6.0000000000000001E-3</v>
      </c>
      <c r="J25">
        <f t="shared" si="3"/>
        <v>-0.32</v>
      </c>
      <c r="P25">
        <v>9895</v>
      </c>
    </row>
    <row r="26" spans="1:16" x14ac:dyDescent="0.25">
      <c r="A26" t="s">
        <v>20</v>
      </c>
      <c r="B26" t="s">
        <v>36</v>
      </c>
      <c r="C26" s="9"/>
      <c r="D26" s="9"/>
      <c r="E26" s="9">
        <v>1630</v>
      </c>
      <c r="F26" s="9"/>
      <c r="G26" s="9">
        <f t="shared" si="0"/>
        <v>1630</v>
      </c>
      <c r="H26">
        <f t="shared" si="1"/>
        <v>0.59</v>
      </c>
      <c r="I26" s="10">
        <f t="shared" si="2"/>
        <v>2E-3</v>
      </c>
      <c r="J26">
        <f t="shared" si="3"/>
        <v>-0.55000000000000004</v>
      </c>
      <c r="P26">
        <v>3660</v>
      </c>
    </row>
    <row r="27" spans="1:16" x14ac:dyDescent="0.25">
      <c r="A27" t="s">
        <v>20</v>
      </c>
      <c r="B27" t="s">
        <v>37</v>
      </c>
      <c r="C27" s="9"/>
      <c r="D27" s="9"/>
      <c r="E27" s="9">
        <v>50030</v>
      </c>
      <c r="F27" s="9"/>
      <c r="G27" s="9">
        <f t="shared" si="0"/>
        <v>50030</v>
      </c>
      <c r="H27">
        <f t="shared" si="1"/>
        <v>17.98</v>
      </c>
      <c r="I27" s="10">
        <f t="shared" si="2"/>
        <v>4.8000000000000001E-2</v>
      </c>
      <c r="J27">
        <f t="shared" si="3"/>
        <v>0</v>
      </c>
      <c r="P27">
        <v>49890</v>
      </c>
    </row>
    <row r="28" spans="1:16" x14ac:dyDescent="0.25">
      <c r="A28" t="s">
        <v>20</v>
      </c>
      <c r="B28" t="s">
        <v>39</v>
      </c>
      <c r="C28" s="9"/>
      <c r="D28" s="9"/>
      <c r="E28" s="9">
        <v>17660</v>
      </c>
      <c r="F28" s="9"/>
      <c r="G28" s="9">
        <f t="shared" si="0"/>
        <v>17660</v>
      </c>
      <c r="H28">
        <f t="shared" si="1"/>
        <v>6.35</v>
      </c>
      <c r="I28" s="10">
        <f t="shared" si="2"/>
        <v>1.7000000000000001E-2</v>
      </c>
      <c r="J28">
        <f t="shared" si="3"/>
        <v>-0.03</v>
      </c>
      <c r="P28">
        <v>18280</v>
      </c>
    </row>
    <row r="29" spans="1:16" x14ac:dyDescent="0.25">
      <c r="A29" t="s">
        <v>20</v>
      </c>
      <c r="B29" t="s">
        <v>40</v>
      </c>
      <c r="C29" s="9"/>
      <c r="D29" s="9"/>
      <c r="E29" s="9">
        <v>83160</v>
      </c>
      <c r="F29" s="9"/>
      <c r="G29" s="9">
        <f t="shared" si="0"/>
        <v>83160</v>
      </c>
      <c r="H29">
        <f t="shared" si="1"/>
        <v>29.89</v>
      </c>
      <c r="I29" s="10">
        <f t="shared" si="2"/>
        <v>7.9000000000000001E-2</v>
      </c>
      <c r="J29">
        <f t="shared" si="3"/>
        <v>-0.06</v>
      </c>
      <c r="P29">
        <v>88580</v>
      </c>
    </row>
    <row r="30" spans="1:16" x14ac:dyDescent="0.25">
      <c r="A30" t="s">
        <v>20</v>
      </c>
      <c r="B30" t="s">
        <v>38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J30">
        <f t="shared" si="3"/>
        <v>-1</v>
      </c>
      <c r="P30">
        <v>6110</v>
      </c>
    </row>
    <row r="31" spans="1:16" x14ac:dyDescent="0.25">
      <c r="A31" t="s">
        <v>20</v>
      </c>
      <c r="B31" t="s">
        <v>67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J31">
        <f t="shared" si="3"/>
        <v>-1</v>
      </c>
      <c r="P31">
        <v>75</v>
      </c>
    </row>
    <row r="32" spans="1:16" x14ac:dyDescent="0.25">
      <c r="A32" t="s">
        <v>20</v>
      </c>
      <c r="B32" t="s">
        <v>23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44</v>
      </c>
      <c r="B33" t="s">
        <v>45</v>
      </c>
      <c r="C33" s="9">
        <v>269820</v>
      </c>
      <c r="D33" s="9"/>
      <c r="E33" s="9"/>
      <c r="F33" s="9"/>
      <c r="G33" s="9">
        <f t="shared" si="0"/>
        <v>269820</v>
      </c>
      <c r="H33">
        <f t="shared" si="1"/>
        <v>96.99</v>
      </c>
      <c r="I33" s="10">
        <f t="shared" si="2"/>
        <v>0.25700000000000001</v>
      </c>
      <c r="J33">
        <f>ROUND(G33/P33-1,2)</f>
        <v>0</v>
      </c>
      <c r="P33">
        <v>270140</v>
      </c>
    </row>
    <row r="34" spans="1:16" x14ac:dyDescent="0.25">
      <c r="A34" t="s">
        <v>44</v>
      </c>
      <c r="B34" t="s">
        <v>47</v>
      </c>
      <c r="C34" s="9"/>
      <c r="D34" s="9"/>
      <c r="E34" s="9"/>
      <c r="F34" s="9">
        <v>11100</v>
      </c>
      <c r="G34" s="9">
        <f t="shared" si="0"/>
        <v>11100</v>
      </c>
      <c r="H34">
        <f t="shared" si="1"/>
        <v>3.99</v>
      </c>
      <c r="I34" s="10">
        <f t="shared" si="2"/>
        <v>1.0999999999999999E-2</v>
      </c>
      <c r="J34">
        <f>ROUND(G34/P34-1,2)</f>
        <v>-0.03</v>
      </c>
      <c r="P34">
        <v>11440</v>
      </c>
    </row>
    <row r="35" spans="1:16" x14ac:dyDescent="0.25">
      <c r="A35" t="s">
        <v>44</v>
      </c>
      <c r="B35" t="s">
        <v>46</v>
      </c>
      <c r="C35" s="9"/>
      <c r="D35" s="9"/>
      <c r="E35" s="9">
        <v>38140</v>
      </c>
      <c r="F35" s="9"/>
      <c r="G35" s="9">
        <f t="shared" si="0"/>
        <v>38140</v>
      </c>
      <c r="H35">
        <f t="shared" si="1"/>
        <v>13.71</v>
      </c>
      <c r="I35" s="10">
        <f t="shared" si="2"/>
        <v>3.5999999999999997E-2</v>
      </c>
      <c r="J35">
        <f>ROUND(G35/P35-1,2)</f>
        <v>-0.03</v>
      </c>
      <c r="P35">
        <v>39120</v>
      </c>
    </row>
    <row r="36" spans="1:16" x14ac:dyDescent="0.25">
      <c r="A36" t="s">
        <v>16</v>
      </c>
      <c r="B36" t="s">
        <v>19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16</v>
      </c>
      <c r="B37" t="s">
        <v>78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16</v>
      </c>
      <c r="B38" t="s">
        <v>18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SUM(C8:C38)</f>
        <v>783650</v>
      </c>
      <c r="D49" s="12">
        <f t="shared" si="4"/>
        <v>608</v>
      </c>
      <c r="E49" s="12">
        <f t="shared" si="4"/>
        <v>252729</v>
      </c>
      <c r="F49" s="12">
        <f t="shared" si="4"/>
        <v>11240</v>
      </c>
      <c r="G49" s="12">
        <f t="shared" si="4"/>
        <v>1048227</v>
      </c>
      <c r="H49" s="11">
        <f t="shared" si="4"/>
        <v>376.81</v>
      </c>
      <c r="I49" s="4"/>
    </row>
    <row r="50" spans="1:10" x14ac:dyDescent="0.25">
      <c r="A50" s="11" t="s">
        <v>14</v>
      </c>
      <c r="C50" s="13">
        <f>ROUND(C49/G49,2)</f>
        <v>0.75</v>
      </c>
      <c r="D50" s="13">
        <f>ROUND(D49/G49,2)</f>
        <v>0</v>
      </c>
      <c r="E50" s="13">
        <f>ROUND(E49/G49,2)</f>
        <v>0.24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513830</v>
      </c>
      <c r="D54" s="15">
        <v>608</v>
      </c>
      <c r="E54" s="15">
        <v>214589</v>
      </c>
      <c r="F54" s="15">
        <v>140</v>
      </c>
      <c r="G54" s="15">
        <f>SUM(C54:F54)</f>
        <v>729167</v>
      </c>
      <c r="H54" s="17">
        <f>ROUND(G54/2782,2)</f>
        <v>262.10000000000002</v>
      </c>
      <c r="I54" s="4"/>
      <c r="J54" s="4"/>
    </row>
    <row r="55" spans="1:10" x14ac:dyDescent="0.25">
      <c r="A55" s="33" t="s">
        <v>50</v>
      </c>
      <c r="B55" s="33"/>
      <c r="C55" s="15">
        <v>269820</v>
      </c>
      <c r="D55" s="15">
        <v>0</v>
      </c>
      <c r="E55" s="15">
        <v>38140</v>
      </c>
      <c r="F55" s="15">
        <v>11100</v>
      </c>
      <c r="G55" s="15">
        <f>SUM(C55:F55)</f>
        <v>319060</v>
      </c>
      <c r="H55" s="17">
        <f>ROUND(G55/2782,2)</f>
        <v>114.69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ROUND(G56/2782,2)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ROUND(0.7269, 4)</f>
        <v>0.72689999999999999</v>
      </c>
      <c r="D60" s="19">
        <f>ROUND(0.7337, 4)</f>
        <v>0.73370000000000002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ROUND(0.7162, 4)</f>
        <v>0.71619999999999995</v>
      </c>
      <c r="D61" s="19">
        <f>ROUND(0.7229, 4)</f>
        <v>0.72289999999999999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177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96.99</v>
      </c>
      <c r="D64" s="17">
        <v>92.78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70.72</v>
      </c>
      <c r="D65" s="17">
        <v>70.930000000000007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262.10000000000002</v>
      </c>
      <c r="D66" s="17">
        <v>283.61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114.69</v>
      </c>
      <c r="D67" s="17">
        <v>113.63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P70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178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1731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5</v>
      </c>
      <c r="G9" s="9">
        <f t="shared" ref="G9:G42" si="0">SUM(C9:F9)</f>
        <v>5</v>
      </c>
      <c r="H9">
        <f t="shared" ref="H9:H42" si="1">ROUND(G9/1731,2)</f>
        <v>0</v>
      </c>
      <c r="I9" s="10">
        <f t="shared" ref="I9:I42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260</v>
      </c>
      <c r="G10" s="9">
        <f t="shared" si="0"/>
        <v>260</v>
      </c>
      <c r="H10">
        <f t="shared" si="1"/>
        <v>0.15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67</v>
      </c>
      <c r="C12" s="9"/>
      <c r="D12" s="9"/>
      <c r="E12" s="9">
        <v>45</v>
      </c>
      <c r="F12" s="9"/>
      <c r="G12" s="9">
        <f t="shared" si="0"/>
        <v>45</v>
      </c>
      <c r="H12">
        <f t="shared" si="1"/>
        <v>0.03</v>
      </c>
      <c r="I12" s="10">
        <f t="shared" si="2"/>
        <v>0</v>
      </c>
      <c r="J12">
        <f>ROUND(G12/P12-1,2)</f>
        <v>-0.25</v>
      </c>
      <c r="P12">
        <v>60</v>
      </c>
    </row>
    <row r="13" spans="1:16" x14ac:dyDescent="0.25">
      <c r="A13" t="s">
        <v>20</v>
      </c>
      <c r="B13" t="s">
        <v>21</v>
      </c>
      <c r="C13" s="9">
        <v>40270</v>
      </c>
      <c r="D13" s="9"/>
      <c r="E13" s="9">
        <v>14692.8</v>
      </c>
      <c r="F13" s="9">
        <v>230</v>
      </c>
      <c r="G13" s="9">
        <f t="shared" si="0"/>
        <v>55192.800000000003</v>
      </c>
      <c r="H13">
        <f t="shared" si="1"/>
        <v>31.88</v>
      </c>
      <c r="I13" s="10">
        <f t="shared" si="2"/>
        <v>6.7000000000000004E-2</v>
      </c>
      <c r="J13">
        <f>ROUND(G13/P13-1,2)</f>
        <v>-0.05</v>
      </c>
      <c r="P13">
        <v>58379.98</v>
      </c>
    </row>
    <row r="14" spans="1:16" x14ac:dyDescent="0.25">
      <c r="A14" t="s">
        <v>20</v>
      </c>
      <c r="B14" t="s">
        <v>22</v>
      </c>
      <c r="C14" s="9">
        <v>77170</v>
      </c>
      <c r="D14" s="9"/>
      <c r="E14" s="9"/>
      <c r="F14" s="9"/>
      <c r="G14" s="9">
        <f t="shared" si="0"/>
        <v>77170</v>
      </c>
      <c r="H14">
        <f t="shared" si="1"/>
        <v>44.58</v>
      </c>
      <c r="I14" s="10">
        <f t="shared" si="2"/>
        <v>9.2999999999999999E-2</v>
      </c>
      <c r="J14">
        <f>ROUND(G14/P14-1,2)</f>
        <v>-0.19</v>
      </c>
      <c r="P14">
        <v>95810</v>
      </c>
    </row>
    <row r="15" spans="1:16" x14ac:dyDescent="0.25">
      <c r="A15" t="s">
        <v>20</v>
      </c>
      <c r="B15" t="s">
        <v>42</v>
      </c>
      <c r="C15" s="9"/>
      <c r="D15" s="9"/>
      <c r="E15" s="9">
        <v>466.96</v>
      </c>
      <c r="F15" s="9">
        <v>120</v>
      </c>
      <c r="G15" s="9">
        <f t="shared" si="0"/>
        <v>586.96</v>
      </c>
      <c r="H15">
        <f t="shared" si="1"/>
        <v>0.34</v>
      </c>
      <c r="I15" s="10">
        <f t="shared" si="2"/>
        <v>1E-3</v>
      </c>
      <c r="J15">
        <f>ROUND(G15/P15-1,2)</f>
        <v>3.65</v>
      </c>
      <c r="P15">
        <v>126.32</v>
      </c>
    </row>
    <row r="16" spans="1:16" x14ac:dyDescent="0.25">
      <c r="A16" t="s">
        <v>20</v>
      </c>
      <c r="B16" t="s">
        <v>23</v>
      </c>
      <c r="C16" s="9"/>
      <c r="D16" s="9"/>
      <c r="E16" s="9">
        <v>240</v>
      </c>
      <c r="F16" s="9"/>
      <c r="G16" s="9">
        <f t="shared" si="0"/>
        <v>240</v>
      </c>
      <c r="H16">
        <f t="shared" si="1"/>
        <v>0.14000000000000001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80</v>
      </c>
      <c r="C17" s="9"/>
      <c r="D17" s="9"/>
      <c r="E17" s="9"/>
      <c r="F17" s="9">
        <v>48</v>
      </c>
      <c r="G17" s="9">
        <f t="shared" si="0"/>
        <v>48</v>
      </c>
      <c r="H17">
        <f t="shared" si="1"/>
        <v>0.03</v>
      </c>
      <c r="I17" s="10">
        <f t="shared" si="2"/>
        <v>0</v>
      </c>
      <c r="P17">
        <v>0</v>
      </c>
    </row>
    <row r="18" spans="1:16" x14ac:dyDescent="0.25">
      <c r="A18" t="s">
        <v>20</v>
      </c>
      <c r="B18" t="s">
        <v>24</v>
      </c>
      <c r="C18" s="9"/>
      <c r="D18" s="9"/>
      <c r="E18" s="9">
        <v>121227.99</v>
      </c>
      <c r="F18" s="9"/>
      <c r="G18" s="9">
        <f t="shared" si="0"/>
        <v>121227.99</v>
      </c>
      <c r="H18">
        <f t="shared" si="1"/>
        <v>70.03</v>
      </c>
      <c r="I18" s="10">
        <f t="shared" si="2"/>
        <v>0.14699999999999999</v>
      </c>
      <c r="J18">
        <f t="shared" ref="J18:J35" si="3">ROUND(G18/P18-1,2)</f>
        <v>0.37</v>
      </c>
      <c r="P18">
        <v>88607.73</v>
      </c>
    </row>
    <row r="19" spans="1:16" x14ac:dyDescent="0.25">
      <c r="A19" t="s">
        <v>20</v>
      </c>
      <c r="B19" t="s">
        <v>25</v>
      </c>
      <c r="C19" s="9">
        <v>59830</v>
      </c>
      <c r="D19" s="9"/>
      <c r="E19" s="9">
        <v>21437.18</v>
      </c>
      <c r="F19" s="9">
        <v>80</v>
      </c>
      <c r="G19" s="9">
        <f t="shared" si="0"/>
        <v>81347.179999999993</v>
      </c>
      <c r="H19">
        <f t="shared" si="1"/>
        <v>46.99</v>
      </c>
      <c r="I19" s="10">
        <f t="shared" si="2"/>
        <v>9.9000000000000005E-2</v>
      </c>
      <c r="J19">
        <f t="shared" si="3"/>
        <v>-0.11</v>
      </c>
      <c r="P19">
        <v>91797.52</v>
      </c>
    </row>
    <row r="20" spans="1:16" x14ac:dyDescent="0.25">
      <c r="A20" t="s">
        <v>20</v>
      </c>
      <c r="B20" t="s">
        <v>69</v>
      </c>
      <c r="C20" s="9"/>
      <c r="D20" s="9"/>
      <c r="E20" s="9">
        <v>6355</v>
      </c>
      <c r="F20" s="9"/>
      <c r="G20" s="9">
        <f t="shared" si="0"/>
        <v>6355</v>
      </c>
      <c r="H20">
        <f t="shared" si="1"/>
        <v>3.67</v>
      </c>
      <c r="I20" s="10">
        <f t="shared" si="2"/>
        <v>8.0000000000000002E-3</v>
      </c>
      <c r="J20">
        <f t="shared" si="3"/>
        <v>1.74</v>
      </c>
      <c r="P20">
        <v>2320</v>
      </c>
    </row>
    <row r="21" spans="1:16" x14ac:dyDescent="0.25">
      <c r="A21" t="s">
        <v>20</v>
      </c>
      <c r="B21" t="s">
        <v>26</v>
      </c>
      <c r="C21" s="9">
        <v>50120</v>
      </c>
      <c r="D21" s="9"/>
      <c r="E21" s="9"/>
      <c r="F21" s="9">
        <v>60</v>
      </c>
      <c r="G21" s="9">
        <f t="shared" si="0"/>
        <v>50180</v>
      </c>
      <c r="H21">
        <f t="shared" si="1"/>
        <v>28.99</v>
      </c>
      <c r="I21" s="10">
        <f t="shared" si="2"/>
        <v>6.0999999999999999E-2</v>
      </c>
      <c r="J21">
        <f t="shared" si="3"/>
        <v>-0.56000000000000005</v>
      </c>
      <c r="P21">
        <v>113740</v>
      </c>
    </row>
    <row r="22" spans="1:16" x14ac:dyDescent="0.25">
      <c r="A22" t="s">
        <v>20</v>
      </c>
      <c r="B22" t="s">
        <v>27</v>
      </c>
      <c r="C22" s="9"/>
      <c r="D22" s="9"/>
      <c r="E22" s="9">
        <v>1358</v>
      </c>
      <c r="F22" s="9"/>
      <c r="G22" s="9">
        <f t="shared" si="0"/>
        <v>1358</v>
      </c>
      <c r="H22">
        <f t="shared" si="1"/>
        <v>0.78</v>
      </c>
      <c r="I22" s="10">
        <f t="shared" si="2"/>
        <v>2E-3</v>
      </c>
      <c r="J22">
        <f t="shared" si="3"/>
        <v>15.56</v>
      </c>
      <c r="P22">
        <v>82</v>
      </c>
    </row>
    <row r="23" spans="1:16" x14ac:dyDescent="0.25">
      <c r="A23" t="s">
        <v>20</v>
      </c>
      <c r="B23" t="s">
        <v>28</v>
      </c>
      <c r="C23" s="9"/>
      <c r="D23" s="9"/>
      <c r="E23" s="9">
        <v>774</v>
      </c>
      <c r="F23" s="9"/>
      <c r="G23" s="9">
        <f t="shared" si="0"/>
        <v>774</v>
      </c>
      <c r="H23">
        <f t="shared" si="1"/>
        <v>0.45</v>
      </c>
      <c r="I23" s="10">
        <f t="shared" si="2"/>
        <v>1E-3</v>
      </c>
      <c r="J23">
        <f t="shared" si="3"/>
        <v>2.72</v>
      </c>
      <c r="P23">
        <v>208</v>
      </c>
    </row>
    <row r="24" spans="1:16" x14ac:dyDescent="0.25">
      <c r="A24" t="s">
        <v>20</v>
      </c>
      <c r="B24" t="s">
        <v>29</v>
      </c>
      <c r="C24" s="9"/>
      <c r="D24" s="9"/>
      <c r="E24" s="9">
        <v>211</v>
      </c>
      <c r="F24" s="9"/>
      <c r="G24" s="9">
        <f t="shared" si="0"/>
        <v>211</v>
      </c>
      <c r="H24">
        <f t="shared" si="1"/>
        <v>0.12</v>
      </c>
      <c r="I24" s="10">
        <f t="shared" si="2"/>
        <v>0</v>
      </c>
      <c r="J24">
        <f t="shared" si="3"/>
        <v>3.5</v>
      </c>
      <c r="P24">
        <v>46.88</v>
      </c>
    </row>
    <row r="25" spans="1:16" x14ac:dyDescent="0.25">
      <c r="A25" t="s">
        <v>20</v>
      </c>
      <c r="B25" t="s">
        <v>30</v>
      </c>
      <c r="C25" s="9"/>
      <c r="D25" s="9"/>
      <c r="E25" s="9">
        <v>7002.78</v>
      </c>
      <c r="F25" s="9"/>
      <c r="G25" s="9">
        <f t="shared" si="0"/>
        <v>7002.78</v>
      </c>
      <c r="H25">
        <f t="shared" si="1"/>
        <v>4.05</v>
      </c>
      <c r="I25" s="10">
        <f t="shared" si="2"/>
        <v>8.0000000000000002E-3</v>
      </c>
      <c r="J25">
        <f t="shared" si="3"/>
        <v>0.64</v>
      </c>
      <c r="P25">
        <v>4270.24</v>
      </c>
    </row>
    <row r="26" spans="1:16" x14ac:dyDescent="0.25">
      <c r="A26" t="s">
        <v>20</v>
      </c>
      <c r="B26" t="s">
        <v>31</v>
      </c>
      <c r="C26" s="9"/>
      <c r="D26" s="9"/>
      <c r="E26" s="9">
        <v>905.3</v>
      </c>
      <c r="F26" s="9"/>
      <c r="G26" s="9">
        <f t="shared" si="0"/>
        <v>905.3</v>
      </c>
      <c r="H26">
        <f t="shared" si="1"/>
        <v>0.52</v>
      </c>
      <c r="I26" s="10">
        <f t="shared" si="2"/>
        <v>1E-3</v>
      </c>
      <c r="J26">
        <f t="shared" si="3"/>
        <v>0.02</v>
      </c>
      <c r="P26">
        <v>890.7</v>
      </c>
    </row>
    <row r="27" spans="1:16" x14ac:dyDescent="0.25">
      <c r="A27" t="s">
        <v>20</v>
      </c>
      <c r="B27" t="s">
        <v>33</v>
      </c>
      <c r="C27" s="9"/>
      <c r="D27" s="9"/>
      <c r="E27" s="9">
        <v>1420</v>
      </c>
      <c r="F27" s="9">
        <v>520</v>
      </c>
      <c r="G27" s="9">
        <f t="shared" si="0"/>
        <v>1940</v>
      </c>
      <c r="H27">
        <f t="shared" si="1"/>
        <v>1.1200000000000001</v>
      </c>
      <c r="I27" s="10">
        <f t="shared" si="2"/>
        <v>2E-3</v>
      </c>
      <c r="J27">
        <f t="shared" si="3"/>
        <v>1.73</v>
      </c>
      <c r="P27">
        <v>711.11</v>
      </c>
    </row>
    <row r="28" spans="1:16" x14ac:dyDescent="0.25">
      <c r="A28" t="s">
        <v>20</v>
      </c>
      <c r="B28" t="s">
        <v>43</v>
      </c>
      <c r="C28" s="9"/>
      <c r="D28" s="9">
        <v>326</v>
      </c>
      <c r="E28" s="9">
        <v>205</v>
      </c>
      <c r="F28" s="9"/>
      <c r="G28" s="9">
        <f t="shared" si="0"/>
        <v>531</v>
      </c>
      <c r="H28">
        <f t="shared" si="1"/>
        <v>0.31</v>
      </c>
      <c r="I28" s="10">
        <f t="shared" si="2"/>
        <v>1E-3</v>
      </c>
      <c r="J28">
        <f t="shared" si="3"/>
        <v>3.05</v>
      </c>
      <c r="P28">
        <v>131</v>
      </c>
    </row>
    <row r="29" spans="1:16" x14ac:dyDescent="0.25">
      <c r="A29" t="s">
        <v>20</v>
      </c>
      <c r="B29" t="s">
        <v>34</v>
      </c>
      <c r="C29" s="9"/>
      <c r="D29" s="9"/>
      <c r="E29" s="9">
        <v>301.33</v>
      </c>
      <c r="F29" s="9"/>
      <c r="G29" s="9">
        <f t="shared" si="0"/>
        <v>301.33</v>
      </c>
      <c r="H29">
        <f t="shared" si="1"/>
        <v>0.17</v>
      </c>
      <c r="I29" s="10">
        <f t="shared" si="2"/>
        <v>0</v>
      </c>
      <c r="J29">
        <f t="shared" si="3"/>
        <v>0.74</v>
      </c>
      <c r="P29">
        <v>173.53</v>
      </c>
    </row>
    <row r="30" spans="1:16" x14ac:dyDescent="0.25">
      <c r="A30" t="s">
        <v>20</v>
      </c>
      <c r="B30" t="s">
        <v>35</v>
      </c>
      <c r="C30" s="9"/>
      <c r="D30" s="9"/>
      <c r="E30" s="9">
        <v>5079.22</v>
      </c>
      <c r="F30" s="9"/>
      <c r="G30" s="9">
        <f t="shared" si="0"/>
        <v>5079.22</v>
      </c>
      <c r="H30">
        <f t="shared" si="1"/>
        <v>2.93</v>
      </c>
      <c r="I30" s="10">
        <f t="shared" si="2"/>
        <v>6.0000000000000001E-3</v>
      </c>
      <c r="J30">
        <f t="shared" si="3"/>
        <v>0.23</v>
      </c>
      <c r="P30">
        <v>4125.03</v>
      </c>
    </row>
    <row r="31" spans="1:16" x14ac:dyDescent="0.25">
      <c r="A31" t="s">
        <v>20</v>
      </c>
      <c r="B31" t="s">
        <v>36</v>
      </c>
      <c r="C31" s="9"/>
      <c r="D31" s="9"/>
      <c r="E31" s="9">
        <v>10301.68</v>
      </c>
      <c r="F31" s="9"/>
      <c r="G31" s="9">
        <f t="shared" si="0"/>
        <v>10301.68</v>
      </c>
      <c r="H31">
        <f t="shared" si="1"/>
        <v>5.95</v>
      </c>
      <c r="I31" s="10">
        <f t="shared" si="2"/>
        <v>1.2E-2</v>
      </c>
      <c r="J31">
        <f t="shared" si="3"/>
        <v>0.33</v>
      </c>
      <c r="P31">
        <v>7729.28</v>
      </c>
    </row>
    <row r="32" spans="1:16" x14ac:dyDescent="0.25">
      <c r="A32" t="s">
        <v>20</v>
      </c>
      <c r="B32" t="s">
        <v>41</v>
      </c>
      <c r="C32" s="9"/>
      <c r="D32" s="9"/>
      <c r="E32" s="9">
        <v>17730</v>
      </c>
      <c r="F32" s="9"/>
      <c r="G32" s="9">
        <f t="shared" si="0"/>
        <v>17730</v>
      </c>
      <c r="H32">
        <f t="shared" si="1"/>
        <v>10.24</v>
      </c>
      <c r="I32" s="10">
        <f t="shared" si="2"/>
        <v>2.1000000000000001E-2</v>
      </c>
      <c r="J32">
        <f t="shared" si="3"/>
        <v>0.72</v>
      </c>
      <c r="P32">
        <v>10295</v>
      </c>
    </row>
    <row r="33" spans="1:16" x14ac:dyDescent="0.25">
      <c r="A33" t="s">
        <v>20</v>
      </c>
      <c r="B33" t="s">
        <v>37</v>
      </c>
      <c r="C33" s="9"/>
      <c r="D33" s="9"/>
      <c r="E33" s="9">
        <v>84976.24</v>
      </c>
      <c r="F33" s="9"/>
      <c r="G33" s="9">
        <f t="shared" si="0"/>
        <v>84976.24</v>
      </c>
      <c r="H33">
        <f t="shared" si="1"/>
        <v>49.09</v>
      </c>
      <c r="I33" s="10">
        <f t="shared" si="2"/>
        <v>0.10299999999999999</v>
      </c>
      <c r="J33">
        <f t="shared" si="3"/>
        <v>0.62</v>
      </c>
      <c r="P33">
        <v>52491.66</v>
      </c>
    </row>
    <row r="34" spans="1:16" x14ac:dyDescent="0.25">
      <c r="A34" t="s">
        <v>20</v>
      </c>
      <c r="B34" t="s">
        <v>39</v>
      </c>
      <c r="C34" s="9"/>
      <c r="D34" s="9"/>
      <c r="E34" s="9">
        <v>36109.74</v>
      </c>
      <c r="F34" s="9"/>
      <c r="G34" s="9">
        <f t="shared" si="0"/>
        <v>36109.74</v>
      </c>
      <c r="H34">
        <f t="shared" si="1"/>
        <v>20.86</v>
      </c>
      <c r="I34" s="10">
        <f t="shared" si="2"/>
        <v>4.3999999999999997E-2</v>
      </c>
      <c r="J34">
        <f t="shared" si="3"/>
        <v>1.03</v>
      </c>
      <c r="P34">
        <v>17795.16</v>
      </c>
    </row>
    <row r="35" spans="1:16" x14ac:dyDescent="0.25">
      <c r="A35" t="s">
        <v>20</v>
      </c>
      <c r="B35" t="s">
        <v>40</v>
      </c>
      <c r="C35" s="9"/>
      <c r="D35" s="9"/>
      <c r="E35" s="9">
        <v>11312.12</v>
      </c>
      <c r="F35" s="9">
        <v>51820</v>
      </c>
      <c r="G35" s="9">
        <f t="shared" si="0"/>
        <v>63132.12</v>
      </c>
      <c r="H35">
        <f t="shared" si="1"/>
        <v>36.47</v>
      </c>
      <c r="I35" s="10">
        <f t="shared" si="2"/>
        <v>7.5999999999999998E-2</v>
      </c>
      <c r="J35">
        <f t="shared" si="3"/>
        <v>7.23</v>
      </c>
      <c r="P35">
        <v>7668.45</v>
      </c>
    </row>
    <row r="36" spans="1:16" x14ac:dyDescent="0.25">
      <c r="A36" t="s">
        <v>20</v>
      </c>
      <c r="B36" t="s">
        <v>74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20</v>
      </c>
      <c r="B37" t="s">
        <v>70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32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20</v>
      </c>
      <c r="B39" t="s">
        <v>38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44</v>
      </c>
      <c r="B40" t="s">
        <v>45</v>
      </c>
      <c r="C40" s="9">
        <v>139070</v>
      </c>
      <c r="D40" s="9"/>
      <c r="E40" s="9"/>
      <c r="F40" s="9">
        <v>1240</v>
      </c>
      <c r="G40" s="9">
        <f t="shared" si="0"/>
        <v>140310</v>
      </c>
      <c r="H40">
        <f t="shared" si="1"/>
        <v>81.06</v>
      </c>
      <c r="I40" s="10">
        <f t="shared" si="2"/>
        <v>0.17</v>
      </c>
      <c r="J40">
        <f>ROUND(G40/P40-1,2)</f>
        <v>-0.03</v>
      </c>
      <c r="P40">
        <v>144085</v>
      </c>
    </row>
    <row r="41" spans="1:16" x14ac:dyDescent="0.25">
      <c r="A41" t="s">
        <v>44</v>
      </c>
      <c r="B41" t="s">
        <v>47</v>
      </c>
      <c r="C41" s="9"/>
      <c r="D41" s="9"/>
      <c r="E41" s="9"/>
      <c r="F41" s="9">
        <v>8360</v>
      </c>
      <c r="G41" s="9">
        <f t="shared" si="0"/>
        <v>8360</v>
      </c>
      <c r="H41">
        <f t="shared" si="1"/>
        <v>4.83</v>
      </c>
      <c r="I41" s="10">
        <f t="shared" si="2"/>
        <v>0.01</v>
      </c>
      <c r="P41">
        <v>0</v>
      </c>
    </row>
    <row r="42" spans="1:16" x14ac:dyDescent="0.25">
      <c r="A42" t="s">
        <v>44</v>
      </c>
      <c r="B42" t="s">
        <v>46</v>
      </c>
      <c r="C42" s="9"/>
      <c r="D42" s="9"/>
      <c r="E42" s="9">
        <v>54171.66</v>
      </c>
      <c r="F42" s="9"/>
      <c r="G42" s="9">
        <f t="shared" si="0"/>
        <v>54171.66</v>
      </c>
      <c r="H42">
        <f t="shared" si="1"/>
        <v>31.3</v>
      </c>
      <c r="I42" s="10">
        <f t="shared" si="2"/>
        <v>6.6000000000000003E-2</v>
      </c>
      <c r="J42">
        <f>ROUND(G42/P42-1,2)</f>
        <v>0.49</v>
      </c>
      <c r="P42">
        <v>36393.39</v>
      </c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SUM(C8:C42)</f>
        <v>366460</v>
      </c>
      <c r="D49" s="12">
        <f t="shared" si="4"/>
        <v>326</v>
      </c>
      <c r="E49" s="12">
        <f t="shared" si="4"/>
        <v>396323</v>
      </c>
      <c r="F49" s="12">
        <f t="shared" si="4"/>
        <v>62743</v>
      </c>
      <c r="G49" s="12">
        <f t="shared" si="4"/>
        <v>825852</v>
      </c>
      <c r="H49" s="11">
        <f t="shared" si="4"/>
        <v>477.0800000000001</v>
      </c>
      <c r="I49" s="4"/>
    </row>
    <row r="50" spans="1:10" x14ac:dyDescent="0.25">
      <c r="A50" s="11" t="s">
        <v>14</v>
      </c>
      <c r="C50" s="13">
        <f>ROUND(C49/G49,2)</f>
        <v>0.44</v>
      </c>
      <c r="D50" s="13">
        <f>ROUND(D49/G49,2)</f>
        <v>0</v>
      </c>
      <c r="E50" s="13">
        <f>ROUND(E49/G49,2)</f>
        <v>0.48</v>
      </c>
      <c r="F50" s="13">
        <f>ROUND(F49/G49,2)</f>
        <v>0.08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227390</v>
      </c>
      <c r="D54" s="15">
        <v>326</v>
      </c>
      <c r="E54" s="15">
        <v>342151.34</v>
      </c>
      <c r="F54" s="15">
        <v>52878</v>
      </c>
      <c r="G54" s="15">
        <f>SUM(C54:F54)</f>
        <v>622745.34000000008</v>
      </c>
      <c r="H54" s="17">
        <f>ROUND(G54/1731,2)</f>
        <v>359.76</v>
      </c>
      <c r="I54" s="4"/>
      <c r="J54" s="4"/>
    </row>
    <row r="55" spans="1:10" x14ac:dyDescent="0.25">
      <c r="A55" s="33" t="s">
        <v>50</v>
      </c>
      <c r="B55" s="33"/>
      <c r="C55" s="15">
        <v>139070</v>
      </c>
      <c r="D55" s="15">
        <v>0</v>
      </c>
      <c r="E55" s="15">
        <v>54171.66</v>
      </c>
      <c r="F55" s="15">
        <v>9600</v>
      </c>
      <c r="G55" s="15">
        <f>SUM(C55:F55)</f>
        <v>202841.66</v>
      </c>
      <c r="H55" s="17">
        <f>ROUND(G55/1731,2)</f>
        <v>117.18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265</v>
      </c>
      <c r="G56" s="15">
        <f>SUM(C56:F56)</f>
        <v>265</v>
      </c>
      <c r="H56" s="17">
        <f>ROUND(G56/1731,2)</f>
        <v>0.15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ROUND(0.7908, 4)</f>
        <v>0.79079999999999995</v>
      </c>
      <c r="D60" s="19">
        <f>ROUND(0.7721, 4)</f>
        <v>0.77210000000000001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ROUND(0.7616, 4)</f>
        <v>0.76160000000000005</v>
      </c>
      <c r="D61" s="19">
        <f>ROUND(0.7386, 4)</f>
        <v>0.73860000000000003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179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81.06</v>
      </c>
      <c r="D64" s="17">
        <v>79.63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28.99</v>
      </c>
      <c r="D65" s="17">
        <v>57.06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359.76</v>
      </c>
      <c r="D66" s="17">
        <v>334.56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117.18</v>
      </c>
      <c r="D67" s="17">
        <v>107.06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180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5090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35</v>
      </c>
      <c r="G9" s="9">
        <f t="shared" ref="G9:G45" si="0">SUM(C9:F9)</f>
        <v>35</v>
      </c>
      <c r="H9">
        <f t="shared" ref="H9:H45" si="1">ROUND(G9/5090,2)</f>
        <v>0.01</v>
      </c>
      <c r="I9" s="10">
        <f t="shared" ref="I9:I45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329</v>
      </c>
      <c r="G10" s="9">
        <f t="shared" si="0"/>
        <v>329</v>
      </c>
      <c r="H10">
        <f t="shared" si="1"/>
        <v>0.06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65</v>
      </c>
      <c r="F13" s="9"/>
      <c r="G13" s="9">
        <f t="shared" si="0"/>
        <v>65</v>
      </c>
      <c r="H13">
        <f t="shared" si="1"/>
        <v>0.01</v>
      </c>
      <c r="I13" s="10">
        <f t="shared" si="2"/>
        <v>0</v>
      </c>
      <c r="J13">
        <f>ROUND(G13/P13-1,2)</f>
        <v>0.63</v>
      </c>
      <c r="P13">
        <v>40</v>
      </c>
    </row>
    <row r="14" spans="1:16" x14ac:dyDescent="0.25">
      <c r="A14" t="s">
        <v>20</v>
      </c>
      <c r="B14" t="s">
        <v>68</v>
      </c>
      <c r="C14" s="9"/>
      <c r="D14" s="9"/>
      <c r="E14" s="9">
        <v>920</v>
      </c>
      <c r="F14" s="9">
        <v>720</v>
      </c>
      <c r="G14" s="9">
        <f t="shared" si="0"/>
        <v>1640</v>
      </c>
      <c r="H14">
        <f t="shared" si="1"/>
        <v>0.32</v>
      </c>
      <c r="I14" s="10">
        <f t="shared" si="2"/>
        <v>1E-3</v>
      </c>
      <c r="P14">
        <v>0</v>
      </c>
    </row>
    <row r="15" spans="1:16" x14ac:dyDescent="0.25">
      <c r="A15" t="s">
        <v>20</v>
      </c>
      <c r="B15" t="s">
        <v>73</v>
      </c>
      <c r="C15" s="9"/>
      <c r="D15" s="9">
        <v>3300</v>
      </c>
      <c r="E15" s="9"/>
      <c r="F15" s="9"/>
      <c r="G15" s="9">
        <f t="shared" si="0"/>
        <v>3300</v>
      </c>
      <c r="H15">
        <f t="shared" si="1"/>
        <v>0.65</v>
      </c>
      <c r="I15" s="10">
        <f t="shared" si="2"/>
        <v>3.0000000000000001E-3</v>
      </c>
      <c r="J15">
        <f>ROUND(G15/P15-1,2)</f>
        <v>-0.99</v>
      </c>
      <c r="P15">
        <v>220740</v>
      </c>
    </row>
    <row r="16" spans="1:16" x14ac:dyDescent="0.25">
      <c r="A16" t="s">
        <v>20</v>
      </c>
      <c r="B16" t="s">
        <v>106</v>
      </c>
      <c r="C16" s="9"/>
      <c r="D16" s="9">
        <v>9320</v>
      </c>
      <c r="E16" s="9"/>
      <c r="F16" s="9"/>
      <c r="G16" s="9">
        <f t="shared" si="0"/>
        <v>9320</v>
      </c>
      <c r="H16">
        <f t="shared" si="1"/>
        <v>1.83</v>
      </c>
      <c r="I16" s="10">
        <f t="shared" si="2"/>
        <v>7.0000000000000001E-3</v>
      </c>
      <c r="J16">
        <f>ROUND(G16/P16-1,2)</f>
        <v>-0.4</v>
      </c>
      <c r="P16">
        <v>15570</v>
      </c>
    </row>
    <row r="17" spans="1:16" x14ac:dyDescent="0.25">
      <c r="A17" t="s">
        <v>20</v>
      </c>
      <c r="B17" t="s">
        <v>21</v>
      </c>
      <c r="C17" s="9">
        <v>65660</v>
      </c>
      <c r="D17" s="9"/>
      <c r="E17" s="9">
        <v>1480</v>
      </c>
      <c r="F17" s="9"/>
      <c r="G17" s="9">
        <f t="shared" si="0"/>
        <v>67140</v>
      </c>
      <c r="H17">
        <f t="shared" si="1"/>
        <v>13.19</v>
      </c>
      <c r="I17" s="10">
        <f t="shared" si="2"/>
        <v>5.3999999999999999E-2</v>
      </c>
      <c r="P17">
        <v>0</v>
      </c>
    </row>
    <row r="18" spans="1:16" x14ac:dyDescent="0.25">
      <c r="A18" t="s">
        <v>20</v>
      </c>
      <c r="B18" t="s">
        <v>22</v>
      </c>
      <c r="C18" s="9">
        <v>86780</v>
      </c>
      <c r="D18" s="9">
        <v>107450</v>
      </c>
      <c r="E18" s="9"/>
      <c r="F18" s="9"/>
      <c r="G18" s="9">
        <f t="shared" si="0"/>
        <v>194230</v>
      </c>
      <c r="H18">
        <f t="shared" si="1"/>
        <v>38.159999999999997</v>
      </c>
      <c r="I18" s="10">
        <f t="shared" si="2"/>
        <v>0.155</v>
      </c>
      <c r="J18">
        <f>ROUND(G18/P18-1,2)</f>
        <v>-0.13</v>
      </c>
      <c r="P18">
        <v>222250</v>
      </c>
    </row>
    <row r="19" spans="1:16" x14ac:dyDescent="0.25">
      <c r="A19" t="s">
        <v>20</v>
      </c>
      <c r="B19" t="s">
        <v>79</v>
      </c>
      <c r="C19" s="9"/>
      <c r="D19" s="9"/>
      <c r="E19" s="9">
        <v>90</v>
      </c>
      <c r="F19" s="9"/>
      <c r="G19" s="9">
        <f t="shared" si="0"/>
        <v>90</v>
      </c>
      <c r="H19">
        <f t="shared" si="1"/>
        <v>0.02</v>
      </c>
      <c r="I19" s="10">
        <f t="shared" si="2"/>
        <v>0</v>
      </c>
      <c r="J19">
        <f>ROUND(G19/P19-1,2)</f>
        <v>-0.24</v>
      </c>
      <c r="P19">
        <v>118</v>
      </c>
    </row>
    <row r="20" spans="1:16" x14ac:dyDescent="0.25">
      <c r="A20" t="s">
        <v>20</v>
      </c>
      <c r="B20" t="s">
        <v>42</v>
      </c>
      <c r="C20" s="9"/>
      <c r="D20" s="9"/>
      <c r="E20" s="9">
        <v>94</v>
      </c>
      <c r="F20" s="9"/>
      <c r="G20" s="9">
        <f t="shared" si="0"/>
        <v>94</v>
      </c>
      <c r="H20">
        <f t="shared" si="1"/>
        <v>0.02</v>
      </c>
      <c r="I20" s="10">
        <f t="shared" si="2"/>
        <v>0</v>
      </c>
      <c r="J20">
        <f>ROUND(G20/P20-1,2)</f>
        <v>-0.56000000000000005</v>
      </c>
      <c r="P20">
        <v>214</v>
      </c>
    </row>
    <row r="21" spans="1:16" x14ac:dyDescent="0.25">
      <c r="A21" t="s">
        <v>20</v>
      </c>
      <c r="B21" t="s">
        <v>80</v>
      </c>
      <c r="C21" s="9"/>
      <c r="D21" s="9"/>
      <c r="E21" s="9"/>
      <c r="F21" s="9">
        <v>221</v>
      </c>
      <c r="G21" s="9">
        <f t="shared" si="0"/>
        <v>221</v>
      </c>
      <c r="H21">
        <f t="shared" si="1"/>
        <v>0.04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24</v>
      </c>
      <c r="C22" s="9"/>
      <c r="D22" s="9"/>
      <c r="E22" s="9">
        <v>58900</v>
      </c>
      <c r="F22" s="9"/>
      <c r="G22" s="9">
        <f t="shared" si="0"/>
        <v>58900</v>
      </c>
      <c r="H22">
        <f t="shared" si="1"/>
        <v>11.57</v>
      </c>
      <c r="I22" s="10">
        <f t="shared" si="2"/>
        <v>4.7E-2</v>
      </c>
      <c r="J22">
        <f>ROUND(G22/P22-1,2)</f>
        <v>-0.43</v>
      </c>
      <c r="P22">
        <v>102740</v>
      </c>
    </row>
    <row r="23" spans="1:16" x14ac:dyDescent="0.25">
      <c r="A23" t="s">
        <v>20</v>
      </c>
      <c r="B23" t="s">
        <v>25</v>
      </c>
      <c r="C23" s="9">
        <v>99280</v>
      </c>
      <c r="D23" s="9">
        <v>135050</v>
      </c>
      <c r="E23" s="9">
        <v>2360</v>
      </c>
      <c r="F23" s="9"/>
      <c r="G23" s="9">
        <f t="shared" si="0"/>
        <v>236690</v>
      </c>
      <c r="H23">
        <f t="shared" si="1"/>
        <v>46.5</v>
      </c>
      <c r="I23" s="10">
        <f t="shared" si="2"/>
        <v>0.189</v>
      </c>
      <c r="J23">
        <f>ROUND(G23/P23-1,2)</f>
        <v>-0.16</v>
      </c>
      <c r="P23">
        <v>280245</v>
      </c>
    </row>
    <row r="24" spans="1:16" x14ac:dyDescent="0.25">
      <c r="A24" t="s">
        <v>20</v>
      </c>
      <c r="B24" t="s">
        <v>69</v>
      </c>
      <c r="C24" s="9"/>
      <c r="D24" s="9"/>
      <c r="E24" s="9">
        <v>2300</v>
      </c>
      <c r="F24" s="9"/>
      <c r="G24" s="9">
        <f t="shared" si="0"/>
        <v>2300</v>
      </c>
      <c r="H24">
        <f t="shared" si="1"/>
        <v>0.45</v>
      </c>
      <c r="I24" s="10">
        <f t="shared" si="2"/>
        <v>2E-3</v>
      </c>
      <c r="J24">
        <f>ROUND(G24/P24-1,2)</f>
        <v>-0.61</v>
      </c>
      <c r="P24">
        <v>5860</v>
      </c>
    </row>
    <row r="25" spans="1:16" x14ac:dyDescent="0.25">
      <c r="A25" t="s">
        <v>20</v>
      </c>
      <c r="B25" t="s">
        <v>26</v>
      </c>
      <c r="C25" s="9">
        <v>162080</v>
      </c>
      <c r="D25" s="9">
        <v>6020</v>
      </c>
      <c r="E25" s="9"/>
      <c r="F25" s="9"/>
      <c r="G25" s="9">
        <f t="shared" si="0"/>
        <v>168100</v>
      </c>
      <c r="H25">
        <f t="shared" si="1"/>
        <v>33.03</v>
      </c>
      <c r="I25" s="10">
        <f t="shared" si="2"/>
        <v>0.13400000000000001</v>
      </c>
      <c r="J25">
        <f>ROUND(G25/P25-1,2)</f>
        <v>-0.57999999999999996</v>
      </c>
      <c r="P25">
        <v>399260</v>
      </c>
    </row>
    <row r="26" spans="1:16" x14ac:dyDescent="0.25">
      <c r="A26" t="s">
        <v>20</v>
      </c>
      <c r="B26" t="s">
        <v>27</v>
      </c>
      <c r="C26" s="9"/>
      <c r="D26" s="9"/>
      <c r="E26" s="9">
        <v>620</v>
      </c>
      <c r="F26" s="9"/>
      <c r="G26" s="9">
        <f t="shared" si="0"/>
        <v>620</v>
      </c>
      <c r="H26">
        <f t="shared" si="1"/>
        <v>0.12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28</v>
      </c>
      <c r="C27" s="9"/>
      <c r="D27" s="9"/>
      <c r="E27" s="9">
        <v>432</v>
      </c>
      <c r="F27" s="9"/>
      <c r="G27" s="9">
        <f t="shared" si="0"/>
        <v>432</v>
      </c>
      <c r="H27">
        <f t="shared" si="1"/>
        <v>0.08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29</v>
      </c>
      <c r="C28" s="9"/>
      <c r="D28" s="9"/>
      <c r="E28" s="9">
        <v>253</v>
      </c>
      <c r="F28" s="9"/>
      <c r="G28" s="9">
        <f t="shared" si="0"/>
        <v>253</v>
      </c>
      <c r="H28">
        <f t="shared" si="1"/>
        <v>0.05</v>
      </c>
      <c r="I28" s="10">
        <f t="shared" si="2"/>
        <v>0</v>
      </c>
      <c r="J28">
        <f t="shared" ref="J28:J41" si="3">ROUND(G28/P28-1,2)</f>
        <v>4.2699999999999996</v>
      </c>
      <c r="P28">
        <v>48</v>
      </c>
    </row>
    <row r="29" spans="1:16" x14ac:dyDescent="0.25">
      <c r="A29" t="s">
        <v>20</v>
      </c>
      <c r="B29" t="s">
        <v>30</v>
      </c>
      <c r="C29" s="9"/>
      <c r="D29" s="9"/>
      <c r="E29" s="9">
        <v>1760</v>
      </c>
      <c r="F29" s="9"/>
      <c r="G29" s="9">
        <f t="shared" si="0"/>
        <v>1760</v>
      </c>
      <c r="H29">
        <f t="shared" si="1"/>
        <v>0.35</v>
      </c>
      <c r="I29" s="10">
        <f t="shared" si="2"/>
        <v>1E-3</v>
      </c>
      <c r="J29">
        <f t="shared" si="3"/>
        <v>-0.81</v>
      </c>
      <c r="P29">
        <v>9350</v>
      </c>
    </row>
    <row r="30" spans="1:16" x14ac:dyDescent="0.25">
      <c r="A30" t="s">
        <v>20</v>
      </c>
      <c r="B30" t="s">
        <v>31</v>
      </c>
      <c r="C30" s="9"/>
      <c r="D30" s="9"/>
      <c r="E30" s="9">
        <v>110</v>
      </c>
      <c r="F30" s="9"/>
      <c r="G30" s="9">
        <f t="shared" si="0"/>
        <v>110</v>
      </c>
      <c r="H30">
        <f t="shared" si="1"/>
        <v>0.02</v>
      </c>
      <c r="I30" s="10">
        <f t="shared" si="2"/>
        <v>0</v>
      </c>
      <c r="J30">
        <f t="shared" si="3"/>
        <v>-0.89</v>
      </c>
      <c r="P30">
        <v>1010</v>
      </c>
    </row>
    <row r="31" spans="1:16" x14ac:dyDescent="0.25">
      <c r="A31" t="s">
        <v>20</v>
      </c>
      <c r="B31" t="s">
        <v>32</v>
      </c>
      <c r="C31" s="9"/>
      <c r="D31" s="9"/>
      <c r="E31" s="9">
        <v>300</v>
      </c>
      <c r="F31" s="9"/>
      <c r="G31" s="9">
        <f t="shared" si="0"/>
        <v>300</v>
      </c>
      <c r="H31">
        <f t="shared" si="1"/>
        <v>0.06</v>
      </c>
      <c r="I31" s="10">
        <f t="shared" si="2"/>
        <v>0</v>
      </c>
      <c r="J31">
        <f t="shared" si="3"/>
        <v>-0.51</v>
      </c>
      <c r="P31">
        <v>610</v>
      </c>
    </row>
    <row r="32" spans="1:16" x14ac:dyDescent="0.25">
      <c r="A32" t="s">
        <v>20</v>
      </c>
      <c r="B32" t="s">
        <v>33</v>
      </c>
      <c r="C32" s="9"/>
      <c r="D32" s="9"/>
      <c r="E32" s="9">
        <v>1820</v>
      </c>
      <c r="F32" s="9"/>
      <c r="G32" s="9">
        <f t="shared" si="0"/>
        <v>1820</v>
      </c>
      <c r="H32">
        <f t="shared" si="1"/>
        <v>0.36</v>
      </c>
      <c r="I32" s="10">
        <f t="shared" si="2"/>
        <v>1E-3</v>
      </c>
      <c r="J32">
        <f t="shared" si="3"/>
        <v>-0.17</v>
      </c>
      <c r="P32">
        <v>2195</v>
      </c>
    </row>
    <row r="33" spans="1:16" x14ac:dyDescent="0.25">
      <c r="A33" t="s">
        <v>20</v>
      </c>
      <c r="B33" t="s">
        <v>43</v>
      </c>
      <c r="C33" s="9"/>
      <c r="D33" s="9">
        <v>443</v>
      </c>
      <c r="E33" s="9"/>
      <c r="F33" s="9"/>
      <c r="G33" s="9">
        <f t="shared" si="0"/>
        <v>443</v>
      </c>
      <c r="H33">
        <f t="shared" si="1"/>
        <v>0.09</v>
      </c>
      <c r="I33" s="10">
        <f t="shared" si="2"/>
        <v>0</v>
      </c>
      <c r="J33">
        <f t="shared" si="3"/>
        <v>-0.5</v>
      </c>
      <c r="P33">
        <v>892</v>
      </c>
    </row>
    <row r="34" spans="1:16" x14ac:dyDescent="0.25">
      <c r="A34" t="s">
        <v>20</v>
      </c>
      <c r="B34" t="s">
        <v>70</v>
      </c>
      <c r="C34" s="9"/>
      <c r="D34" s="9"/>
      <c r="E34" s="9">
        <v>270</v>
      </c>
      <c r="F34" s="9"/>
      <c r="G34" s="9">
        <f t="shared" si="0"/>
        <v>270</v>
      </c>
      <c r="H34">
        <f t="shared" si="1"/>
        <v>0.05</v>
      </c>
      <c r="I34" s="10">
        <f t="shared" si="2"/>
        <v>0</v>
      </c>
      <c r="J34">
        <f t="shared" si="3"/>
        <v>-0.89</v>
      </c>
      <c r="P34">
        <v>2390</v>
      </c>
    </row>
    <row r="35" spans="1:16" x14ac:dyDescent="0.25">
      <c r="A35" t="s">
        <v>20</v>
      </c>
      <c r="B35" t="s">
        <v>34</v>
      </c>
      <c r="C35" s="9"/>
      <c r="D35" s="9">
        <v>260</v>
      </c>
      <c r="E35" s="9"/>
      <c r="F35" s="9"/>
      <c r="G35" s="9">
        <f t="shared" si="0"/>
        <v>260</v>
      </c>
      <c r="H35">
        <f t="shared" si="1"/>
        <v>0.05</v>
      </c>
      <c r="I35" s="10">
        <f t="shared" si="2"/>
        <v>0</v>
      </c>
      <c r="J35">
        <f t="shared" si="3"/>
        <v>-0.73</v>
      </c>
      <c r="P35">
        <v>960</v>
      </c>
    </row>
    <row r="36" spans="1:16" x14ac:dyDescent="0.25">
      <c r="A36" t="s">
        <v>20</v>
      </c>
      <c r="B36" t="s">
        <v>35</v>
      </c>
      <c r="C36" s="9"/>
      <c r="D36" s="9"/>
      <c r="E36" s="9">
        <v>2376</v>
      </c>
      <c r="F36" s="9"/>
      <c r="G36" s="9">
        <f t="shared" si="0"/>
        <v>2376</v>
      </c>
      <c r="H36">
        <f t="shared" si="1"/>
        <v>0.47</v>
      </c>
      <c r="I36" s="10">
        <f t="shared" si="2"/>
        <v>2E-3</v>
      </c>
      <c r="J36">
        <f t="shared" si="3"/>
        <v>-0.47</v>
      </c>
      <c r="P36">
        <v>4513</v>
      </c>
    </row>
    <row r="37" spans="1:16" x14ac:dyDescent="0.25">
      <c r="A37" t="s">
        <v>20</v>
      </c>
      <c r="B37" t="s">
        <v>36</v>
      </c>
      <c r="C37" s="9"/>
      <c r="D37" s="9"/>
      <c r="E37" s="9">
        <v>1776</v>
      </c>
      <c r="F37" s="9"/>
      <c r="G37" s="9">
        <f t="shared" si="0"/>
        <v>1776</v>
      </c>
      <c r="H37">
        <f t="shared" si="1"/>
        <v>0.35</v>
      </c>
      <c r="I37" s="10">
        <f t="shared" si="2"/>
        <v>1E-3</v>
      </c>
      <c r="J37">
        <f t="shared" si="3"/>
        <v>-0.82</v>
      </c>
      <c r="P37">
        <v>10000</v>
      </c>
    </row>
    <row r="38" spans="1:16" x14ac:dyDescent="0.25">
      <c r="A38" t="s">
        <v>20</v>
      </c>
      <c r="B38" t="s">
        <v>41</v>
      </c>
      <c r="C38" s="9"/>
      <c r="D38" s="9"/>
      <c r="E38" s="9">
        <v>5540</v>
      </c>
      <c r="F38" s="9"/>
      <c r="G38" s="9">
        <f t="shared" si="0"/>
        <v>5540</v>
      </c>
      <c r="H38">
        <f t="shared" si="1"/>
        <v>1.0900000000000001</v>
      </c>
      <c r="I38" s="10">
        <f t="shared" si="2"/>
        <v>4.0000000000000001E-3</v>
      </c>
      <c r="J38">
        <f t="shared" si="3"/>
        <v>-0.52</v>
      </c>
      <c r="P38">
        <v>11570</v>
      </c>
    </row>
    <row r="39" spans="1:16" x14ac:dyDescent="0.25">
      <c r="A39" t="s">
        <v>20</v>
      </c>
      <c r="B39" t="s">
        <v>37</v>
      </c>
      <c r="C39" s="9"/>
      <c r="D39" s="9"/>
      <c r="E39" s="9">
        <v>45950</v>
      </c>
      <c r="F39" s="9">
        <v>90</v>
      </c>
      <c r="G39" s="9">
        <f t="shared" si="0"/>
        <v>46040</v>
      </c>
      <c r="H39">
        <f t="shared" si="1"/>
        <v>9.0500000000000007</v>
      </c>
      <c r="I39" s="10">
        <f t="shared" si="2"/>
        <v>3.6999999999999998E-2</v>
      </c>
      <c r="J39">
        <f t="shared" si="3"/>
        <v>-0.4</v>
      </c>
      <c r="P39">
        <v>76305</v>
      </c>
    </row>
    <row r="40" spans="1:16" x14ac:dyDescent="0.25">
      <c r="A40" t="s">
        <v>20</v>
      </c>
      <c r="B40" t="s">
        <v>39</v>
      </c>
      <c r="C40" s="9"/>
      <c r="D40" s="9"/>
      <c r="E40" s="9">
        <v>8020</v>
      </c>
      <c r="F40" s="9">
        <v>10</v>
      </c>
      <c r="G40" s="9">
        <f t="shared" si="0"/>
        <v>8030</v>
      </c>
      <c r="H40">
        <f t="shared" si="1"/>
        <v>1.58</v>
      </c>
      <c r="I40" s="10">
        <f t="shared" si="2"/>
        <v>6.0000000000000001E-3</v>
      </c>
      <c r="J40">
        <f t="shared" si="3"/>
        <v>-0.69</v>
      </c>
      <c r="P40">
        <v>25590</v>
      </c>
    </row>
    <row r="41" spans="1:16" x14ac:dyDescent="0.25">
      <c r="A41" t="s">
        <v>20</v>
      </c>
      <c r="B41" t="s">
        <v>40</v>
      </c>
      <c r="C41" s="9">
        <v>115040</v>
      </c>
      <c r="D41" s="9"/>
      <c r="E41" s="9">
        <v>107210</v>
      </c>
      <c r="F41" s="9"/>
      <c r="G41" s="9">
        <f t="shared" si="0"/>
        <v>222250</v>
      </c>
      <c r="H41">
        <f t="shared" si="1"/>
        <v>43.66</v>
      </c>
      <c r="I41" s="10">
        <f t="shared" si="2"/>
        <v>0.17799999999999999</v>
      </c>
      <c r="J41">
        <f t="shared" si="3"/>
        <v>-0.45</v>
      </c>
      <c r="P41">
        <v>407100</v>
      </c>
    </row>
    <row r="42" spans="1:16" x14ac:dyDescent="0.25">
      <c r="A42" t="s">
        <v>20</v>
      </c>
      <c r="B42" t="s">
        <v>23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44</v>
      </c>
      <c r="B43" t="s">
        <v>45</v>
      </c>
      <c r="C43" s="9">
        <v>152200</v>
      </c>
      <c r="D43" s="9"/>
      <c r="E43" s="9"/>
      <c r="F43" s="9"/>
      <c r="G43" s="9">
        <f t="shared" si="0"/>
        <v>152200</v>
      </c>
      <c r="H43">
        <f t="shared" si="1"/>
        <v>29.9</v>
      </c>
      <c r="I43" s="10">
        <f t="shared" si="2"/>
        <v>0.122</v>
      </c>
      <c r="J43">
        <f>ROUND(G43/P43-1,2)</f>
        <v>-0.47</v>
      </c>
      <c r="P43">
        <v>288880</v>
      </c>
    </row>
    <row r="44" spans="1:16" x14ac:dyDescent="0.25">
      <c r="A44" t="s">
        <v>44</v>
      </c>
      <c r="B44" t="s">
        <v>47</v>
      </c>
      <c r="C44" s="9"/>
      <c r="D44" s="9"/>
      <c r="E44" s="9"/>
      <c r="F44" s="9">
        <v>32880</v>
      </c>
      <c r="G44" s="9">
        <f t="shared" si="0"/>
        <v>32880</v>
      </c>
      <c r="H44">
        <f t="shared" si="1"/>
        <v>6.46</v>
      </c>
      <c r="I44" s="10">
        <f t="shared" si="2"/>
        <v>2.5999999999999999E-2</v>
      </c>
      <c r="J44">
        <f>ROUND(G44/P44-1,2)</f>
        <v>-0.15</v>
      </c>
      <c r="P44">
        <v>38660</v>
      </c>
    </row>
    <row r="45" spans="1:16" x14ac:dyDescent="0.25">
      <c r="A45" t="s">
        <v>44</v>
      </c>
      <c r="B45" t="s">
        <v>46</v>
      </c>
      <c r="C45" s="9"/>
      <c r="D45" s="9"/>
      <c r="E45" s="9">
        <v>31740</v>
      </c>
      <c r="F45" s="9"/>
      <c r="G45" s="9">
        <f t="shared" si="0"/>
        <v>31740</v>
      </c>
      <c r="H45">
        <f t="shared" si="1"/>
        <v>6.24</v>
      </c>
      <c r="I45" s="10">
        <f t="shared" si="2"/>
        <v>2.5000000000000001E-2</v>
      </c>
      <c r="J45">
        <f>ROUND(G45/P45-1,2)</f>
        <v>-0.41</v>
      </c>
      <c r="P45">
        <v>53690</v>
      </c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SUM(C8:C45)</f>
        <v>681040</v>
      </c>
      <c r="D49" s="12">
        <f t="shared" si="4"/>
        <v>261843</v>
      </c>
      <c r="E49" s="12">
        <f t="shared" si="4"/>
        <v>274386</v>
      </c>
      <c r="F49" s="12">
        <f t="shared" si="4"/>
        <v>34285</v>
      </c>
      <c r="G49" s="12">
        <f t="shared" si="4"/>
        <v>1251554</v>
      </c>
      <c r="H49" s="11">
        <f t="shared" si="4"/>
        <v>245.89000000000013</v>
      </c>
      <c r="I49" s="4"/>
    </row>
    <row r="50" spans="1:10" x14ac:dyDescent="0.25">
      <c r="A50" s="11" t="s">
        <v>14</v>
      </c>
      <c r="C50" s="13">
        <f>ROUND(C49/G49,2)</f>
        <v>0.54</v>
      </c>
      <c r="D50" s="13">
        <f>ROUND(D49/G49,2)</f>
        <v>0.21</v>
      </c>
      <c r="E50" s="13">
        <f>ROUND(E49/G49,2)</f>
        <v>0.22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528840</v>
      </c>
      <c r="D54" s="15">
        <v>261843</v>
      </c>
      <c r="E54" s="15">
        <v>242646</v>
      </c>
      <c r="F54" s="15">
        <v>1041</v>
      </c>
      <c r="G54" s="15">
        <f>SUM(C54:F54)</f>
        <v>1034370</v>
      </c>
      <c r="H54" s="17">
        <f>ROUND(G54/5090,2)</f>
        <v>203.22</v>
      </c>
      <c r="I54" s="4"/>
      <c r="J54" s="4"/>
    </row>
    <row r="55" spans="1:10" x14ac:dyDescent="0.25">
      <c r="A55" s="33" t="s">
        <v>50</v>
      </c>
      <c r="B55" s="33"/>
      <c r="C55" s="15">
        <v>152200</v>
      </c>
      <c r="D55" s="15">
        <v>0</v>
      </c>
      <c r="E55" s="15">
        <v>31740</v>
      </c>
      <c r="F55" s="15">
        <v>32880</v>
      </c>
      <c r="G55" s="15">
        <f>SUM(C55:F55)</f>
        <v>216820</v>
      </c>
      <c r="H55" s="17">
        <f>ROUND(G55/5090,2)</f>
        <v>42.6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364</v>
      </c>
      <c r="G56" s="15">
        <f>SUM(C56:F56)</f>
        <v>364</v>
      </c>
      <c r="H56" s="17">
        <f>ROUND(G56/5090,2)</f>
        <v>7.0000000000000007E-2</v>
      </c>
      <c r="I56" s="4"/>
      <c r="J56" s="4"/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ROUND(0.84, 4)</f>
        <v>0.84</v>
      </c>
      <c r="D60" s="18">
        <f>ROUND(0.8556, 4)</f>
        <v>0.85560000000000003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ROUND(0.8097, 4)</f>
        <v>0.80969999999999998</v>
      </c>
      <c r="D61" s="18">
        <f>ROUND(0.8047, 4)</f>
        <v>0.80469999999999997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181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61.66</v>
      </c>
      <c r="D64" s="16">
        <v>57.65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72.31</v>
      </c>
      <c r="D65" s="16">
        <v>78.59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339.53</v>
      </c>
      <c r="D66" s="16">
        <v>359.06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84.07</v>
      </c>
      <c r="D67" s="16">
        <v>75.69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P82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1.7109375" hidden="1" customWidth="1"/>
  </cols>
  <sheetData>
    <row r="2" spans="1:16" ht="18.75" x14ac:dyDescent="0.3">
      <c r="A2" s="1" t="s">
        <v>0</v>
      </c>
      <c r="B2" s="8" t="s">
        <v>182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1973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56890</v>
      </c>
      <c r="D9" s="9"/>
      <c r="E9" s="9">
        <v>3271.14</v>
      </c>
      <c r="F9" s="9">
        <v>100</v>
      </c>
      <c r="G9" s="9">
        <f t="shared" ref="G9:G32" si="0">SUM(C9:F9)</f>
        <v>60261.14</v>
      </c>
      <c r="H9">
        <f t="shared" ref="H9:H32" si="1">ROUND(G9/1973,2)</f>
        <v>30.54</v>
      </c>
      <c r="I9" s="10">
        <f t="shared" ref="I9:I32" si="2">ROUND(G9/$G$49,3)</f>
        <v>9.0999999999999998E-2</v>
      </c>
      <c r="J9">
        <f>ROUND(G9/P9-1,2)</f>
        <v>-0.17</v>
      </c>
      <c r="P9">
        <v>72543.210000000006</v>
      </c>
    </row>
    <row r="10" spans="1:16" x14ac:dyDescent="0.25">
      <c r="A10" t="s">
        <v>20</v>
      </c>
      <c r="B10" t="s">
        <v>22</v>
      </c>
      <c r="C10" s="9">
        <v>86290</v>
      </c>
      <c r="D10" s="9"/>
      <c r="E10" s="9"/>
      <c r="F10" s="9"/>
      <c r="G10" s="9">
        <f t="shared" si="0"/>
        <v>86290</v>
      </c>
      <c r="H10">
        <f t="shared" si="1"/>
        <v>43.74</v>
      </c>
      <c r="I10" s="10">
        <f t="shared" si="2"/>
        <v>0.13100000000000001</v>
      </c>
      <c r="J10">
        <f>ROUND(G10/P10-1,2)</f>
        <v>0.02</v>
      </c>
      <c r="P10">
        <v>84345</v>
      </c>
    </row>
    <row r="11" spans="1:16" x14ac:dyDescent="0.25">
      <c r="A11" t="s">
        <v>20</v>
      </c>
      <c r="B11" t="s">
        <v>42</v>
      </c>
      <c r="C11" s="9"/>
      <c r="D11" s="9"/>
      <c r="E11" s="9">
        <v>88.98</v>
      </c>
      <c r="F11" s="9"/>
      <c r="G11" s="9">
        <f t="shared" si="0"/>
        <v>88.98</v>
      </c>
      <c r="H11">
        <f t="shared" si="1"/>
        <v>0.05</v>
      </c>
      <c r="I11" s="10">
        <f t="shared" si="2"/>
        <v>0</v>
      </c>
      <c r="J11">
        <f>ROUND(G11/P11-1,2)</f>
        <v>-0.66</v>
      </c>
      <c r="P11">
        <v>259.89</v>
      </c>
    </row>
    <row r="12" spans="1:16" x14ac:dyDescent="0.25">
      <c r="A12" t="s">
        <v>20</v>
      </c>
      <c r="B12" t="s">
        <v>23</v>
      </c>
      <c r="C12" s="9"/>
      <c r="D12" s="9"/>
      <c r="E12" s="9">
        <v>428.57</v>
      </c>
      <c r="F12" s="9"/>
      <c r="G12" s="9">
        <f t="shared" si="0"/>
        <v>428.57</v>
      </c>
      <c r="H12">
        <f t="shared" si="1"/>
        <v>0.22</v>
      </c>
      <c r="I12" s="10">
        <f t="shared" si="2"/>
        <v>1E-3</v>
      </c>
      <c r="P12">
        <v>0</v>
      </c>
    </row>
    <row r="13" spans="1:16" x14ac:dyDescent="0.25">
      <c r="A13" t="s">
        <v>20</v>
      </c>
      <c r="B13" t="s">
        <v>24</v>
      </c>
      <c r="C13" s="9"/>
      <c r="D13" s="9"/>
      <c r="E13" s="9">
        <v>31938.21</v>
      </c>
      <c r="F13" s="9"/>
      <c r="G13" s="9">
        <f t="shared" si="0"/>
        <v>31938.21</v>
      </c>
      <c r="H13">
        <f t="shared" si="1"/>
        <v>16.190000000000001</v>
      </c>
      <c r="I13" s="10">
        <f t="shared" si="2"/>
        <v>4.8000000000000001E-2</v>
      </c>
      <c r="J13">
        <f t="shared" ref="J13:J27" si="3">ROUND(G13/P13-1,2)</f>
        <v>-0.49</v>
      </c>
      <c r="P13">
        <v>62840.2</v>
      </c>
    </row>
    <row r="14" spans="1:16" x14ac:dyDescent="0.25">
      <c r="A14" t="s">
        <v>20</v>
      </c>
      <c r="B14" t="s">
        <v>25</v>
      </c>
      <c r="C14" s="9">
        <v>60950</v>
      </c>
      <c r="D14" s="9"/>
      <c r="E14" s="9">
        <v>11582.13</v>
      </c>
      <c r="F14" s="9">
        <v>330</v>
      </c>
      <c r="G14" s="9">
        <f t="shared" si="0"/>
        <v>72862.13</v>
      </c>
      <c r="H14">
        <f t="shared" si="1"/>
        <v>36.93</v>
      </c>
      <c r="I14" s="10">
        <f t="shared" si="2"/>
        <v>0.11</v>
      </c>
      <c r="J14">
        <f t="shared" si="3"/>
        <v>-0.28999999999999998</v>
      </c>
      <c r="P14">
        <v>102279.95</v>
      </c>
    </row>
    <row r="15" spans="1:16" x14ac:dyDescent="0.25">
      <c r="A15" t="s">
        <v>20</v>
      </c>
      <c r="B15" t="s">
        <v>26</v>
      </c>
      <c r="C15" s="9">
        <v>68290</v>
      </c>
      <c r="D15" s="9"/>
      <c r="E15" s="9"/>
      <c r="F15" s="9">
        <v>40</v>
      </c>
      <c r="G15" s="9">
        <f t="shared" si="0"/>
        <v>68330</v>
      </c>
      <c r="H15">
        <f t="shared" si="1"/>
        <v>34.630000000000003</v>
      </c>
      <c r="I15" s="10">
        <f t="shared" si="2"/>
        <v>0.104</v>
      </c>
      <c r="J15">
        <f t="shared" si="3"/>
        <v>-0.32</v>
      </c>
      <c r="P15">
        <v>100750</v>
      </c>
    </row>
    <row r="16" spans="1:16" x14ac:dyDescent="0.25">
      <c r="A16" t="s">
        <v>20</v>
      </c>
      <c r="B16" t="s">
        <v>29</v>
      </c>
      <c r="C16" s="9"/>
      <c r="D16" s="9"/>
      <c r="E16" s="9">
        <v>56.37</v>
      </c>
      <c r="F16" s="9"/>
      <c r="G16" s="9">
        <f t="shared" si="0"/>
        <v>56.37</v>
      </c>
      <c r="H16">
        <f t="shared" si="1"/>
        <v>0.03</v>
      </c>
      <c r="I16" s="10">
        <f t="shared" si="2"/>
        <v>0</v>
      </c>
      <c r="J16">
        <f t="shared" si="3"/>
        <v>0.99</v>
      </c>
      <c r="P16">
        <v>28.38</v>
      </c>
    </row>
    <row r="17" spans="1:16" x14ac:dyDescent="0.25">
      <c r="A17" t="s">
        <v>20</v>
      </c>
      <c r="B17" t="s">
        <v>30</v>
      </c>
      <c r="C17" s="9"/>
      <c r="D17" s="9"/>
      <c r="E17" s="9">
        <v>1710.66</v>
      </c>
      <c r="F17" s="9"/>
      <c r="G17" s="9">
        <f t="shared" si="0"/>
        <v>1710.66</v>
      </c>
      <c r="H17">
        <f t="shared" si="1"/>
        <v>0.87</v>
      </c>
      <c r="I17" s="10">
        <f t="shared" si="2"/>
        <v>3.0000000000000001E-3</v>
      </c>
      <c r="J17">
        <f t="shared" si="3"/>
        <v>-0.73</v>
      </c>
      <c r="P17">
        <v>6257.7</v>
      </c>
    </row>
    <row r="18" spans="1:16" x14ac:dyDescent="0.25">
      <c r="A18" t="s">
        <v>20</v>
      </c>
      <c r="B18" t="s">
        <v>31</v>
      </c>
      <c r="C18" s="9"/>
      <c r="D18" s="9"/>
      <c r="E18" s="9">
        <v>191.14</v>
      </c>
      <c r="F18" s="9"/>
      <c r="G18" s="9">
        <f t="shared" si="0"/>
        <v>191.14</v>
      </c>
      <c r="H18">
        <f t="shared" si="1"/>
        <v>0.1</v>
      </c>
      <c r="I18" s="10">
        <f t="shared" si="2"/>
        <v>0</v>
      </c>
      <c r="J18">
        <f t="shared" si="3"/>
        <v>-0.67</v>
      </c>
      <c r="P18">
        <v>584.42999999999995</v>
      </c>
    </row>
    <row r="19" spans="1:16" x14ac:dyDescent="0.25">
      <c r="A19" t="s">
        <v>20</v>
      </c>
      <c r="B19" t="s">
        <v>33</v>
      </c>
      <c r="C19" s="9"/>
      <c r="D19" s="9"/>
      <c r="E19" s="9">
        <v>650.75</v>
      </c>
      <c r="F19" s="9"/>
      <c r="G19" s="9">
        <f t="shared" si="0"/>
        <v>650.75</v>
      </c>
      <c r="H19">
        <f t="shared" si="1"/>
        <v>0.33</v>
      </c>
      <c r="I19" s="10">
        <f t="shared" si="2"/>
        <v>1E-3</v>
      </c>
      <c r="J19">
        <f t="shared" si="3"/>
        <v>-0.57999999999999996</v>
      </c>
      <c r="P19">
        <v>1566.19</v>
      </c>
    </row>
    <row r="20" spans="1:16" x14ac:dyDescent="0.25">
      <c r="A20" t="s">
        <v>20</v>
      </c>
      <c r="B20" t="s">
        <v>43</v>
      </c>
      <c r="C20" s="9"/>
      <c r="D20" s="9"/>
      <c r="E20" s="9">
        <v>60</v>
      </c>
      <c r="F20" s="9"/>
      <c r="G20" s="9">
        <f t="shared" si="0"/>
        <v>60</v>
      </c>
      <c r="H20">
        <f t="shared" si="1"/>
        <v>0.03</v>
      </c>
      <c r="I20" s="10">
        <f t="shared" si="2"/>
        <v>0</v>
      </c>
      <c r="J20">
        <f t="shared" si="3"/>
        <v>-0.64</v>
      </c>
      <c r="P20">
        <v>168.67</v>
      </c>
    </row>
    <row r="21" spans="1:16" x14ac:dyDescent="0.25">
      <c r="A21" t="s">
        <v>20</v>
      </c>
      <c r="B21" t="s">
        <v>35</v>
      </c>
      <c r="C21" s="9"/>
      <c r="D21" s="9"/>
      <c r="E21" s="9">
        <v>1155.1500000000001</v>
      </c>
      <c r="F21" s="9"/>
      <c r="G21" s="9">
        <f t="shared" si="0"/>
        <v>1155.1500000000001</v>
      </c>
      <c r="H21">
        <f t="shared" si="1"/>
        <v>0.59</v>
      </c>
      <c r="I21" s="10">
        <f t="shared" si="2"/>
        <v>2E-3</v>
      </c>
      <c r="J21">
        <f t="shared" si="3"/>
        <v>-0.77</v>
      </c>
      <c r="P21">
        <v>4987.68</v>
      </c>
    </row>
    <row r="22" spans="1:16" x14ac:dyDescent="0.25">
      <c r="A22" t="s">
        <v>20</v>
      </c>
      <c r="B22" t="s">
        <v>36</v>
      </c>
      <c r="C22" s="9"/>
      <c r="D22" s="9"/>
      <c r="E22" s="9">
        <v>2076.33</v>
      </c>
      <c r="F22" s="9"/>
      <c r="G22" s="9">
        <f t="shared" si="0"/>
        <v>2076.33</v>
      </c>
      <c r="H22">
        <f t="shared" si="1"/>
        <v>1.05</v>
      </c>
      <c r="I22" s="10">
        <f t="shared" si="2"/>
        <v>3.0000000000000001E-3</v>
      </c>
      <c r="J22">
        <f t="shared" si="3"/>
        <v>-0.79</v>
      </c>
      <c r="P22">
        <v>9850.7000000000007</v>
      </c>
    </row>
    <row r="23" spans="1:16" x14ac:dyDescent="0.25">
      <c r="A23" t="s">
        <v>20</v>
      </c>
      <c r="B23" t="s">
        <v>37</v>
      </c>
      <c r="C23" s="9"/>
      <c r="D23" s="9"/>
      <c r="E23" s="9">
        <v>34948.57</v>
      </c>
      <c r="F23" s="9"/>
      <c r="G23" s="9">
        <f t="shared" si="0"/>
        <v>34948.57</v>
      </c>
      <c r="H23">
        <f t="shared" si="1"/>
        <v>17.71</v>
      </c>
      <c r="I23" s="10">
        <f t="shared" si="2"/>
        <v>5.2999999999999999E-2</v>
      </c>
      <c r="J23">
        <f t="shared" si="3"/>
        <v>-0.38</v>
      </c>
      <c r="P23">
        <v>56175.81</v>
      </c>
    </row>
    <row r="24" spans="1:16" x14ac:dyDescent="0.25">
      <c r="A24" t="s">
        <v>20</v>
      </c>
      <c r="B24" t="s">
        <v>38</v>
      </c>
      <c r="C24" s="9"/>
      <c r="D24" s="9"/>
      <c r="E24" s="9">
        <v>2134.84</v>
      </c>
      <c r="F24" s="9"/>
      <c r="G24" s="9">
        <f t="shared" si="0"/>
        <v>2134.84</v>
      </c>
      <c r="H24">
        <f t="shared" si="1"/>
        <v>1.08</v>
      </c>
      <c r="I24" s="10">
        <f t="shared" si="2"/>
        <v>3.0000000000000001E-3</v>
      </c>
      <c r="J24">
        <f t="shared" si="3"/>
        <v>-0.53</v>
      </c>
      <c r="P24">
        <v>4502.9799999999996</v>
      </c>
    </row>
    <row r="25" spans="1:16" x14ac:dyDescent="0.25">
      <c r="A25" t="s">
        <v>20</v>
      </c>
      <c r="B25" t="s">
        <v>39</v>
      </c>
      <c r="C25" s="9"/>
      <c r="D25" s="9"/>
      <c r="E25" s="9">
        <v>8106.69</v>
      </c>
      <c r="F25" s="9"/>
      <c r="G25" s="9">
        <f t="shared" si="0"/>
        <v>8106.69</v>
      </c>
      <c r="H25">
        <f t="shared" si="1"/>
        <v>4.1100000000000003</v>
      </c>
      <c r="I25" s="10">
        <f t="shared" si="2"/>
        <v>1.2E-2</v>
      </c>
      <c r="J25">
        <f t="shared" si="3"/>
        <v>-0.55000000000000004</v>
      </c>
      <c r="P25">
        <v>17852.55</v>
      </c>
    </row>
    <row r="26" spans="1:16" x14ac:dyDescent="0.25">
      <c r="A26" t="s">
        <v>20</v>
      </c>
      <c r="B26" t="s">
        <v>40</v>
      </c>
      <c r="C26" s="9"/>
      <c r="D26" s="9"/>
      <c r="E26" s="9">
        <v>8801.51</v>
      </c>
      <c r="F26" s="9"/>
      <c r="G26" s="9">
        <f t="shared" si="0"/>
        <v>8801.51</v>
      </c>
      <c r="H26">
        <f t="shared" si="1"/>
        <v>4.46</v>
      </c>
      <c r="I26" s="10">
        <f t="shared" si="2"/>
        <v>1.2999999999999999E-2</v>
      </c>
      <c r="J26">
        <f t="shared" si="3"/>
        <v>-0.44</v>
      </c>
      <c r="P26">
        <v>15799.15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J27">
        <f t="shared" si="3"/>
        <v>-1</v>
      </c>
      <c r="P27">
        <v>182.33</v>
      </c>
    </row>
    <row r="28" spans="1:16" x14ac:dyDescent="0.25">
      <c r="A28" t="s">
        <v>20</v>
      </c>
      <c r="B28" t="s">
        <v>32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263070</v>
      </c>
      <c r="D29" s="9"/>
      <c r="E29" s="9"/>
      <c r="F29" s="9">
        <v>1380</v>
      </c>
      <c r="G29" s="9">
        <f t="shared" si="0"/>
        <v>264450</v>
      </c>
      <c r="H29">
        <f t="shared" si="1"/>
        <v>134.03</v>
      </c>
      <c r="I29" s="10">
        <f t="shared" si="2"/>
        <v>0.40100000000000002</v>
      </c>
      <c r="J29">
        <f>ROUND(G29/P29-1,2)</f>
        <v>7.0000000000000007E-2</v>
      </c>
      <c r="P29">
        <v>246110</v>
      </c>
    </row>
    <row r="30" spans="1:16" x14ac:dyDescent="0.25">
      <c r="A30" t="s">
        <v>44</v>
      </c>
      <c r="B30" t="s">
        <v>46</v>
      </c>
      <c r="C30" s="9"/>
      <c r="D30" s="9"/>
      <c r="E30" s="9">
        <v>15493.21</v>
      </c>
      <c r="F30" s="9"/>
      <c r="G30" s="9">
        <f t="shared" si="0"/>
        <v>15493.21</v>
      </c>
      <c r="H30">
        <f t="shared" si="1"/>
        <v>7.85</v>
      </c>
      <c r="I30" s="10">
        <f t="shared" si="2"/>
        <v>2.3E-2</v>
      </c>
      <c r="J30">
        <f>ROUND(G30/P30-1,2)</f>
        <v>-0.6</v>
      </c>
      <c r="P30">
        <v>38317.410000000003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535490</v>
      </c>
      <c r="D49" s="12">
        <f t="shared" si="4"/>
        <v>0</v>
      </c>
      <c r="E49" s="12">
        <f t="shared" si="4"/>
        <v>122694.25</v>
      </c>
      <c r="F49" s="12">
        <f t="shared" si="4"/>
        <v>1850</v>
      </c>
      <c r="G49" s="12">
        <f t="shared" si="4"/>
        <v>660034.25</v>
      </c>
      <c r="H49" s="11">
        <f t="shared" si="4"/>
        <v>334.54000000000008</v>
      </c>
      <c r="I49" s="4"/>
    </row>
    <row r="50" spans="1:10" x14ac:dyDescent="0.25">
      <c r="A50" s="11" t="s">
        <v>14</v>
      </c>
      <c r="C50" s="13">
        <f>ROUND(C49/G49,2)</f>
        <v>0.81</v>
      </c>
      <c r="D50" s="13">
        <f>ROUND(D49/G49,2)</f>
        <v>0</v>
      </c>
      <c r="E50" s="13">
        <f>ROUND(E49/G49,2)</f>
        <v>0.19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272420</v>
      </c>
      <c r="D54" s="15">
        <v>0</v>
      </c>
      <c r="E54" s="15">
        <v>107201.04</v>
      </c>
      <c r="F54" s="15">
        <v>470</v>
      </c>
      <c r="G54" s="15">
        <f>SUM(C54:F54)</f>
        <v>380091.04</v>
      </c>
      <c r="H54" s="17">
        <f>ROUND(G54/1973,2)</f>
        <v>192.65</v>
      </c>
      <c r="I54" s="4"/>
      <c r="J54" s="4"/>
    </row>
    <row r="55" spans="1:10" x14ac:dyDescent="0.25">
      <c r="A55" s="33" t="s">
        <v>50</v>
      </c>
      <c r="B55" s="33"/>
      <c r="C55" s="15">
        <v>263070</v>
      </c>
      <c r="D55" s="15">
        <v>0</v>
      </c>
      <c r="E55" s="15">
        <v>15493.21</v>
      </c>
      <c r="F55" s="15">
        <v>1380</v>
      </c>
      <c r="G55" s="15">
        <f>SUM(C55:F55)</f>
        <v>279943.21000000002</v>
      </c>
      <c r="H55" s="17">
        <f>ROUND(G55/1973,2)</f>
        <v>141.88999999999999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ROUND(G56/1973,2)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ROUND(0.576, 4)</f>
        <v>0.57599999999999996</v>
      </c>
      <c r="D60" s="19">
        <f>ROUND(0.6719, 4)</f>
        <v>0.67190000000000005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ROUND(0.5403, 4)</f>
        <v>0.5403</v>
      </c>
      <c r="D61" s="19">
        <f>ROUND(0.6365, 4)</f>
        <v>0.63649999999999995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183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134.03</v>
      </c>
      <c r="D64" s="17">
        <v>130.82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34.630000000000003</v>
      </c>
      <c r="D65" s="17">
        <v>49.48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192.65</v>
      </c>
      <c r="D66" s="17">
        <v>264.55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141.88999999999999</v>
      </c>
      <c r="D67" s="17">
        <v>148.07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  <row r="80" spans="1:10" x14ac:dyDescent="0.25">
      <c r="C80" s="3"/>
      <c r="D80" s="3"/>
      <c r="E80" s="3"/>
      <c r="F80" s="3"/>
      <c r="G80" s="3"/>
      <c r="H80" s="3"/>
      <c r="I80" s="4"/>
      <c r="J80" s="4"/>
    </row>
    <row r="81" spans="3:10" x14ac:dyDescent="0.25">
      <c r="C81" s="3"/>
      <c r="D81" s="3"/>
      <c r="E81" s="3"/>
      <c r="F81" s="3"/>
      <c r="G81" s="3"/>
      <c r="H81" s="3"/>
      <c r="I81" s="4"/>
      <c r="J81" s="4"/>
    </row>
    <row r="82" spans="3:10" x14ac:dyDescent="0.25">
      <c r="C82" s="3"/>
      <c r="D82" s="3"/>
      <c r="E82" s="3"/>
      <c r="F82" s="3"/>
      <c r="G82" s="3"/>
      <c r="H82" s="3"/>
      <c r="I82" s="4"/>
      <c r="J82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33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184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9252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10</v>
      </c>
      <c r="G9" s="9">
        <f t="shared" ref="G9:G47" si="0">SUM(C9:F9)</f>
        <v>10</v>
      </c>
      <c r="H9">
        <f t="shared" ref="H9:H47" si="1">ROUND(G9/9252,2)</f>
        <v>0</v>
      </c>
      <c r="I9" s="10">
        <f t="shared" ref="I9:I47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871</v>
      </c>
      <c r="G10" s="9">
        <f t="shared" si="0"/>
        <v>871</v>
      </c>
      <c r="H10">
        <f t="shared" si="1"/>
        <v>0.09</v>
      </c>
      <c r="I10" s="10">
        <f t="shared" si="2"/>
        <v>0</v>
      </c>
      <c r="J10">
        <f>ROUND(G10/P10-1,2)</f>
        <v>6.26</v>
      </c>
      <c r="P10">
        <v>120</v>
      </c>
    </row>
    <row r="11" spans="1:16" x14ac:dyDescent="0.25">
      <c r="A11" t="s">
        <v>16</v>
      </c>
      <c r="B11" t="s">
        <v>66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19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J12">
        <f t="shared" ref="J12:J18" si="3">ROUND(G12/P12-1,2)</f>
        <v>-1</v>
      </c>
      <c r="P12">
        <v>27</v>
      </c>
    </row>
    <row r="13" spans="1:16" x14ac:dyDescent="0.25">
      <c r="A13" t="s">
        <v>20</v>
      </c>
      <c r="B13" t="s">
        <v>67</v>
      </c>
      <c r="C13" s="9"/>
      <c r="D13" s="9"/>
      <c r="E13" s="9">
        <v>149</v>
      </c>
      <c r="F13" s="9"/>
      <c r="G13" s="9">
        <f t="shared" si="0"/>
        <v>149</v>
      </c>
      <c r="H13">
        <f t="shared" si="1"/>
        <v>0.02</v>
      </c>
      <c r="I13" s="10">
        <f t="shared" si="2"/>
        <v>0</v>
      </c>
      <c r="J13">
        <f t="shared" si="3"/>
        <v>0.1</v>
      </c>
      <c r="P13">
        <v>135</v>
      </c>
    </row>
    <row r="14" spans="1:16" x14ac:dyDescent="0.25">
      <c r="A14" t="s">
        <v>20</v>
      </c>
      <c r="B14" t="s">
        <v>21</v>
      </c>
      <c r="C14" s="9">
        <v>261160</v>
      </c>
      <c r="D14" s="9"/>
      <c r="E14" s="9">
        <v>14885</v>
      </c>
      <c r="F14" s="9"/>
      <c r="G14" s="9">
        <f t="shared" si="0"/>
        <v>276045</v>
      </c>
      <c r="H14">
        <f t="shared" si="1"/>
        <v>29.84</v>
      </c>
      <c r="I14" s="10">
        <f t="shared" si="2"/>
        <v>7.5999999999999998E-2</v>
      </c>
      <c r="J14">
        <f t="shared" si="3"/>
        <v>0.03</v>
      </c>
      <c r="P14">
        <v>268610</v>
      </c>
    </row>
    <row r="15" spans="1:16" x14ac:dyDescent="0.25">
      <c r="A15" t="s">
        <v>20</v>
      </c>
      <c r="B15" t="s">
        <v>22</v>
      </c>
      <c r="C15" s="9">
        <v>312230</v>
      </c>
      <c r="D15" s="9"/>
      <c r="E15" s="9"/>
      <c r="F15" s="9"/>
      <c r="G15" s="9">
        <f t="shared" si="0"/>
        <v>312230</v>
      </c>
      <c r="H15">
        <f t="shared" si="1"/>
        <v>33.75</v>
      </c>
      <c r="I15" s="10">
        <f t="shared" si="2"/>
        <v>8.5999999999999993E-2</v>
      </c>
      <c r="J15">
        <f t="shared" si="3"/>
        <v>-0.1</v>
      </c>
      <c r="P15">
        <v>346960</v>
      </c>
    </row>
    <row r="16" spans="1:16" x14ac:dyDescent="0.25">
      <c r="A16" t="s">
        <v>20</v>
      </c>
      <c r="B16" t="s">
        <v>79</v>
      </c>
      <c r="C16" s="9"/>
      <c r="D16" s="9"/>
      <c r="E16" s="9">
        <v>105</v>
      </c>
      <c r="F16" s="9"/>
      <c r="G16" s="9">
        <f t="shared" si="0"/>
        <v>105</v>
      </c>
      <c r="H16">
        <f t="shared" si="1"/>
        <v>0.01</v>
      </c>
      <c r="I16" s="10">
        <f t="shared" si="2"/>
        <v>0</v>
      </c>
      <c r="J16">
        <f t="shared" si="3"/>
        <v>0.11</v>
      </c>
      <c r="P16">
        <v>95</v>
      </c>
    </row>
    <row r="17" spans="1:16" x14ac:dyDescent="0.25">
      <c r="A17" t="s">
        <v>20</v>
      </c>
      <c r="B17" t="s">
        <v>42</v>
      </c>
      <c r="C17" s="9"/>
      <c r="D17" s="9"/>
      <c r="E17" s="9">
        <v>360</v>
      </c>
      <c r="F17" s="9"/>
      <c r="G17" s="9">
        <f t="shared" si="0"/>
        <v>360</v>
      </c>
      <c r="H17">
        <f t="shared" si="1"/>
        <v>0.04</v>
      </c>
      <c r="I17" s="10">
        <f t="shared" si="2"/>
        <v>0</v>
      </c>
      <c r="J17">
        <f t="shared" si="3"/>
        <v>-0.12</v>
      </c>
      <c r="P17">
        <v>408</v>
      </c>
    </row>
    <row r="18" spans="1:16" x14ac:dyDescent="0.25">
      <c r="A18" t="s">
        <v>20</v>
      </c>
      <c r="B18" t="s">
        <v>23</v>
      </c>
      <c r="C18" s="9"/>
      <c r="D18" s="9"/>
      <c r="E18" s="9">
        <v>3300</v>
      </c>
      <c r="F18" s="9"/>
      <c r="G18" s="9">
        <f t="shared" si="0"/>
        <v>3300</v>
      </c>
      <c r="H18">
        <f t="shared" si="1"/>
        <v>0.36</v>
      </c>
      <c r="I18" s="10">
        <f t="shared" si="2"/>
        <v>1E-3</v>
      </c>
      <c r="J18">
        <f t="shared" si="3"/>
        <v>-0.04</v>
      </c>
      <c r="P18">
        <v>3440</v>
      </c>
    </row>
    <row r="19" spans="1:16" x14ac:dyDescent="0.25">
      <c r="A19" t="s">
        <v>20</v>
      </c>
      <c r="B19" t="s">
        <v>185</v>
      </c>
      <c r="C19" s="9"/>
      <c r="D19" s="9"/>
      <c r="E19" s="9"/>
      <c r="F19" s="9">
        <v>200</v>
      </c>
      <c r="G19" s="9">
        <f t="shared" si="0"/>
        <v>200</v>
      </c>
      <c r="H19">
        <f t="shared" si="1"/>
        <v>0.02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186</v>
      </c>
      <c r="C20" s="9"/>
      <c r="D20" s="9"/>
      <c r="E20" s="9"/>
      <c r="F20" s="9">
        <v>836</v>
      </c>
      <c r="G20" s="9">
        <f t="shared" si="0"/>
        <v>836</v>
      </c>
      <c r="H20">
        <f t="shared" si="1"/>
        <v>0.09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80</v>
      </c>
      <c r="C21" s="9"/>
      <c r="D21" s="9"/>
      <c r="E21" s="9"/>
      <c r="F21" s="9">
        <v>645</v>
      </c>
      <c r="G21" s="9">
        <f t="shared" si="0"/>
        <v>645</v>
      </c>
      <c r="H21">
        <f t="shared" si="1"/>
        <v>7.0000000000000007E-2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24</v>
      </c>
      <c r="C22" s="9"/>
      <c r="D22" s="9"/>
      <c r="E22" s="9">
        <v>186520</v>
      </c>
      <c r="F22" s="9"/>
      <c r="G22" s="9">
        <f t="shared" si="0"/>
        <v>186520</v>
      </c>
      <c r="H22">
        <f t="shared" si="1"/>
        <v>20.16</v>
      </c>
      <c r="I22" s="10">
        <f t="shared" si="2"/>
        <v>5.0999999999999997E-2</v>
      </c>
      <c r="J22">
        <f t="shared" ref="J22:J43" si="4">ROUND(G22/P22-1,2)</f>
        <v>0.18</v>
      </c>
      <c r="P22">
        <v>158180</v>
      </c>
    </row>
    <row r="23" spans="1:16" x14ac:dyDescent="0.25">
      <c r="A23" t="s">
        <v>20</v>
      </c>
      <c r="B23" t="s">
        <v>25</v>
      </c>
      <c r="C23" s="9">
        <v>421840</v>
      </c>
      <c r="D23" s="9"/>
      <c r="E23" s="9">
        <v>64695</v>
      </c>
      <c r="F23" s="9"/>
      <c r="G23" s="9">
        <f t="shared" si="0"/>
        <v>486535</v>
      </c>
      <c r="H23">
        <f t="shared" si="1"/>
        <v>52.59</v>
      </c>
      <c r="I23" s="10">
        <f t="shared" si="2"/>
        <v>0.13300000000000001</v>
      </c>
      <c r="J23">
        <f t="shared" si="4"/>
        <v>0</v>
      </c>
      <c r="P23">
        <v>485520</v>
      </c>
    </row>
    <row r="24" spans="1:16" x14ac:dyDescent="0.25">
      <c r="A24" t="s">
        <v>20</v>
      </c>
      <c r="B24" t="s">
        <v>69</v>
      </c>
      <c r="C24" s="9"/>
      <c r="D24" s="9"/>
      <c r="E24" s="9">
        <v>14095</v>
      </c>
      <c r="F24" s="9"/>
      <c r="G24" s="9">
        <f t="shared" si="0"/>
        <v>14095</v>
      </c>
      <c r="H24">
        <f t="shared" si="1"/>
        <v>1.52</v>
      </c>
      <c r="I24" s="10">
        <f t="shared" si="2"/>
        <v>4.0000000000000001E-3</v>
      </c>
      <c r="J24">
        <f t="shared" si="4"/>
        <v>0.01</v>
      </c>
      <c r="P24">
        <v>13890</v>
      </c>
    </row>
    <row r="25" spans="1:16" x14ac:dyDescent="0.25">
      <c r="A25" t="s">
        <v>20</v>
      </c>
      <c r="B25" t="s">
        <v>26</v>
      </c>
      <c r="C25" s="9">
        <v>631920</v>
      </c>
      <c r="D25" s="9"/>
      <c r="E25" s="9"/>
      <c r="F25" s="9">
        <v>940</v>
      </c>
      <c r="G25" s="9">
        <f t="shared" si="0"/>
        <v>632860</v>
      </c>
      <c r="H25">
        <f t="shared" si="1"/>
        <v>68.400000000000006</v>
      </c>
      <c r="I25" s="10">
        <f t="shared" si="2"/>
        <v>0.17399999999999999</v>
      </c>
      <c r="J25">
        <f t="shared" si="4"/>
        <v>0.01</v>
      </c>
      <c r="P25">
        <v>628840</v>
      </c>
    </row>
    <row r="26" spans="1:16" x14ac:dyDescent="0.25">
      <c r="A26" t="s">
        <v>20</v>
      </c>
      <c r="B26" t="s">
        <v>27</v>
      </c>
      <c r="C26" s="9"/>
      <c r="D26" s="9"/>
      <c r="E26" s="9">
        <v>1883</v>
      </c>
      <c r="F26" s="9"/>
      <c r="G26" s="9">
        <f t="shared" si="0"/>
        <v>1883</v>
      </c>
      <c r="H26">
        <f t="shared" si="1"/>
        <v>0.2</v>
      </c>
      <c r="I26" s="10">
        <f t="shared" si="2"/>
        <v>1E-3</v>
      </c>
      <c r="J26">
        <f t="shared" si="4"/>
        <v>-0.4</v>
      </c>
      <c r="P26">
        <v>3130</v>
      </c>
    </row>
    <row r="27" spans="1:16" x14ac:dyDescent="0.25">
      <c r="A27" t="s">
        <v>20</v>
      </c>
      <c r="B27" t="s">
        <v>28</v>
      </c>
      <c r="C27" s="9"/>
      <c r="D27" s="9"/>
      <c r="E27" s="9">
        <v>1906</v>
      </c>
      <c r="F27" s="9"/>
      <c r="G27" s="9">
        <f t="shared" si="0"/>
        <v>1906</v>
      </c>
      <c r="H27">
        <f t="shared" si="1"/>
        <v>0.21</v>
      </c>
      <c r="I27" s="10">
        <f t="shared" si="2"/>
        <v>1E-3</v>
      </c>
      <c r="J27">
        <f t="shared" si="4"/>
        <v>1.51</v>
      </c>
      <c r="P27">
        <v>760</v>
      </c>
    </row>
    <row r="28" spans="1:16" x14ac:dyDescent="0.25">
      <c r="A28" t="s">
        <v>20</v>
      </c>
      <c r="B28" t="s">
        <v>29</v>
      </c>
      <c r="C28" s="9"/>
      <c r="D28" s="9"/>
      <c r="E28" s="9">
        <v>436</v>
      </c>
      <c r="F28" s="9"/>
      <c r="G28" s="9">
        <f t="shared" si="0"/>
        <v>436</v>
      </c>
      <c r="H28">
        <f t="shared" si="1"/>
        <v>0.05</v>
      </c>
      <c r="I28" s="10">
        <f t="shared" si="2"/>
        <v>0</v>
      </c>
      <c r="J28">
        <f t="shared" si="4"/>
        <v>5.23</v>
      </c>
      <c r="P28">
        <v>70</v>
      </c>
    </row>
    <row r="29" spans="1:16" x14ac:dyDescent="0.25">
      <c r="A29" t="s">
        <v>20</v>
      </c>
      <c r="B29" t="s">
        <v>30</v>
      </c>
      <c r="C29" s="9"/>
      <c r="D29" s="9"/>
      <c r="E29" s="9">
        <v>8709</v>
      </c>
      <c r="F29" s="9"/>
      <c r="G29" s="9">
        <f t="shared" si="0"/>
        <v>8709</v>
      </c>
      <c r="H29">
        <f t="shared" si="1"/>
        <v>0.94</v>
      </c>
      <c r="I29" s="10">
        <f t="shared" si="2"/>
        <v>2E-3</v>
      </c>
      <c r="J29">
        <f t="shared" si="4"/>
        <v>0.09</v>
      </c>
      <c r="P29">
        <v>7960</v>
      </c>
    </row>
    <row r="30" spans="1:16" x14ac:dyDescent="0.25">
      <c r="A30" t="s">
        <v>20</v>
      </c>
      <c r="B30" t="s">
        <v>31</v>
      </c>
      <c r="C30" s="9"/>
      <c r="D30" s="9"/>
      <c r="E30" s="9">
        <v>3180</v>
      </c>
      <c r="F30" s="9"/>
      <c r="G30" s="9">
        <f t="shared" si="0"/>
        <v>3180</v>
      </c>
      <c r="H30">
        <f t="shared" si="1"/>
        <v>0.34</v>
      </c>
      <c r="I30" s="10">
        <f t="shared" si="2"/>
        <v>1E-3</v>
      </c>
      <c r="J30">
        <f t="shared" si="4"/>
        <v>0.05</v>
      </c>
      <c r="P30">
        <v>3030</v>
      </c>
    </row>
    <row r="31" spans="1:16" x14ac:dyDescent="0.25">
      <c r="A31" t="s">
        <v>20</v>
      </c>
      <c r="B31" t="s">
        <v>32</v>
      </c>
      <c r="C31" s="9"/>
      <c r="D31" s="9"/>
      <c r="E31" s="9">
        <v>840</v>
      </c>
      <c r="F31" s="9"/>
      <c r="G31" s="9">
        <f t="shared" si="0"/>
        <v>840</v>
      </c>
      <c r="H31">
        <f t="shared" si="1"/>
        <v>0.09</v>
      </c>
      <c r="I31" s="10">
        <f t="shared" si="2"/>
        <v>0</v>
      </c>
      <c r="J31">
        <f t="shared" si="4"/>
        <v>-0.24</v>
      </c>
      <c r="P31">
        <v>1100</v>
      </c>
    </row>
    <row r="32" spans="1:16" x14ac:dyDescent="0.25">
      <c r="A32" t="s">
        <v>20</v>
      </c>
      <c r="B32" t="s">
        <v>33</v>
      </c>
      <c r="C32" s="9"/>
      <c r="D32" s="9"/>
      <c r="E32" s="9">
        <v>4680</v>
      </c>
      <c r="F32" s="9"/>
      <c r="G32" s="9">
        <f t="shared" si="0"/>
        <v>4680</v>
      </c>
      <c r="H32">
        <f t="shared" si="1"/>
        <v>0.51</v>
      </c>
      <c r="I32" s="10">
        <f t="shared" si="2"/>
        <v>1E-3</v>
      </c>
      <c r="J32">
        <f t="shared" si="4"/>
        <v>0.21</v>
      </c>
      <c r="P32">
        <v>3860</v>
      </c>
    </row>
    <row r="33" spans="1:16" x14ac:dyDescent="0.25">
      <c r="A33" t="s">
        <v>20</v>
      </c>
      <c r="B33" t="s">
        <v>43</v>
      </c>
      <c r="C33" s="9"/>
      <c r="D33" s="9">
        <v>991</v>
      </c>
      <c r="E33" s="9"/>
      <c r="F33" s="9"/>
      <c r="G33" s="9">
        <f t="shared" si="0"/>
        <v>991</v>
      </c>
      <c r="H33">
        <f t="shared" si="1"/>
        <v>0.11</v>
      </c>
      <c r="I33" s="10">
        <f t="shared" si="2"/>
        <v>0</v>
      </c>
      <c r="J33">
        <f t="shared" si="4"/>
        <v>0.06</v>
      </c>
      <c r="P33">
        <v>939</v>
      </c>
    </row>
    <row r="34" spans="1:16" x14ac:dyDescent="0.25">
      <c r="A34" t="s">
        <v>20</v>
      </c>
      <c r="B34" t="s">
        <v>34</v>
      </c>
      <c r="C34" s="9"/>
      <c r="D34" s="9"/>
      <c r="E34" s="9">
        <v>996</v>
      </c>
      <c r="F34" s="9"/>
      <c r="G34" s="9">
        <f t="shared" si="0"/>
        <v>996</v>
      </c>
      <c r="H34">
        <f t="shared" si="1"/>
        <v>0.11</v>
      </c>
      <c r="I34" s="10">
        <f t="shared" si="2"/>
        <v>0</v>
      </c>
      <c r="J34">
        <f t="shared" si="4"/>
        <v>1.1499999999999999</v>
      </c>
      <c r="P34">
        <v>463</v>
      </c>
    </row>
    <row r="35" spans="1:16" x14ac:dyDescent="0.25">
      <c r="A35" t="s">
        <v>20</v>
      </c>
      <c r="B35" t="s">
        <v>70</v>
      </c>
      <c r="C35" s="9"/>
      <c r="D35" s="9"/>
      <c r="E35" s="9">
        <v>460</v>
      </c>
      <c r="F35" s="9"/>
      <c r="G35" s="9">
        <f t="shared" si="0"/>
        <v>460</v>
      </c>
      <c r="H35">
        <f t="shared" si="1"/>
        <v>0.05</v>
      </c>
      <c r="I35" s="10">
        <f t="shared" si="2"/>
        <v>0</v>
      </c>
      <c r="J35">
        <f t="shared" si="4"/>
        <v>7.0000000000000007E-2</v>
      </c>
      <c r="P35">
        <v>430</v>
      </c>
    </row>
    <row r="36" spans="1:16" x14ac:dyDescent="0.25">
      <c r="A36" t="s">
        <v>20</v>
      </c>
      <c r="B36" t="s">
        <v>35</v>
      </c>
      <c r="C36" s="9"/>
      <c r="D36" s="9"/>
      <c r="E36" s="9">
        <v>5643</v>
      </c>
      <c r="F36" s="9"/>
      <c r="G36" s="9">
        <f t="shared" si="0"/>
        <v>5643</v>
      </c>
      <c r="H36">
        <f t="shared" si="1"/>
        <v>0.61</v>
      </c>
      <c r="I36" s="10">
        <f t="shared" si="2"/>
        <v>2E-3</v>
      </c>
      <c r="J36">
        <f t="shared" si="4"/>
        <v>-0.21</v>
      </c>
      <c r="P36">
        <v>7183</v>
      </c>
    </row>
    <row r="37" spans="1:16" x14ac:dyDescent="0.25">
      <c r="A37" t="s">
        <v>20</v>
      </c>
      <c r="B37" t="s">
        <v>41</v>
      </c>
      <c r="C37" s="9"/>
      <c r="D37" s="9"/>
      <c r="E37" s="9">
        <v>21807</v>
      </c>
      <c r="F37" s="9"/>
      <c r="G37" s="9">
        <f t="shared" si="0"/>
        <v>21807</v>
      </c>
      <c r="H37">
        <f t="shared" si="1"/>
        <v>2.36</v>
      </c>
      <c r="I37" s="10">
        <f t="shared" si="2"/>
        <v>6.0000000000000001E-3</v>
      </c>
      <c r="J37">
        <f t="shared" si="4"/>
        <v>0.41</v>
      </c>
      <c r="P37">
        <v>15457</v>
      </c>
    </row>
    <row r="38" spans="1:16" x14ac:dyDescent="0.25">
      <c r="A38" t="s">
        <v>20</v>
      </c>
      <c r="B38" t="s">
        <v>36</v>
      </c>
      <c r="C38" s="9"/>
      <c r="D38" s="9"/>
      <c r="E38" s="9">
        <v>10400</v>
      </c>
      <c r="F38" s="9"/>
      <c r="G38" s="9">
        <f t="shared" si="0"/>
        <v>10400</v>
      </c>
      <c r="H38">
        <f t="shared" si="1"/>
        <v>1.1200000000000001</v>
      </c>
      <c r="I38" s="10">
        <f t="shared" si="2"/>
        <v>3.0000000000000001E-3</v>
      </c>
      <c r="J38">
        <f t="shared" si="4"/>
        <v>-0.37</v>
      </c>
      <c r="P38">
        <v>16563</v>
      </c>
    </row>
    <row r="39" spans="1:16" x14ac:dyDescent="0.25">
      <c r="A39" t="s">
        <v>20</v>
      </c>
      <c r="B39" t="s">
        <v>37</v>
      </c>
      <c r="C39" s="9"/>
      <c r="D39" s="9"/>
      <c r="E39" s="9">
        <v>197595</v>
      </c>
      <c r="F39" s="9">
        <v>180</v>
      </c>
      <c r="G39" s="9">
        <f t="shared" si="0"/>
        <v>197775</v>
      </c>
      <c r="H39">
        <f t="shared" si="1"/>
        <v>21.38</v>
      </c>
      <c r="I39" s="10">
        <f t="shared" si="2"/>
        <v>5.3999999999999999E-2</v>
      </c>
      <c r="J39">
        <f t="shared" si="4"/>
        <v>-0.01</v>
      </c>
      <c r="P39">
        <v>199980</v>
      </c>
    </row>
    <row r="40" spans="1:16" x14ac:dyDescent="0.25">
      <c r="A40" t="s">
        <v>20</v>
      </c>
      <c r="B40" t="s">
        <v>38</v>
      </c>
      <c r="C40" s="9"/>
      <c r="D40" s="9"/>
      <c r="E40" s="9">
        <v>7930</v>
      </c>
      <c r="F40" s="9"/>
      <c r="G40" s="9">
        <f t="shared" si="0"/>
        <v>7930</v>
      </c>
      <c r="H40">
        <f t="shared" si="1"/>
        <v>0.86</v>
      </c>
      <c r="I40" s="10">
        <f t="shared" si="2"/>
        <v>2E-3</v>
      </c>
      <c r="J40">
        <f t="shared" si="4"/>
        <v>-0.11</v>
      </c>
      <c r="P40">
        <v>8945</v>
      </c>
    </row>
    <row r="41" spans="1:16" x14ac:dyDescent="0.25">
      <c r="A41" t="s">
        <v>20</v>
      </c>
      <c r="B41" t="s">
        <v>39</v>
      </c>
      <c r="C41" s="9"/>
      <c r="D41" s="9"/>
      <c r="E41" s="9">
        <v>26580</v>
      </c>
      <c r="F41" s="9">
        <v>60</v>
      </c>
      <c r="G41" s="9">
        <f t="shared" si="0"/>
        <v>26640</v>
      </c>
      <c r="H41">
        <f t="shared" si="1"/>
        <v>2.88</v>
      </c>
      <c r="I41" s="10">
        <f t="shared" si="2"/>
        <v>7.0000000000000001E-3</v>
      </c>
      <c r="J41">
        <f t="shared" si="4"/>
        <v>-0.21</v>
      </c>
      <c r="P41">
        <v>33720</v>
      </c>
    </row>
    <row r="42" spans="1:16" x14ac:dyDescent="0.25">
      <c r="A42" t="s">
        <v>20</v>
      </c>
      <c r="B42" t="s">
        <v>40</v>
      </c>
      <c r="C42" s="9"/>
      <c r="D42" s="9"/>
      <c r="E42" s="9">
        <v>635060</v>
      </c>
      <c r="F42" s="9">
        <v>1700</v>
      </c>
      <c r="G42" s="9">
        <f t="shared" si="0"/>
        <v>636760</v>
      </c>
      <c r="H42">
        <f t="shared" si="1"/>
        <v>68.819999999999993</v>
      </c>
      <c r="I42" s="10">
        <f t="shared" si="2"/>
        <v>0.17499999999999999</v>
      </c>
      <c r="J42">
        <f t="shared" si="4"/>
        <v>0.35</v>
      </c>
      <c r="P42">
        <v>471960</v>
      </c>
    </row>
    <row r="43" spans="1:16" x14ac:dyDescent="0.25">
      <c r="A43" t="s">
        <v>20</v>
      </c>
      <c r="B43" t="s">
        <v>126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J43">
        <f t="shared" si="4"/>
        <v>-1</v>
      </c>
      <c r="P43">
        <v>5200</v>
      </c>
    </row>
    <row r="44" spans="1:16" x14ac:dyDescent="0.25">
      <c r="A44" t="s">
        <v>20</v>
      </c>
      <c r="B44" t="s">
        <v>74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A45" t="s">
        <v>44</v>
      </c>
      <c r="B45" t="s">
        <v>45</v>
      </c>
      <c r="C45" s="9">
        <v>556610</v>
      </c>
      <c r="D45" s="9"/>
      <c r="E45" s="9"/>
      <c r="F45" s="9">
        <v>1420</v>
      </c>
      <c r="G45" s="9">
        <f t="shared" si="0"/>
        <v>558030</v>
      </c>
      <c r="H45">
        <f t="shared" si="1"/>
        <v>60.31</v>
      </c>
      <c r="I45" s="10">
        <f t="shared" si="2"/>
        <v>0.153</v>
      </c>
      <c r="J45">
        <f>ROUND(G45/P45-1,2)</f>
        <v>0.02</v>
      </c>
      <c r="P45">
        <v>546630</v>
      </c>
    </row>
    <row r="46" spans="1:16" x14ac:dyDescent="0.25">
      <c r="A46" t="s">
        <v>44</v>
      </c>
      <c r="B46" t="s">
        <v>47</v>
      </c>
      <c r="C46" s="9"/>
      <c r="D46" s="9"/>
      <c r="E46" s="9"/>
      <c r="F46" s="9">
        <v>76760</v>
      </c>
      <c r="G46" s="9">
        <f t="shared" si="0"/>
        <v>76760</v>
      </c>
      <c r="H46">
        <f t="shared" si="1"/>
        <v>8.3000000000000007</v>
      </c>
      <c r="I46" s="10">
        <f t="shared" si="2"/>
        <v>2.1000000000000001E-2</v>
      </c>
      <c r="J46">
        <f>ROUND(G46/P46-1,2)</f>
        <v>0.13</v>
      </c>
      <c r="P46">
        <v>68200</v>
      </c>
    </row>
    <row r="47" spans="1:16" x14ac:dyDescent="0.25">
      <c r="A47" t="s">
        <v>44</v>
      </c>
      <c r="B47" t="s">
        <v>46</v>
      </c>
      <c r="C47" s="9"/>
      <c r="D47" s="9"/>
      <c r="E47" s="9">
        <v>166050</v>
      </c>
      <c r="F47" s="9"/>
      <c r="G47" s="9">
        <f t="shared" si="0"/>
        <v>166050</v>
      </c>
      <c r="H47">
        <f t="shared" si="1"/>
        <v>17.95</v>
      </c>
      <c r="I47" s="10">
        <f t="shared" si="2"/>
        <v>4.5999999999999999E-2</v>
      </c>
      <c r="J47">
        <f>ROUND(G47/P47-1,2)</f>
        <v>0.21</v>
      </c>
      <c r="P47">
        <v>137115</v>
      </c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SUM(C8:C47)</f>
        <v>2183760</v>
      </c>
      <c r="D49" s="12">
        <f t="shared" si="5"/>
        <v>991</v>
      </c>
      <c r="E49" s="12">
        <f t="shared" si="5"/>
        <v>1378264</v>
      </c>
      <c r="F49" s="12">
        <f t="shared" si="5"/>
        <v>83622</v>
      </c>
      <c r="G49" s="12">
        <f t="shared" si="5"/>
        <v>3646637</v>
      </c>
      <c r="H49" s="11">
        <f t="shared" si="5"/>
        <v>394.16000000000008</v>
      </c>
      <c r="I49" s="4"/>
    </row>
    <row r="50" spans="1:10" x14ac:dyDescent="0.25">
      <c r="A50" s="11" t="s">
        <v>14</v>
      </c>
      <c r="C50" s="13">
        <f>ROUND(C49/G49,2)</f>
        <v>0.6</v>
      </c>
      <c r="D50" s="13">
        <f>ROUND(D49/G49,2)</f>
        <v>0</v>
      </c>
      <c r="E50" s="13">
        <f>ROUND(E49/G49,2)</f>
        <v>0.38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1627150</v>
      </c>
      <c r="D54" s="15">
        <v>991</v>
      </c>
      <c r="E54" s="15">
        <v>1212214</v>
      </c>
      <c r="F54" s="15">
        <v>4561</v>
      </c>
      <c r="G54" s="15">
        <f>SUM(C54:F54)</f>
        <v>2844916</v>
      </c>
      <c r="H54" s="17">
        <f>ROUND(G54/9252,2)</f>
        <v>307.49</v>
      </c>
      <c r="I54" s="4"/>
      <c r="J54" s="4"/>
    </row>
    <row r="55" spans="1:10" x14ac:dyDescent="0.25">
      <c r="A55" s="33" t="s">
        <v>50</v>
      </c>
      <c r="B55" s="33"/>
      <c r="C55" s="15">
        <v>556610</v>
      </c>
      <c r="D55" s="15">
        <v>0</v>
      </c>
      <c r="E55" s="15">
        <v>166050</v>
      </c>
      <c r="F55" s="15">
        <v>78180</v>
      </c>
      <c r="G55" s="15">
        <f>SUM(C55:F55)</f>
        <v>800840</v>
      </c>
      <c r="H55" s="17">
        <f>ROUND(G55/9252,2)</f>
        <v>86.56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881</v>
      </c>
      <c r="G56" s="15">
        <f>SUM(C56:F56)</f>
        <v>881</v>
      </c>
      <c r="H56" s="17">
        <f>ROUND(G56/9252,2)</f>
        <v>0.1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ROUND(0.8302, 4)</f>
        <v>0.83020000000000005</v>
      </c>
      <c r="D60" s="19">
        <f>ROUND(0.8257, 4)</f>
        <v>0.82569999999999999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ROUND(0.8199, 4)</f>
        <v>0.81989999999999996</v>
      </c>
      <c r="D61" s="19">
        <f>ROUND(0.8152, 4)</f>
        <v>0.81520000000000004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187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60.31</v>
      </c>
      <c r="D64" s="16">
        <v>56.34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68.400000000000006</v>
      </c>
      <c r="D65" s="16">
        <v>66.510000000000005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307.49</v>
      </c>
      <c r="D66" s="16">
        <v>307.18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86.56</v>
      </c>
      <c r="D67" s="16">
        <v>79.819999999999993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P70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188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2334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12</v>
      </c>
      <c r="G9" s="9">
        <f t="shared" ref="G9:G40" si="0">SUM(C9:F9)</f>
        <v>12</v>
      </c>
      <c r="H9">
        <f t="shared" ref="H9:H40" si="1">ROUND(G9/2334,2)</f>
        <v>0.01</v>
      </c>
      <c r="I9" s="10">
        <f t="shared" ref="I9:I40" si="2">ROUND(G9/$G$49,3)</f>
        <v>0</v>
      </c>
      <c r="J9">
        <f>ROUND(G9/P9-1,2)</f>
        <v>-0.08</v>
      </c>
      <c r="P9">
        <v>13</v>
      </c>
    </row>
    <row r="10" spans="1:16" x14ac:dyDescent="0.25">
      <c r="A10" t="s">
        <v>16</v>
      </c>
      <c r="B10" t="s">
        <v>66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68</v>
      </c>
      <c r="C11" s="9"/>
      <c r="D11" s="9"/>
      <c r="E11" s="9">
        <v>1980</v>
      </c>
      <c r="F11" s="9"/>
      <c r="G11" s="9">
        <f t="shared" si="0"/>
        <v>1980</v>
      </c>
      <c r="H11">
        <f t="shared" si="1"/>
        <v>0.85</v>
      </c>
      <c r="I11" s="10">
        <f t="shared" si="2"/>
        <v>2E-3</v>
      </c>
      <c r="P11">
        <v>0</v>
      </c>
    </row>
    <row r="12" spans="1:16" x14ac:dyDescent="0.25">
      <c r="A12" t="s">
        <v>20</v>
      </c>
      <c r="B12" t="s">
        <v>21</v>
      </c>
      <c r="C12" s="9">
        <v>84520</v>
      </c>
      <c r="D12" s="9"/>
      <c r="E12" s="9">
        <v>1960</v>
      </c>
      <c r="F12" s="9">
        <v>130</v>
      </c>
      <c r="G12" s="9">
        <f t="shared" si="0"/>
        <v>86610</v>
      </c>
      <c r="H12">
        <f t="shared" si="1"/>
        <v>37.11</v>
      </c>
      <c r="I12" s="10">
        <f t="shared" si="2"/>
        <v>9.1999999999999998E-2</v>
      </c>
      <c r="J12">
        <f t="shared" ref="J12:J33" si="3">ROUND(G12/P12-1,2)</f>
        <v>-0.05</v>
      </c>
      <c r="P12">
        <v>90780</v>
      </c>
    </row>
    <row r="13" spans="1:16" x14ac:dyDescent="0.25">
      <c r="A13" t="s">
        <v>20</v>
      </c>
      <c r="B13" t="s">
        <v>22</v>
      </c>
      <c r="C13" s="9">
        <v>85290</v>
      </c>
      <c r="D13" s="9"/>
      <c r="E13" s="9"/>
      <c r="F13" s="9"/>
      <c r="G13" s="9">
        <f t="shared" si="0"/>
        <v>85290</v>
      </c>
      <c r="H13">
        <f t="shared" si="1"/>
        <v>36.54</v>
      </c>
      <c r="I13" s="10">
        <f t="shared" si="2"/>
        <v>0.09</v>
      </c>
      <c r="J13">
        <f t="shared" si="3"/>
        <v>0.02</v>
      </c>
      <c r="P13">
        <v>83340</v>
      </c>
    </row>
    <row r="14" spans="1:16" x14ac:dyDescent="0.25">
      <c r="A14" t="s">
        <v>20</v>
      </c>
      <c r="B14" t="s">
        <v>42</v>
      </c>
      <c r="C14" s="9"/>
      <c r="D14" s="9"/>
      <c r="E14" s="9">
        <v>165</v>
      </c>
      <c r="F14" s="9"/>
      <c r="G14" s="9">
        <f t="shared" si="0"/>
        <v>165</v>
      </c>
      <c r="H14">
        <f t="shared" si="1"/>
        <v>7.0000000000000007E-2</v>
      </c>
      <c r="I14" s="10">
        <f t="shared" si="2"/>
        <v>0</v>
      </c>
      <c r="J14">
        <f t="shared" si="3"/>
        <v>0.5</v>
      </c>
      <c r="P14">
        <v>110</v>
      </c>
    </row>
    <row r="15" spans="1:16" x14ac:dyDescent="0.25">
      <c r="A15" t="s">
        <v>20</v>
      </c>
      <c r="B15" t="s">
        <v>24</v>
      </c>
      <c r="C15" s="9"/>
      <c r="D15" s="9"/>
      <c r="E15" s="9">
        <v>82980</v>
      </c>
      <c r="F15" s="9"/>
      <c r="G15" s="9">
        <f t="shared" si="0"/>
        <v>82980</v>
      </c>
      <c r="H15">
        <f t="shared" si="1"/>
        <v>35.549999999999997</v>
      </c>
      <c r="I15" s="10">
        <f t="shared" si="2"/>
        <v>8.7999999999999995E-2</v>
      </c>
      <c r="J15">
        <f t="shared" si="3"/>
        <v>0.33</v>
      </c>
      <c r="P15">
        <v>62620</v>
      </c>
    </row>
    <row r="16" spans="1:16" x14ac:dyDescent="0.25">
      <c r="A16" t="s">
        <v>20</v>
      </c>
      <c r="B16" t="s">
        <v>25</v>
      </c>
      <c r="C16" s="9">
        <v>89650</v>
      </c>
      <c r="D16" s="9"/>
      <c r="E16" s="9">
        <v>19920</v>
      </c>
      <c r="F16" s="9">
        <v>40</v>
      </c>
      <c r="G16" s="9">
        <f t="shared" si="0"/>
        <v>109610</v>
      </c>
      <c r="H16">
        <f t="shared" si="1"/>
        <v>46.96</v>
      </c>
      <c r="I16" s="10">
        <f t="shared" si="2"/>
        <v>0.11600000000000001</v>
      </c>
      <c r="J16">
        <f t="shared" si="3"/>
        <v>0.11</v>
      </c>
      <c r="P16">
        <v>98775</v>
      </c>
    </row>
    <row r="17" spans="1:16" x14ac:dyDescent="0.25">
      <c r="A17" t="s">
        <v>20</v>
      </c>
      <c r="B17" t="s">
        <v>69</v>
      </c>
      <c r="C17" s="9"/>
      <c r="D17" s="9"/>
      <c r="E17" s="9">
        <v>2380</v>
      </c>
      <c r="F17" s="9"/>
      <c r="G17" s="9">
        <f t="shared" si="0"/>
        <v>2380</v>
      </c>
      <c r="H17">
        <f t="shared" si="1"/>
        <v>1.02</v>
      </c>
      <c r="I17" s="10">
        <f t="shared" si="2"/>
        <v>3.0000000000000001E-3</v>
      </c>
      <c r="J17">
        <f t="shared" si="3"/>
        <v>1.29</v>
      </c>
      <c r="P17">
        <v>1040</v>
      </c>
    </row>
    <row r="18" spans="1:16" x14ac:dyDescent="0.25">
      <c r="A18" t="s">
        <v>20</v>
      </c>
      <c r="B18" t="s">
        <v>26</v>
      </c>
      <c r="C18" s="9">
        <v>110530</v>
      </c>
      <c r="D18" s="9"/>
      <c r="E18" s="9"/>
      <c r="F18" s="9"/>
      <c r="G18" s="9">
        <f t="shared" si="0"/>
        <v>110530</v>
      </c>
      <c r="H18">
        <f t="shared" si="1"/>
        <v>47.36</v>
      </c>
      <c r="I18" s="10">
        <f t="shared" si="2"/>
        <v>0.11700000000000001</v>
      </c>
      <c r="J18">
        <f t="shared" si="3"/>
        <v>-0.23</v>
      </c>
      <c r="P18">
        <v>143910</v>
      </c>
    </row>
    <row r="19" spans="1:16" x14ac:dyDescent="0.25">
      <c r="A19" t="s">
        <v>20</v>
      </c>
      <c r="B19" t="s">
        <v>27</v>
      </c>
      <c r="C19" s="9"/>
      <c r="D19" s="9"/>
      <c r="E19" s="9">
        <v>1179</v>
      </c>
      <c r="F19" s="9"/>
      <c r="G19" s="9">
        <f t="shared" si="0"/>
        <v>1179</v>
      </c>
      <c r="H19">
        <f t="shared" si="1"/>
        <v>0.51</v>
      </c>
      <c r="I19" s="10">
        <f t="shared" si="2"/>
        <v>1E-3</v>
      </c>
      <c r="J19">
        <f t="shared" si="3"/>
        <v>39.659999999999997</v>
      </c>
      <c r="P19">
        <v>29</v>
      </c>
    </row>
    <row r="20" spans="1:16" x14ac:dyDescent="0.25">
      <c r="A20" t="s">
        <v>20</v>
      </c>
      <c r="B20" t="s">
        <v>28</v>
      </c>
      <c r="C20" s="9"/>
      <c r="D20" s="9"/>
      <c r="E20" s="9">
        <v>540</v>
      </c>
      <c r="F20" s="9"/>
      <c r="G20" s="9">
        <f t="shared" si="0"/>
        <v>540</v>
      </c>
      <c r="H20">
        <f t="shared" si="1"/>
        <v>0.23</v>
      </c>
      <c r="I20" s="10">
        <f t="shared" si="2"/>
        <v>1E-3</v>
      </c>
      <c r="J20">
        <f t="shared" si="3"/>
        <v>6.71</v>
      </c>
      <c r="P20">
        <v>70</v>
      </c>
    </row>
    <row r="21" spans="1:16" x14ac:dyDescent="0.25">
      <c r="A21" t="s">
        <v>20</v>
      </c>
      <c r="B21" t="s">
        <v>30</v>
      </c>
      <c r="C21" s="9"/>
      <c r="D21" s="9"/>
      <c r="E21" s="9">
        <v>5500</v>
      </c>
      <c r="F21" s="9"/>
      <c r="G21" s="9">
        <f t="shared" si="0"/>
        <v>5500</v>
      </c>
      <c r="H21">
        <f t="shared" si="1"/>
        <v>2.36</v>
      </c>
      <c r="I21" s="10">
        <f t="shared" si="2"/>
        <v>6.0000000000000001E-3</v>
      </c>
      <c r="J21">
        <f t="shared" si="3"/>
        <v>0.03</v>
      </c>
      <c r="P21">
        <v>5320</v>
      </c>
    </row>
    <row r="22" spans="1:16" x14ac:dyDescent="0.25">
      <c r="A22" t="s">
        <v>20</v>
      </c>
      <c r="B22" t="s">
        <v>31</v>
      </c>
      <c r="C22" s="9"/>
      <c r="D22" s="9"/>
      <c r="E22" s="9">
        <v>860</v>
      </c>
      <c r="F22" s="9"/>
      <c r="G22" s="9">
        <f t="shared" si="0"/>
        <v>860</v>
      </c>
      <c r="H22">
        <f t="shared" si="1"/>
        <v>0.37</v>
      </c>
      <c r="I22" s="10">
        <f t="shared" si="2"/>
        <v>1E-3</v>
      </c>
      <c r="J22">
        <f t="shared" si="3"/>
        <v>0.26</v>
      </c>
      <c r="P22">
        <v>680</v>
      </c>
    </row>
    <row r="23" spans="1:16" x14ac:dyDescent="0.25">
      <c r="A23" t="s">
        <v>20</v>
      </c>
      <c r="B23" t="s">
        <v>32</v>
      </c>
      <c r="C23" s="9"/>
      <c r="D23" s="9"/>
      <c r="E23" s="9">
        <v>240</v>
      </c>
      <c r="F23" s="9"/>
      <c r="G23" s="9">
        <f t="shared" si="0"/>
        <v>240</v>
      </c>
      <c r="H23">
        <f t="shared" si="1"/>
        <v>0.1</v>
      </c>
      <c r="I23" s="10">
        <f t="shared" si="2"/>
        <v>0</v>
      </c>
      <c r="J23">
        <f t="shared" si="3"/>
        <v>0</v>
      </c>
      <c r="P23">
        <v>240</v>
      </c>
    </row>
    <row r="24" spans="1:16" x14ac:dyDescent="0.25">
      <c r="A24" t="s">
        <v>20</v>
      </c>
      <c r="B24" t="s">
        <v>33</v>
      </c>
      <c r="C24" s="9"/>
      <c r="D24" s="9"/>
      <c r="E24" s="9">
        <v>990</v>
      </c>
      <c r="F24" s="9"/>
      <c r="G24" s="9">
        <f t="shared" si="0"/>
        <v>990</v>
      </c>
      <c r="H24">
        <f t="shared" si="1"/>
        <v>0.42</v>
      </c>
      <c r="I24" s="10">
        <f t="shared" si="2"/>
        <v>1E-3</v>
      </c>
      <c r="J24">
        <f t="shared" si="3"/>
        <v>-0.2</v>
      </c>
      <c r="P24">
        <v>1240</v>
      </c>
    </row>
    <row r="25" spans="1:16" x14ac:dyDescent="0.25">
      <c r="A25" t="s">
        <v>20</v>
      </c>
      <c r="B25" t="s">
        <v>35</v>
      </c>
      <c r="C25" s="9"/>
      <c r="D25" s="9"/>
      <c r="E25" s="9">
        <v>1830</v>
      </c>
      <c r="F25" s="9"/>
      <c r="G25" s="9">
        <f t="shared" si="0"/>
        <v>1830</v>
      </c>
      <c r="H25">
        <f t="shared" si="1"/>
        <v>0.78</v>
      </c>
      <c r="I25" s="10">
        <f t="shared" si="2"/>
        <v>2E-3</v>
      </c>
      <c r="J25">
        <f t="shared" si="3"/>
        <v>-0.54</v>
      </c>
      <c r="P25">
        <v>3954</v>
      </c>
    </row>
    <row r="26" spans="1:16" x14ac:dyDescent="0.25">
      <c r="A26" t="s">
        <v>20</v>
      </c>
      <c r="B26" t="s">
        <v>41</v>
      </c>
      <c r="C26" s="9"/>
      <c r="D26" s="9"/>
      <c r="E26" s="9">
        <v>13460</v>
      </c>
      <c r="F26" s="9"/>
      <c r="G26" s="9">
        <f t="shared" si="0"/>
        <v>13460</v>
      </c>
      <c r="H26">
        <f t="shared" si="1"/>
        <v>5.77</v>
      </c>
      <c r="I26" s="10">
        <f t="shared" si="2"/>
        <v>1.4E-2</v>
      </c>
      <c r="J26">
        <f t="shared" si="3"/>
        <v>0.9</v>
      </c>
      <c r="P26">
        <v>7070</v>
      </c>
    </row>
    <row r="27" spans="1:16" x14ac:dyDescent="0.25">
      <c r="A27" t="s">
        <v>20</v>
      </c>
      <c r="B27" t="s">
        <v>36</v>
      </c>
      <c r="C27" s="9"/>
      <c r="D27" s="9"/>
      <c r="E27" s="9">
        <v>5600</v>
      </c>
      <c r="F27" s="9"/>
      <c r="G27" s="9">
        <f t="shared" si="0"/>
        <v>5600</v>
      </c>
      <c r="H27">
        <f t="shared" si="1"/>
        <v>2.4</v>
      </c>
      <c r="I27" s="10">
        <f t="shared" si="2"/>
        <v>6.0000000000000001E-3</v>
      </c>
      <c r="J27">
        <f t="shared" si="3"/>
        <v>-0.53</v>
      </c>
      <c r="P27">
        <v>12020</v>
      </c>
    </row>
    <row r="28" spans="1:16" x14ac:dyDescent="0.25">
      <c r="A28" t="s">
        <v>20</v>
      </c>
      <c r="B28" t="s">
        <v>37</v>
      </c>
      <c r="C28" s="9"/>
      <c r="D28" s="9"/>
      <c r="E28" s="9">
        <v>60220</v>
      </c>
      <c r="F28" s="9"/>
      <c r="G28" s="9">
        <f t="shared" si="0"/>
        <v>60220</v>
      </c>
      <c r="H28">
        <f t="shared" si="1"/>
        <v>25.8</v>
      </c>
      <c r="I28" s="10">
        <f t="shared" si="2"/>
        <v>6.4000000000000001E-2</v>
      </c>
      <c r="J28">
        <f t="shared" si="3"/>
        <v>0.31</v>
      </c>
      <c r="P28">
        <v>45990</v>
      </c>
    </row>
    <row r="29" spans="1:16" x14ac:dyDescent="0.25">
      <c r="A29" t="s">
        <v>20</v>
      </c>
      <c r="B29" t="s">
        <v>38</v>
      </c>
      <c r="C29" s="9"/>
      <c r="D29" s="9"/>
      <c r="E29" s="9">
        <v>6260</v>
      </c>
      <c r="F29" s="9"/>
      <c r="G29" s="9">
        <f t="shared" si="0"/>
        <v>6260</v>
      </c>
      <c r="H29">
        <f t="shared" si="1"/>
        <v>2.68</v>
      </c>
      <c r="I29" s="10">
        <f t="shared" si="2"/>
        <v>7.0000000000000001E-3</v>
      </c>
      <c r="J29">
        <f t="shared" si="3"/>
        <v>0.05</v>
      </c>
      <c r="P29">
        <v>5965</v>
      </c>
    </row>
    <row r="30" spans="1:16" x14ac:dyDescent="0.25">
      <c r="A30" t="s">
        <v>20</v>
      </c>
      <c r="B30" t="s">
        <v>39</v>
      </c>
      <c r="C30" s="9"/>
      <c r="D30" s="9"/>
      <c r="E30" s="9">
        <v>25870</v>
      </c>
      <c r="F30" s="9"/>
      <c r="G30" s="9">
        <f t="shared" si="0"/>
        <v>25870</v>
      </c>
      <c r="H30">
        <f t="shared" si="1"/>
        <v>11.08</v>
      </c>
      <c r="I30" s="10">
        <f t="shared" si="2"/>
        <v>2.7E-2</v>
      </c>
      <c r="J30">
        <f t="shared" si="3"/>
        <v>0.16</v>
      </c>
      <c r="P30">
        <v>22210</v>
      </c>
    </row>
    <row r="31" spans="1:16" x14ac:dyDescent="0.25">
      <c r="A31" t="s">
        <v>20</v>
      </c>
      <c r="B31" t="s">
        <v>40</v>
      </c>
      <c r="C31" s="9"/>
      <c r="D31" s="9"/>
      <c r="E31" s="9">
        <v>8095</v>
      </c>
      <c r="F31" s="9"/>
      <c r="G31" s="9">
        <f t="shared" si="0"/>
        <v>8095</v>
      </c>
      <c r="H31">
        <f t="shared" si="1"/>
        <v>3.47</v>
      </c>
      <c r="I31" s="10">
        <f t="shared" si="2"/>
        <v>8.9999999999999993E-3</v>
      </c>
      <c r="J31">
        <f t="shared" si="3"/>
        <v>1.1399999999999999</v>
      </c>
      <c r="P31">
        <v>3790</v>
      </c>
    </row>
    <row r="32" spans="1:16" x14ac:dyDescent="0.25">
      <c r="A32" t="s">
        <v>20</v>
      </c>
      <c r="B32" t="s">
        <v>29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 t="shared" si="3"/>
        <v>-1</v>
      </c>
      <c r="P32">
        <v>80</v>
      </c>
    </row>
    <row r="33" spans="1:16" x14ac:dyDescent="0.25">
      <c r="A33" t="s">
        <v>20</v>
      </c>
      <c r="B33" t="s">
        <v>23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J33">
        <f t="shared" si="3"/>
        <v>-1</v>
      </c>
      <c r="P33">
        <v>155</v>
      </c>
    </row>
    <row r="34" spans="1:16" x14ac:dyDescent="0.25">
      <c r="A34" t="s">
        <v>20</v>
      </c>
      <c r="B34" t="s">
        <v>74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20</v>
      </c>
      <c r="B35" t="s">
        <v>70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20</v>
      </c>
      <c r="B36" t="s">
        <v>43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J36">
        <f>ROUND(G36/P36-1,2)</f>
        <v>-1</v>
      </c>
      <c r="P36">
        <v>61</v>
      </c>
    </row>
    <row r="37" spans="1:16" x14ac:dyDescent="0.25">
      <c r="A37" t="s">
        <v>20</v>
      </c>
      <c r="B37" t="s">
        <v>34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44</v>
      </c>
      <c r="B38" t="s">
        <v>45</v>
      </c>
      <c r="C38" s="9">
        <v>284150</v>
      </c>
      <c r="D38" s="9"/>
      <c r="E38" s="9"/>
      <c r="F38" s="9">
        <v>1040</v>
      </c>
      <c r="G38" s="9">
        <f t="shared" si="0"/>
        <v>285190</v>
      </c>
      <c r="H38">
        <f t="shared" si="1"/>
        <v>122.19</v>
      </c>
      <c r="I38" s="10">
        <f t="shared" si="2"/>
        <v>0.30199999999999999</v>
      </c>
      <c r="J38">
        <f>ROUND(G38/P38-1,2)</f>
        <v>0.08</v>
      </c>
      <c r="P38">
        <v>264340</v>
      </c>
    </row>
    <row r="39" spans="1:16" x14ac:dyDescent="0.25">
      <c r="A39" t="s">
        <v>44</v>
      </c>
      <c r="B39" t="s">
        <v>47</v>
      </c>
      <c r="C39" s="9"/>
      <c r="D39" s="9"/>
      <c r="E39" s="9"/>
      <c r="F39" s="9">
        <v>23740</v>
      </c>
      <c r="G39" s="9">
        <f t="shared" si="0"/>
        <v>23740</v>
      </c>
      <c r="H39">
        <f t="shared" si="1"/>
        <v>10.17</v>
      </c>
      <c r="I39" s="10">
        <f t="shared" si="2"/>
        <v>2.5000000000000001E-2</v>
      </c>
      <c r="J39">
        <f>ROUND(G39/P39-1,2)</f>
        <v>-0.25</v>
      </c>
      <c r="P39">
        <v>31700</v>
      </c>
    </row>
    <row r="40" spans="1:16" x14ac:dyDescent="0.25">
      <c r="A40" t="s">
        <v>44</v>
      </c>
      <c r="B40" t="s">
        <v>46</v>
      </c>
      <c r="C40" s="9"/>
      <c r="D40" s="9"/>
      <c r="E40" s="9">
        <v>24780</v>
      </c>
      <c r="F40" s="9"/>
      <c r="G40" s="9">
        <f t="shared" si="0"/>
        <v>24780</v>
      </c>
      <c r="H40">
        <f t="shared" si="1"/>
        <v>10.62</v>
      </c>
      <c r="I40" s="10">
        <f t="shared" si="2"/>
        <v>2.5999999999999999E-2</v>
      </c>
      <c r="J40">
        <f>ROUND(G40/P40-1,2)</f>
        <v>-0.09</v>
      </c>
      <c r="P40">
        <v>27120</v>
      </c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SUM(C8:C40)</f>
        <v>654140</v>
      </c>
      <c r="D49" s="12">
        <f t="shared" si="4"/>
        <v>0</v>
      </c>
      <c r="E49" s="12">
        <f t="shared" si="4"/>
        <v>264809</v>
      </c>
      <c r="F49" s="12">
        <f t="shared" si="4"/>
        <v>24962</v>
      </c>
      <c r="G49" s="12">
        <f t="shared" si="4"/>
        <v>943911</v>
      </c>
      <c r="H49" s="11">
        <f t="shared" si="4"/>
        <v>404.42</v>
      </c>
      <c r="I49" s="4"/>
    </row>
    <row r="50" spans="1:10" x14ac:dyDescent="0.25">
      <c r="A50" s="11" t="s">
        <v>14</v>
      </c>
      <c r="C50" s="13">
        <f>ROUND(C49/G49,2)</f>
        <v>0.69</v>
      </c>
      <c r="D50" s="13">
        <f>ROUND(D49/G49,2)</f>
        <v>0</v>
      </c>
      <c r="E50" s="13">
        <f>ROUND(E49/G49,2)</f>
        <v>0.28000000000000003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369990</v>
      </c>
      <c r="D54" s="15">
        <v>0</v>
      </c>
      <c r="E54" s="15">
        <v>240029</v>
      </c>
      <c r="F54" s="15">
        <v>170</v>
      </c>
      <c r="G54" s="15">
        <f>SUM(C54:F54)</f>
        <v>610189</v>
      </c>
      <c r="H54" s="17">
        <f>ROUND(G54/2334,2)</f>
        <v>261.43</v>
      </c>
      <c r="I54" s="4"/>
      <c r="J54" s="4"/>
    </row>
    <row r="55" spans="1:10" x14ac:dyDescent="0.25">
      <c r="A55" s="33" t="s">
        <v>50</v>
      </c>
      <c r="B55" s="33"/>
      <c r="C55" s="15">
        <v>284150</v>
      </c>
      <c r="D55" s="15">
        <v>0</v>
      </c>
      <c r="E55" s="15">
        <v>24780</v>
      </c>
      <c r="F55" s="15">
        <v>24780</v>
      </c>
      <c r="G55" s="15">
        <f>SUM(C55:F55)</f>
        <v>333710</v>
      </c>
      <c r="H55" s="17">
        <f>ROUND(G55/2334,2)</f>
        <v>142.97999999999999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12</v>
      </c>
      <c r="G56" s="15">
        <f>SUM(C56:F56)</f>
        <v>12</v>
      </c>
      <c r="H56" s="17">
        <f>ROUND(G56/2334,2)</f>
        <v>0.01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ROUND(0.6617, 4)</f>
        <v>0.66169999999999995</v>
      </c>
      <c r="D60" s="19">
        <f>ROUND(0.6802, 4)</f>
        <v>0.68020000000000003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ROUND(0.6243, 4)</f>
        <v>0.62429999999999997</v>
      </c>
      <c r="D61" s="19">
        <f>ROUND(0.6405, 4)</f>
        <v>0.64049999999999996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189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122.19</v>
      </c>
      <c r="D64" s="17">
        <v>109.28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47.36</v>
      </c>
      <c r="D65" s="17">
        <v>64.459999999999994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261.43</v>
      </c>
      <c r="D66" s="17">
        <v>261.08999999999997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142.97999999999999</v>
      </c>
      <c r="D67" s="17">
        <v>130.5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P72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1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190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5486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66</v>
      </c>
      <c r="C9" s="9"/>
      <c r="D9" s="9"/>
      <c r="E9" s="9"/>
      <c r="F9" s="9">
        <v>230</v>
      </c>
      <c r="G9" s="9">
        <f t="shared" ref="G9:G43" si="0">SUM(C9:F9)</f>
        <v>230</v>
      </c>
      <c r="H9">
        <f t="shared" ref="H9:H43" si="1">ROUND(G9/5486,2)</f>
        <v>0.04</v>
      </c>
      <c r="I9" s="10">
        <f t="shared" ref="I9:I43" si="2">ROUND(G9/$G$49,3)</f>
        <v>0</v>
      </c>
      <c r="J9">
        <f>ROUND(G9/P9-1,2)</f>
        <v>0.05</v>
      </c>
      <c r="P9">
        <v>220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17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J11">
        <f t="shared" ref="J11:J39" si="3">ROUND(G11/P11-1,2)</f>
        <v>-1</v>
      </c>
      <c r="P11">
        <v>860</v>
      </c>
    </row>
    <row r="12" spans="1:16" x14ac:dyDescent="0.25">
      <c r="A12" t="s">
        <v>16</v>
      </c>
      <c r="B12" t="s">
        <v>18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J12">
        <f t="shared" si="3"/>
        <v>-1</v>
      </c>
      <c r="P12">
        <v>1300</v>
      </c>
    </row>
    <row r="13" spans="1:16" x14ac:dyDescent="0.25">
      <c r="A13" t="s">
        <v>20</v>
      </c>
      <c r="B13" t="s">
        <v>67</v>
      </c>
      <c r="C13" s="9"/>
      <c r="D13" s="9"/>
      <c r="E13" s="9">
        <v>171</v>
      </c>
      <c r="F13" s="9"/>
      <c r="G13" s="9">
        <f t="shared" si="0"/>
        <v>171</v>
      </c>
      <c r="H13">
        <f t="shared" si="1"/>
        <v>0.03</v>
      </c>
      <c r="I13" s="10">
        <f t="shared" si="2"/>
        <v>0</v>
      </c>
      <c r="J13">
        <f t="shared" si="3"/>
        <v>0.14000000000000001</v>
      </c>
      <c r="P13">
        <v>150</v>
      </c>
    </row>
    <row r="14" spans="1:16" x14ac:dyDescent="0.25">
      <c r="A14" t="s">
        <v>20</v>
      </c>
      <c r="B14" t="s">
        <v>21</v>
      </c>
      <c r="C14" s="9">
        <v>219405</v>
      </c>
      <c r="D14" s="9"/>
      <c r="E14" s="9">
        <v>2940</v>
      </c>
      <c r="F14" s="9">
        <v>515</v>
      </c>
      <c r="G14" s="9">
        <f t="shared" si="0"/>
        <v>222860</v>
      </c>
      <c r="H14">
        <f t="shared" si="1"/>
        <v>40.619999999999997</v>
      </c>
      <c r="I14" s="10">
        <f t="shared" si="2"/>
        <v>7.5999999999999998E-2</v>
      </c>
      <c r="J14">
        <f t="shared" si="3"/>
        <v>0.06</v>
      </c>
      <c r="P14">
        <v>210940</v>
      </c>
    </row>
    <row r="15" spans="1:16" x14ac:dyDescent="0.25">
      <c r="A15" t="s">
        <v>20</v>
      </c>
      <c r="B15" t="s">
        <v>22</v>
      </c>
      <c r="C15" s="9">
        <v>228710</v>
      </c>
      <c r="D15" s="9"/>
      <c r="E15" s="9"/>
      <c r="F15" s="9"/>
      <c r="G15" s="9">
        <f t="shared" si="0"/>
        <v>228710</v>
      </c>
      <c r="H15">
        <f t="shared" si="1"/>
        <v>41.69</v>
      </c>
      <c r="I15" s="10">
        <f t="shared" si="2"/>
        <v>7.8E-2</v>
      </c>
      <c r="J15">
        <f t="shared" si="3"/>
        <v>-0.08</v>
      </c>
      <c r="P15">
        <v>249790</v>
      </c>
    </row>
    <row r="16" spans="1:16" x14ac:dyDescent="0.25">
      <c r="A16" t="s">
        <v>20</v>
      </c>
      <c r="B16" t="s">
        <v>79</v>
      </c>
      <c r="C16" s="9"/>
      <c r="D16" s="9"/>
      <c r="E16" s="9">
        <v>286</v>
      </c>
      <c r="F16" s="9"/>
      <c r="G16" s="9">
        <f t="shared" si="0"/>
        <v>286</v>
      </c>
      <c r="H16">
        <f t="shared" si="1"/>
        <v>0.05</v>
      </c>
      <c r="I16" s="10">
        <f t="shared" si="2"/>
        <v>0</v>
      </c>
      <c r="J16">
        <f t="shared" si="3"/>
        <v>-0.03</v>
      </c>
      <c r="P16">
        <v>296</v>
      </c>
    </row>
    <row r="17" spans="1:16" x14ac:dyDescent="0.25">
      <c r="A17" t="s">
        <v>20</v>
      </c>
      <c r="B17" t="s">
        <v>42</v>
      </c>
      <c r="C17" s="9"/>
      <c r="D17" s="9"/>
      <c r="E17" s="9">
        <v>244</v>
      </c>
      <c r="F17" s="9"/>
      <c r="G17" s="9">
        <f t="shared" si="0"/>
        <v>244</v>
      </c>
      <c r="H17">
        <f t="shared" si="1"/>
        <v>0.04</v>
      </c>
      <c r="I17" s="10">
        <f t="shared" si="2"/>
        <v>0</v>
      </c>
      <c r="J17">
        <f t="shared" si="3"/>
        <v>-0.03</v>
      </c>
      <c r="P17">
        <v>252</v>
      </c>
    </row>
    <row r="18" spans="1:16" x14ac:dyDescent="0.25">
      <c r="A18" t="s">
        <v>20</v>
      </c>
      <c r="B18" t="s">
        <v>23</v>
      </c>
      <c r="C18" s="9"/>
      <c r="D18" s="9"/>
      <c r="E18" s="9">
        <v>2440</v>
      </c>
      <c r="F18" s="9"/>
      <c r="G18" s="9">
        <f t="shared" si="0"/>
        <v>2440</v>
      </c>
      <c r="H18">
        <f t="shared" si="1"/>
        <v>0.44</v>
      </c>
      <c r="I18" s="10">
        <f t="shared" si="2"/>
        <v>1E-3</v>
      </c>
      <c r="J18">
        <f t="shared" si="3"/>
        <v>0.11</v>
      </c>
      <c r="P18">
        <v>2200</v>
      </c>
    </row>
    <row r="19" spans="1:16" x14ac:dyDescent="0.25">
      <c r="A19" t="s">
        <v>20</v>
      </c>
      <c r="B19" t="s">
        <v>24</v>
      </c>
      <c r="C19" s="9"/>
      <c r="D19" s="9"/>
      <c r="E19" s="9">
        <v>61760</v>
      </c>
      <c r="F19" s="9"/>
      <c r="G19" s="9">
        <f t="shared" si="0"/>
        <v>61760</v>
      </c>
      <c r="H19">
        <f t="shared" si="1"/>
        <v>11.26</v>
      </c>
      <c r="I19" s="10">
        <f t="shared" si="2"/>
        <v>2.1000000000000001E-2</v>
      </c>
      <c r="J19">
        <f t="shared" si="3"/>
        <v>0.56000000000000005</v>
      </c>
      <c r="P19">
        <v>39500</v>
      </c>
    </row>
    <row r="20" spans="1:16" x14ac:dyDescent="0.25">
      <c r="A20" t="s">
        <v>20</v>
      </c>
      <c r="B20" t="s">
        <v>25</v>
      </c>
      <c r="C20" s="9">
        <v>341520</v>
      </c>
      <c r="D20" s="9"/>
      <c r="E20" s="9">
        <v>19900</v>
      </c>
      <c r="F20" s="9"/>
      <c r="G20" s="9">
        <f t="shared" si="0"/>
        <v>361420</v>
      </c>
      <c r="H20">
        <f t="shared" si="1"/>
        <v>65.88</v>
      </c>
      <c r="I20" s="10">
        <f t="shared" si="2"/>
        <v>0.123</v>
      </c>
      <c r="J20">
        <f t="shared" si="3"/>
        <v>0.01</v>
      </c>
      <c r="P20">
        <v>357860</v>
      </c>
    </row>
    <row r="21" spans="1:16" x14ac:dyDescent="0.25">
      <c r="A21" t="s">
        <v>20</v>
      </c>
      <c r="B21" t="s">
        <v>69</v>
      </c>
      <c r="C21" s="9"/>
      <c r="D21" s="9"/>
      <c r="E21" s="9">
        <v>8545</v>
      </c>
      <c r="F21" s="9"/>
      <c r="G21" s="9">
        <f t="shared" si="0"/>
        <v>8545</v>
      </c>
      <c r="H21">
        <f t="shared" si="1"/>
        <v>1.56</v>
      </c>
      <c r="I21" s="10">
        <f t="shared" si="2"/>
        <v>3.0000000000000001E-3</v>
      </c>
      <c r="J21">
        <f t="shared" si="3"/>
        <v>0.38</v>
      </c>
      <c r="P21">
        <v>6210</v>
      </c>
    </row>
    <row r="22" spans="1:16" x14ac:dyDescent="0.25">
      <c r="A22" t="s">
        <v>20</v>
      </c>
      <c r="B22" t="s">
        <v>26</v>
      </c>
      <c r="C22" s="9">
        <v>385050</v>
      </c>
      <c r="D22" s="9"/>
      <c r="E22" s="9"/>
      <c r="F22" s="9">
        <v>1470</v>
      </c>
      <c r="G22" s="9">
        <f t="shared" si="0"/>
        <v>386520</v>
      </c>
      <c r="H22">
        <f t="shared" si="1"/>
        <v>70.459999999999994</v>
      </c>
      <c r="I22" s="10">
        <f t="shared" si="2"/>
        <v>0.13200000000000001</v>
      </c>
      <c r="J22">
        <f t="shared" si="3"/>
        <v>-0.01</v>
      </c>
      <c r="P22">
        <v>389580</v>
      </c>
    </row>
    <row r="23" spans="1:16" x14ac:dyDescent="0.25">
      <c r="A23" t="s">
        <v>20</v>
      </c>
      <c r="B23" t="s">
        <v>27</v>
      </c>
      <c r="C23" s="9"/>
      <c r="D23" s="9"/>
      <c r="E23" s="9">
        <v>1429</v>
      </c>
      <c r="F23" s="9"/>
      <c r="G23" s="9">
        <f t="shared" si="0"/>
        <v>1429</v>
      </c>
      <c r="H23">
        <f t="shared" si="1"/>
        <v>0.26</v>
      </c>
      <c r="I23" s="10">
        <f t="shared" si="2"/>
        <v>0</v>
      </c>
      <c r="J23">
        <f t="shared" si="3"/>
        <v>0.15</v>
      </c>
      <c r="P23">
        <v>1248</v>
      </c>
    </row>
    <row r="24" spans="1:16" x14ac:dyDescent="0.25">
      <c r="A24" t="s">
        <v>20</v>
      </c>
      <c r="B24" t="s">
        <v>28</v>
      </c>
      <c r="C24" s="9"/>
      <c r="D24" s="9"/>
      <c r="E24" s="9">
        <v>682</v>
      </c>
      <c r="F24" s="9"/>
      <c r="G24" s="9">
        <f t="shared" si="0"/>
        <v>682</v>
      </c>
      <c r="H24">
        <f t="shared" si="1"/>
        <v>0.12</v>
      </c>
      <c r="I24" s="10">
        <f t="shared" si="2"/>
        <v>0</v>
      </c>
      <c r="J24">
        <f t="shared" si="3"/>
        <v>-0.08</v>
      </c>
      <c r="P24">
        <v>743</v>
      </c>
    </row>
    <row r="25" spans="1:16" x14ac:dyDescent="0.25">
      <c r="A25" t="s">
        <v>20</v>
      </c>
      <c r="B25" t="s">
        <v>29</v>
      </c>
      <c r="C25" s="9"/>
      <c r="D25" s="9"/>
      <c r="E25" s="9">
        <v>181</v>
      </c>
      <c r="F25" s="9"/>
      <c r="G25" s="9">
        <f t="shared" si="0"/>
        <v>181</v>
      </c>
      <c r="H25">
        <f t="shared" si="1"/>
        <v>0.03</v>
      </c>
      <c r="I25" s="10">
        <f t="shared" si="2"/>
        <v>0</v>
      </c>
      <c r="J25">
        <f t="shared" si="3"/>
        <v>-0.33</v>
      </c>
      <c r="P25">
        <v>270</v>
      </c>
    </row>
    <row r="26" spans="1:16" x14ac:dyDescent="0.25">
      <c r="A26" t="s">
        <v>20</v>
      </c>
      <c r="B26" t="s">
        <v>30</v>
      </c>
      <c r="C26" s="9"/>
      <c r="D26" s="9"/>
      <c r="E26" s="9">
        <v>8400</v>
      </c>
      <c r="F26" s="9"/>
      <c r="G26" s="9">
        <f t="shared" si="0"/>
        <v>8400</v>
      </c>
      <c r="H26">
        <f t="shared" si="1"/>
        <v>1.53</v>
      </c>
      <c r="I26" s="10">
        <f t="shared" si="2"/>
        <v>3.0000000000000001E-3</v>
      </c>
      <c r="J26">
        <f t="shared" si="3"/>
        <v>-0.09</v>
      </c>
      <c r="P26">
        <v>9230</v>
      </c>
    </row>
    <row r="27" spans="1:16" x14ac:dyDescent="0.25">
      <c r="A27" t="s">
        <v>20</v>
      </c>
      <c r="B27" t="s">
        <v>31</v>
      </c>
      <c r="C27" s="9"/>
      <c r="D27" s="9"/>
      <c r="E27" s="9">
        <v>1850</v>
      </c>
      <c r="F27" s="9"/>
      <c r="G27" s="9">
        <f t="shared" si="0"/>
        <v>1850</v>
      </c>
      <c r="H27">
        <f t="shared" si="1"/>
        <v>0.34</v>
      </c>
      <c r="I27" s="10">
        <f t="shared" si="2"/>
        <v>1E-3</v>
      </c>
      <c r="J27">
        <f t="shared" si="3"/>
        <v>-0.26</v>
      </c>
      <c r="P27">
        <v>2500</v>
      </c>
    </row>
    <row r="28" spans="1:16" x14ac:dyDescent="0.25">
      <c r="A28" t="s">
        <v>20</v>
      </c>
      <c r="B28" t="s">
        <v>32</v>
      </c>
      <c r="C28" s="9"/>
      <c r="D28" s="9"/>
      <c r="E28" s="9">
        <v>740</v>
      </c>
      <c r="F28" s="9"/>
      <c r="G28" s="9">
        <f t="shared" si="0"/>
        <v>740</v>
      </c>
      <c r="H28">
        <f t="shared" si="1"/>
        <v>0.13</v>
      </c>
      <c r="I28" s="10">
        <f t="shared" si="2"/>
        <v>0</v>
      </c>
      <c r="J28">
        <f t="shared" si="3"/>
        <v>-0.18</v>
      </c>
      <c r="P28">
        <v>900</v>
      </c>
    </row>
    <row r="29" spans="1:16" x14ac:dyDescent="0.25">
      <c r="A29" t="s">
        <v>20</v>
      </c>
      <c r="B29" t="s">
        <v>33</v>
      </c>
      <c r="C29" s="9"/>
      <c r="D29" s="9"/>
      <c r="E29" s="9">
        <v>3365</v>
      </c>
      <c r="F29" s="9"/>
      <c r="G29" s="9">
        <f t="shared" si="0"/>
        <v>3365</v>
      </c>
      <c r="H29">
        <f t="shared" si="1"/>
        <v>0.61</v>
      </c>
      <c r="I29" s="10">
        <f t="shared" si="2"/>
        <v>1E-3</v>
      </c>
      <c r="J29">
        <f t="shared" si="3"/>
        <v>0.09</v>
      </c>
      <c r="P29">
        <v>3080</v>
      </c>
    </row>
    <row r="30" spans="1:16" x14ac:dyDescent="0.25">
      <c r="A30" t="s">
        <v>20</v>
      </c>
      <c r="B30" t="s">
        <v>43</v>
      </c>
      <c r="C30" s="9"/>
      <c r="D30" s="9">
        <v>634</v>
      </c>
      <c r="E30" s="9"/>
      <c r="F30" s="9"/>
      <c r="G30" s="9">
        <f t="shared" si="0"/>
        <v>634</v>
      </c>
      <c r="H30">
        <f t="shared" si="1"/>
        <v>0.12</v>
      </c>
      <c r="I30" s="10">
        <f t="shared" si="2"/>
        <v>0</v>
      </c>
      <c r="J30">
        <f t="shared" si="3"/>
        <v>-0.04</v>
      </c>
      <c r="P30">
        <v>660</v>
      </c>
    </row>
    <row r="31" spans="1:16" x14ac:dyDescent="0.25">
      <c r="A31" t="s">
        <v>20</v>
      </c>
      <c r="B31" t="s">
        <v>70</v>
      </c>
      <c r="C31" s="9"/>
      <c r="D31" s="9"/>
      <c r="E31" s="9">
        <v>1470</v>
      </c>
      <c r="F31" s="9"/>
      <c r="G31" s="9">
        <f t="shared" si="0"/>
        <v>1470</v>
      </c>
      <c r="H31">
        <f t="shared" si="1"/>
        <v>0.27</v>
      </c>
      <c r="I31" s="10">
        <f t="shared" si="2"/>
        <v>1E-3</v>
      </c>
      <c r="J31">
        <f t="shared" si="3"/>
        <v>-0.25</v>
      </c>
      <c r="P31">
        <v>1960</v>
      </c>
    </row>
    <row r="32" spans="1:16" x14ac:dyDescent="0.25">
      <c r="A32" t="s">
        <v>20</v>
      </c>
      <c r="B32" t="s">
        <v>34</v>
      </c>
      <c r="C32" s="9"/>
      <c r="D32" s="9">
        <v>840</v>
      </c>
      <c r="E32" s="9"/>
      <c r="F32" s="9"/>
      <c r="G32" s="9">
        <f t="shared" si="0"/>
        <v>840</v>
      </c>
      <c r="H32">
        <f t="shared" si="1"/>
        <v>0.15</v>
      </c>
      <c r="I32" s="10">
        <f t="shared" si="2"/>
        <v>0</v>
      </c>
      <c r="J32">
        <f t="shared" si="3"/>
        <v>0.01</v>
      </c>
      <c r="P32">
        <v>830</v>
      </c>
    </row>
    <row r="33" spans="1:16" x14ac:dyDescent="0.25">
      <c r="A33" t="s">
        <v>20</v>
      </c>
      <c r="B33" t="s">
        <v>35</v>
      </c>
      <c r="C33" s="9"/>
      <c r="D33" s="9"/>
      <c r="E33" s="9">
        <v>4830</v>
      </c>
      <c r="F33" s="9"/>
      <c r="G33" s="9">
        <f t="shared" si="0"/>
        <v>4830</v>
      </c>
      <c r="H33">
        <f t="shared" si="1"/>
        <v>0.88</v>
      </c>
      <c r="I33" s="10">
        <f t="shared" si="2"/>
        <v>2E-3</v>
      </c>
      <c r="J33">
        <f t="shared" si="3"/>
        <v>-0.4</v>
      </c>
      <c r="P33">
        <v>8085</v>
      </c>
    </row>
    <row r="34" spans="1:16" x14ac:dyDescent="0.25">
      <c r="A34" t="s">
        <v>20</v>
      </c>
      <c r="B34" t="s">
        <v>36</v>
      </c>
      <c r="C34" s="9"/>
      <c r="D34" s="9"/>
      <c r="E34" s="9">
        <v>9196</v>
      </c>
      <c r="F34" s="9"/>
      <c r="G34" s="9">
        <f t="shared" si="0"/>
        <v>9196</v>
      </c>
      <c r="H34">
        <f t="shared" si="1"/>
        <v>1.68</v>
      </c>
      <c r="I34" s="10">
        <f t="shared" si="2"/>
        <v>3.0000000000000001E-3</v>
      </c>
      <c r="J34">
        <f t="shared" si="3"/>
        <v>-0.13</v>
      </c>
      <c r="P34">
        <v>10620</v>
      </c>
    </row>
    <row r="35" spans="1:16" x14ac:dyDescent="0.25">
      <c r="A35" t="s">
        <v>20</v>
      </c>
      <c r="B35" t="s">
        <v>41</v>
      </c>
      <c r="C35" s="9"/>
      <c r="D35" s="9"/>
      <c r="E35" s="9">
        <v>14541</v>
      </c>
      <c r="F35" s="9"/>
      <c r="G35" s="9">
        <f t="shared" si="0"/>
        <v>14541</v>
      </c>
      <c r="H35">
        <f t="shared" si="1"/>
        <v>2.65</v>
      </c>
      <c r="I35" s="10">
        <f t="shared" si="2"/>
        <v>5.0000000000000001E-3</v>
      </c>
      <c r="J35">
        <f t="shared" si="3"/>
        <v>0.23</v>
      </c>
      <c r="P35">
        <v>11791</v>
      </c>
    </row>
    <row r="36" spans="1:16" x14ac:dyDescent="0.25">
      <c r="A36" t="s">
        <v>20</v>
      </c>
      <c r="B36" t="s">
        <v>37</v>
      </c>
      <c r="C36" s="9"/>
      <c r="D36" s="9"/>
      <c r="E36" s="9">
        <v>97520</v>
      </c>
      <c r="F36" s="9">
        <v>190</v>
      </c>
      <c r="G36" s="9">
        <f t="shared" si="0"/>
        <v>97710</v>
      </c>
      <c r="H36">
        <f t="shared" si="1"/>
        <v>17.809999999999999</v>
      </c>
      <c r="I36" s="10">
        <f t="shared" si="2"/>
        <v>3.3000000000000002E-2</v>
      </c>
      <c r="J36">
        <f t="shared" si="3"/>
        <v>7.0000000000000007E-2</v>
      </c>
      <c r="P36">
        <v>91550</v>
      </c>
    </row>
    <row r="37" spans="1:16" x14ac:dyDescent="0.25">
      <c r="A37" t="s">
        <v>20</v>
      </c>
      <c r="B37" t="s">
        <v>38</v>
      </c>
      <c r="C37" s="9"/>
      <c r="D37" s="9"/>
      <c r="E37" s="9">
        <v>9200</v>
      </c>
      <c r="F37" s="9"/>
      <c r="G37" s="9">
        <f t="shared" si="0"/>
        <v>9200</v>
      </c>
      <c r="H37">
        <f t="shared" si="1"/>
        <v>1.68</v>
      </c>
      <c r="I37" s="10">
        <f t="shared" si="2"/>
        <v>3.0000000000000001E-3</v>
      </c>
      <c r="J37">
        <f t="shared" si="3"/>
        <v>0.51</v>
      </c>
      <c r="P37">
        <v>6100</v>
      </c>
    </row>
    <row r="38" spans="1:16" x14ac:dyDescent="0.25">
      <c r="A38" t="s">
        <v>20</v>
      </c>
      <c r="B38" t="s">
        <v>39</v>
      </c>
      <c r="C38" s="9"/>
      <c r="D38" s="9"/>
      <c r="E38" s="9">
        <v>21130</v>
      </c>
      <c r="F38" s="9"/>
      <c r="G38" s="9">
        <f t="shared" si="0"/>
        <v>21130</v>
      </c>
      <c r="H38">
        <f t="shared" si="1"/>
        <v>3.85</v>
      </c>
      <c r="I38" s="10">
        <f t="shared" si="2"/>
        <v>7.0000000000000001E-3</v>
      </c>
      <c r="J38">
        <f t="shared" si="3"/>
        <v>-0.06</v>
      </c>
      <c r="P38">
        <v>22500</v>
      </c>
    </row>
    <row r="39" spans="1:16" x14ac:dyDescent="0.25">
      <c r="A39" t="s">
        <v>20</v>
      </c>
      <c r="B39" t="s">
        <v>40</v>
      </c>
      <c r="C39" s="9"/>
      <c r="D39" s="9">
        <v>754860</v>
      </c>
      <c r="E39" s="9">
        <v>43720</v>
      </c>
      <c r="F39" s="9"/>
      <c r="G39" s="9">
        <f t="shared" si="0"/>
        <v>798580</v>
      </c>
      <c r="H39">
        <f t="shared" si="1"/>
        <v>145.57</v>
      </c>
      <c r="I39" s="10">
        <f t="shared" si="2"/>
        <v>0.27200000000000002</v>
      </c>
      <c r="J39">
        <f t="shared" si="3"/>
        <v>0.14000000000000001</v>
      </c>
      <c r="P39">
        <v>700550</v>
      </c>
    </row>
    <row r="40" spans="1:16" x14ac:dyDescent="0.25">
      <c r="A40" t="s">
        <v>20</v>
      </c>
      <c r="B40" t="s">
        <v>168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44</v>
      </c>
      <c r="B41" t="s">
        <v>45</v>
      </c>
      <c r="C41" s="9">
        <v>573140</v>
      </c>
      <c r="D41" s="9"/>
      <c r="E41" s="9"/>
      <c r="F41" s="9">
        <v>5930</v>
      </c>
      <c r="G41" s="9">
        <f t="shared" si="0"/>
        <v>579070</v>
      </c>
      <c r="H41">
        <f t="shared" si="1"/>
        <v>105.55</v>
      </c>
      <c r="I41" s="10">
        <f t="shared" si="2"/>
        <v>0.19700000000000001</v>
      </c>
      <c r="J41">
        <f>ROUND(G41/P41-1,2)</f>
        <v>0.04</v>
      </c>
      <c r="P41">
        <v>555150</v>
      </c>
    </row>
    <row r="42" spans="1:16" x14ac:dyDescent="0.25">
      <c r="A42" t="s">
        <v>44</v>
      </c>
      <c r="B42" t="s">
        <v>47</v>
      </c>
      <c r="C42" s="9"/>
      <c r="D42" s="9"/>
      <c r="E42" s="9"/>
      <c r="F42" s="9">
        <v>44180</v>
      </c>
      <c r="G42" s="9">
        <f t="shared" si="0"/>
        <v>44180</v>
      </c>
      <c r="H42">
        <f t="shared" si="1"/>
        <v>8.0500000000000007</v>
      </c>
      <c r="I42" s="10">
        <f t="shared" si="2"/>
        <v>1.4999999999999999E-2</v>
      </c>
      <c r="J42">
        <f>ROUND(G42/P42-1,2)</f>
        <v>0.57999999999999996</v>
      </c>
      <c r="P42">
        <v>27880</v>
      </c>
    </row>
    <row r="43" spans="1:16" x14ac:dyDescent="0.25">
      <c r="A43" t="s">
        <v>44</v>
      </c>
      <c r="B43" t="s">
        <v>46</v>
      </c>
      <c r="C43" s="9"/>
      <c r="D43" s="9"/>
      <c r="E43" s="9">
        <v>67840</v>
      </c>
      <c r="F43" s="9"/>
      <c r="G43" s="9">
        <f t="shared" si="0"/>
        <v>67840</v>
      </c>
      <c r="H43">
        <f t="shared" si="1"/>
        <v>12.37</v>
      </c>
      <c r="I43" s="10">
        <f t="shared" si="2"/>
        <v>2.3E-2</v>
      </c>
      <c r="J43">
        <f>ROUND(G43/P43-1,2)</f>
        <v>-0.02</v>
      </c>
      <c r="P43">
        <v>69030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SUM(C8:C43)</f>
        <v>1747825</v>
      </c>
      <c r="D49" s="12">
        <f t="shared" si="4"/>
        <v>756334</v>
      </c>
      <c r="E49" s="12">
        <f t="shared" si="4"/>
        <v>382380</v>
      </c>
      <c r="F49" s="12">
        <f t="shared" si="4"/>
        <v>52515</v>
      </c>
      <c r="G49" s="12">
        <f t="shared" si="4"/>
        <v>2939054</v>
      </c>
      <c r="H49" s="11">
        <f t="shared" si="4"/>
        <v>535.72</v>
      </c>
      <c r="I49" s="4"/>
    </row>
    <row r="50" spans="1:10" x14ac:dyDescent="0.25">
      <c r="A50" s="11" t="s">
        <v>14</v>
      </c>
      <c r="C50" s="13">
        <f>ROUND(C49/G49,2)</f>
        <v>0.59</v>
      </c>
      <c r="D50" s="13">
        <f>ROUND(D49/G49,2)</f>
        <v>0.26</v>
      </c>
      <c r="E50" s="13">
        <f>ROUND(E49/G49,2)</f>
        <v>0.13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1174685</v>
      </c>
      <c r="D54" s="15">
        <v>756334</v>
      </c>
      <c r="E54" s="15">
        <v>314540</v>
      </c>
      <c r="F54" s="15">
        <v>2175</v>
      </c>
      <c r="G54" s="15">
        <f>SUM(C54:F54)</f>
        <v>2247734</v>
      </c>
      <c r="H54" s="17">
        <f>ROUND(G54/5486,2)</f>
        <v>409.72</v>
      </c>
      <c r="I54" s="4"/>
      <c r="J54" s="4"/>
    </row>
    <row r="55" spans="1:10" x14ac:dyDescent="0.25">
      <c r="A55" s="33" t="s">
        <v>50</v>
      </c>
      <c r="B55" s="33"/>
      <c r="C55" s="15">
        <v>573140</v>
      </c>
      <c r="D55" s="15">
        <v>0</v>
      </c>
      <c r="E55" s="15">
        <v>67840</v>
      </c>
      <c r="F55" s="15">
        <v>50110</v>
      </c>
      <c r="G55" s="15">
        <f>SUM(C55:F55)</f>
        <v>691090</v>
      </c>
      <c r="H55" s="17">
        <f>ROUND(G55/5486,2)</f>
        <v>125.97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230</v>
      </c>
      <c r="G56" s="15">
        <f>SUM(C56:F56)</f>
        <v>230</v>
      </c>
      <c r="H56" s="17">
        <f>ROUND(G56/5486,2)</f>
        <v>0.04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ROUND(0.7944, 4)</f>
        <v>0.7944</v>
      </c>
      <c r="D60" s="19">
        <f>ROUND(0.7933, 4)</f>
        <v>0.79330000000000001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ROUND(0.7845, 4)</f>
        <v>0.78449999999999998</v>
      </c>
      <c r="D61" s="19">
        <f>ROUND(0.7834, 4)</f>
        <v>0.78339999999999999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191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105.55</v>
      </c>
      <c r="D64" s="17">
        <v>101.17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70.459999999999994</v>
      </c>
      <c r="D65" s="17">
        <v>74.760000000000005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411.24</v>
      </c>
      <c r="D66" s="17">
        <v>392.91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125.97</v>
      </c>
      <c r="D67" s="17">
        <v>119.66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37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192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6888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36</v>
      </c>
      <c r="G9" s="9">
        <f t="shared" ref="G9:G48" si="0">SUM(C9:F9)</f>
        <v>36</v>
      </c>
      <c r="H9">
        <f t="shared" ref="H9:H48" si="1">ROUND(G9/6888,2)</f>
        <v>0.01</v>
      </c>
      <c r="I9" s="10">
        <f t="shared" ref="I9:I48" si="2">ROUND(G9/$G$49,3)</f>
        <v>0</v>
      </c>
      <c r="J9">
        <f>ROUND(G9/P9-1,2)</f>
        <v>0.24</v>
      </c>
      <c r="P9">
        <v>29</v>
      </c>
    </row>
    <row r="10" spans="1:16" x14ac:dyDescent="0.25">
      <c r="A10" t="s">
        <v>16</v>
      </c>
      <c r="B10" t="s">
        <v>17</v>
      </c>
      <c r="C10" s="9"/>
      <c r="D10" s="9"/>
      <c r="E10" s="9"/>
      <c r="F10" s="9">
        <v>400</v>
      </c>
      <c r="G10" s="9">
        <f t="shared" si="0"/>
        <v>400</v>
      </c>
      <c r="H10">
        <f t="shared" si="1"/>
        <v>0.06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66</v>
      </c>
      <c r="C11" s="9"/>
      <c r="D11" s="9"/>
      <c r="E11" s="9"/>
      <c r="F11" s="9">
        <v>70</v>
      </c>
      <c r="G11" s="9">
        <f t="shared" si="0"/>
        <v>70</v>
      </c>
      <c r="H11">
        <f t="shared" si="1"/>
        <v>0.01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18</v>
      </c>
      <c r="C12" s="9"/>
      <c r="D12" s="9"/>
      <c r="E12" s="9"/>
      <c r="F12" s="9">
        <v>975</v>
      </c>
      <c r="G12" s="9">
        <f t="shared" si="0"/>
        <v>975</v>
      </c>
      <c r="H12">
        <f t="shared" si="1"/>
        <v>0.14000000000000001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58</v>
      </c>
      <c r="F13" s="9"/>
      <c r="G13" s="9">
        <f t="shared" si="0"/>
        <v>58</v>
      </c>
      <c r="H13">
        <f t="shared" si="1"/>
        <v>0.01</v>
      </c>
      <c r="I13" s="10">
        <f t="shared" si="2"/>
        <v>0</v>
      </c>
      <c r="J13">
        <f t="shared" ref="J13:J18" si="3">ROUND(G13/P13-1,2)</f>
        <v>-0.6</v>
      </c>
      <c r="P13">
        <v>146</v>
      </c>
    </row>
    <row r="14" spans="1:16" x14ac:dyDescent="0.25">
      <c r="A14" t="s">
        <v>20</v>
      </c>
      <c r="B14" t="s">
        <v>21</v>
      </c>
      <c r="C14" s="9">
        <v>213170</v>
      </c>
      <c r="D14" s="9"/>
      <c r="E14" s="9">
        <v>6200</v>
      </c>
      <c r="F14" s="9">
        <v>440</v>
      </c>
      <c r="G14" s="9">
        <f t="shared" si="0"/>
        <v>219810</v>
      </c>
      <c r="H14">
        <f t="shared" si="1"/>
        <v>31.91</v>
      </c>
      <c r="I14" s="10">
        <f t="shared" si="2"/>
        <v>0.1</v>
      </c>
      <c r="J14">
        <f t="shared" si="3"/>
        <v>0.03</v>
      </c>
      <c r="P14">
        <v>214270</v>
      </c>
    </row>
    <row r="15" spans="1:16" x14ac:dyDescent="0.25">
      <c r="A15" t="s">
        <v>20</v>
      </c>
      <c r="B15" t="s">
        <v>22</v>
      </c>
      <c r="C15" s="9">
        <v>259070</v>
      </c>
      <c r="D15" s="9"/>
      <c r="E15" s="9"/>
      <c r="F15" s="9"/>
      <c r="G15" s="9">
        <f t="shared" si="0"/>
        <v>259070</v>
      </c>
      <c r="H15">
        <f t="shared" si="1"/>
        <v>37.61</v>
      </c>
      <c r="I15" s="10">
        <f t="shared" si="2"/>
        <v>0.11799999999999999</v>
      </c>
      <c r="J15">
        <f t="shared" si="3"/>
        <v>-0.12</v>
      </c>
      <c r="P15">
        <v>293150</v>
      </c>
    </row>
    <row r="16" spans="1:16" x14ac:dyDescent="0.25">
      <c r="A16" t="s">
        <v>20</v>
      </c>
      <c r="B16" t="s">
        <v>79</v>
      </c>
      <c r="C16" s="9"/>
      <c r="D16" s="9"/>
      <c r="E16" s="9">
        <v>137</v>
      </c>
      <c r="F16" s="9">
        <v>17</v>
      </c>
      <c r="G16" s="9">
        <f t="shared" si="0"/>
        <v>154</v>
      </c>
      <c r="H16">
        <f t="shared" si="1"/>
        <v>0.02</v>
      </c>
      <c r="I16" s="10">
        <f t="shared" si="2"/>
        <v>0</v>
      </c>
      <c r="J16">
        <f t="shared" si="3"/>
        <v>1.41</v>
      </c>
      <c r="P16">
        <v>64</v>
      </c>
    </row>
    <row r="17" spans="1:16" x14ac:dyDescent="0.25">
      <c r="A17" t="s">
        <v>20</v>
      </c>
      <c r="B17" t="s">
        <v>42</v>
      </c>
      <c r="C17" s="9"/>
      <c r="D17" s="9"/>
      <c r="E17" s="9">
        <v>282</v>
      </c>
      <c r="F17" s="9"/>
      <c r="G17" s="9">
        <f t="shared" si="0"/>
        <v>282</v>
      </c>
      <c r="H17">
        <f t="shared" si="1"/>
        <v>0.04</v>
      </c>
      <c r="I17" s="10">
        <f t="shared" si="2"/>
        <v>0</v>
      </c>
      <c r="J17">
        <f t="shared" si="3"/>
        <v>-0.15</v>
      </c>
      <c r="P17">
        <v>333</v>
      </c>
    </row>
    <row r="18" spans="1:16" x14ac:dyDescent="0.25">
      <c r="A18" t="s">
        <v>20</v>
      </c>
      <c r="B18" t="s">
        <v>23</v>
      </c>
      <c r="C18" s="9"/>
      <c r="D18" s="9"/>
      <c r="E18" s="9">
        <v>3300</v>
      </c>
      <c r="F18" s="9"/>
      <c r="G18" s="9">
        <f t="shared" si="0"/>
        <v>3300</v>
      </c>
      <c r="H18">
        <f t="shared" si="1"/>
        <v>0.48</v>
      </c>
      <c r="I18" s="10">
        <f t="shared" si="2"/>
        <v>1E-3</v>
      </c>
      <c r="J18">
        <f t="shared" si="3"/>
        <v>0.66</v>
      </c>
      <c r="P18">
        <v>1990</v>
      </c>
    </row>
    <row r="19" spans="1:16" x14ac:dyDescent="0.25">
      <c r="A19" t="s">
        <v>20</v>
      </c>
      <c r="B19" t="s">
        <v>102</v>
      </c>
      <c r="C19" s="9"/>
      <c r="D19" s="9"/>
      <c r="E19" s="9"/>
      <c r="F19" s="9">
        <v>368</v>
      </c>
      <c r="G19" s="9">
        <f t="shared" si="0"/>
        <v>368</v>
      </c>
      <c r="H19">
        <f t="shared" si="1"/>
        <v>0.05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97120</v>
      </c>
      <c r="F20" s="9"/>
      <c r="G20" s="9">
        <f t="shared" si="0"/>
        <v>97120</v>
      </c>
      <c r="H20">
        <f t="shared" si="1"/>
        <v>14.1</v>
      </c>
      <c r="I20" s="10">
        <f t="shared" si="2"/>
        <v>4.3999999999999997E-2</v>
      </c>
      <c r="J20">
        <f t="shared" ref="J20:J41" si="4">ROUND(G20/P20-1,2)</f>
        <v>0.23</v>
      </c>
      <c r="P20">
        <v>78700</v>
      </c>
    </row>
    <row r="21" spans="1:16" x14ac:dyDescent="0.25">
      <c r="A21" t="s">
        <v>20</v>
      </c>
      <c r="B21" t="s">
        <v>25</v>
      </c>
      <c r="C21" s="9">
        <v>307680</v>
      </c>
      <c r="D21" s="9"/>
      <c r="E21" s="9">
        <v>30410</v>
      </c>
      <c r="F21" s="9">
        <v>1300</v>
      </c>
      <c r="G21" s="9">
        <f t="shared" si="0"/>
        <v>339390</v>
      </c>
      <c r="H21">
        <f t="shared" si="1"/>
        <v>49.27</v>
      </c>
      <c r="I21" s="10">
        <f t="shared" si="2"/>
        <v>0.154</v>
      </c>
      <c r="J21">
        <f t="shared" si="4"/>
        <v>0.08</v>
      </c>
      <c r="P21">
        <v>314320</v>
      </c>
    </row>
    <row r="22" spans="1:16" x14ac:dyDescent="0.25">
      <c r="A22" t="s">
        <v>20</v>
      </c>
      <c r="B22" t="s">
        <v>69</v>
      </c>
      <c r="C22" s="9"/>
      <c r="D22" s="9"/>
      <c r="E22" s="9">
        <v>7255</v>
      </c>
      <c r="F22" s="9"/>
      <c r="G22" s="9">
        <f t="shared" si="0"/>
        <v>7255</v>
      </c>
      <c r="H22">
        <f t="shared" si="1"/>
        <v>1.05</v>
      </c>
      <c r="I22" s="10">
        <f t="shared" si="2"/>
        <v>3.0000000000000001E-3</v>
      </c>
      <c r="J22">
        <f t="shared" si="4"/>
        <v>-0.17</v>
      </c>
      <c r="P22">
        <v>8735</v>
      </c>
    </row>
    <row r="23" spans="1:16" x14ac:dyDescent="0.25">
      <c r="A23" t="s">
        <v>20</v>
      </c>
      <c r="B23" t="s">
        <v>26</v>
      </c>
      <c r="C23" s="9">
        <v>449510</v>
      </c>
      <c r="D23" s="9"/>
      <c r="E23" s="9"/>
      <c r="F23" s="9">
        <v>2010</v>
      </c>
      <c r="G23" s="9">
        <f t="shared" si="0"/>
        <v>451520</v>
      </c>
      <c r="H23">
        <f t="shared" si="1"/>
        <v>65.55</v>
      </c>
      <c r="I23" s="10">
        <f t="shared" si="2"/>
        <v>0.20499999999999999</v>
      </c>
      <c r="J23">
        <f t="shared" si="4"/>
        <v>-0.02</v>
      </c>
      <c r="P23">
        <v>458650</v>
      </c>
    </row>
    <row r="24" spans="1:16" x14ac:dyDescent="0.25">
      <c r="A24" t="s">
        <v>20</v>
      </c>
      <c r="B24" t="s">
        <v>27</v>
      </c>
      <c r="C24" s="9"/>
      <c r="D24" s="9"/>
      <c r="E24" s="9">
        <v>2731</v>
      </c>
      <c r="F24" s="9"/>
      <c r="G24" s="9">
        <f t="shared" si="0"/>
        <v>2731</v>
      </c>
      <c r="H24">
        <f t="shared" si="1"/>
        <v>0.4</v>
      </c>
      <c r="I24" s="10">
        <f t="shared" si="2"/>
        <v>1E-3</v>
      </c>
      <c r="J24">
        <f t="shared" si="4"/>
        <v>-0.15</v>
      </c>
      <c r="P24">
        <v>3210</v>
      </c>
    </row>
    <row r="25" spans="1:16" x14ac:dyDescent="0.25">
      <c r="A25" t="s">
        <v>20</v>
      </c>
      <c r="B25" t="s">
        <v>28</v>
      </c>
      <c r="C25" s="9"/>
      <c r="D25" s="9"/>
      <c r="E25" s="9">
        <v>1510</v>
      </c>
      <c r="F25" s="9"/>
      <c r="G25" s="9">
        <f t="shared" si="0"/>
        <v>1510</v>
      </c>
      <c r="H25">
        <f t="shared" si="1"/>
        <v>0.22</v>
      </c>
      <c r="I25" s="10">
        <f t="shared" si="2"/>
        <v>1E-3</v>
      </c>
      <c r="J25">
        <f t="shared" si="4"/>
        <v>2.15</v>
      </c>
      <c r="P25">
        <v>480</v>
      </c>
    </row>
    <row r="26" spans="1:16" x14ac:dyDescent="0.25">
      <c r="A26" t="s">
        <v>20</v>
      </c>
      <c r="B26" t="s">
        <v>29</v>
      </c>
      <c r="C26" s="9"/>
      <c r="D26" s="9"/>
      <c r="E26" s="9">
        <v>345</v>
      </c>
      <c r="F26" s="9"/>
      <c r="G26" s="9">
        <f t="shared" si="0"/>
        <v>345</v>
      </c>
      <c r="H26">
        <f t="shared" si="1"/>
        <v>0.05</v>
      </c>
      <c r="I26" s="10">
        <f t="shared" si="2"/>
        <v>0</v>
      </c>
      <c r="J26">
        <f t="shared" si="4"/>
        <v>0.92</v>
      </c>
      <c r="P26">
        <v>180</v>
      </c>
    </row>
    <row r="27" spans="1:16" x14ac:dyDescent="0.25">
      <c r="A27" t="s">
        <v>20</v>
      </c>
      <c r="B27" t="s">
        <v>30</v>
      </c>
      <c r="C27" s="9"/>
      <c r="D27" s="9"/>
      <c r="E27" s="9">
        <v>8300</v>
      </c>
      <c r="F27" s="9"/>
      <c r="G27" s="9">
        <f t="shared" si="0"/>
        <v>8300</v>
      </c>
      <c r="H27">
        <f t="shared" si="1"/>
        <v>1.2</v>
      </c>
      <c r="I27" s="10">
        <f t="shared" si="2"/>
        <v>4.0000000000000001E-3</v>
      </c>
      <c r="J27">
        <f t="shared" si="4"/>
        <v>-0.14000000000000001</v>
      </c>
      <c r="P27">
        <v>9650</v>
      </c>
    </row>
    <row r="28" spans="1:16" x14ac:dyDescent="0.25">
      <c r="A28" t="s">
        <v>20</v>
      </c>
      <c r="B28" t="s">
        <v>31</v>
      </c>
      <c r="C28" s="9"/>
      <c r="D28" s="9"/>
      <c r="E28" s="9">
        <v>2100</v>
      </c>
      <c r="F28" s="9"/>
      <c r="G28" s="9">
        <f t="shared" si="0"/>
        <v>2100</v>
      </c>
      <c r="H28">
        <f t="shared" si="1"/>
        <v>0.3</v>
      </c>
      <c r="I28" s="10">
        <f t="shared" si="2"/>
        <v>1E-3</v>
      </c>
      <c r="J28">
        <f t="shared" si="4"/>
        <v>0.04</v>
      </c>
      <c r="P28">
        <v>2010</v>
      </c>
    </row>
    <row r="29" spans="1:16" x14ac:dyDescent="0.25">
      <c r="A29" t="s">
        <v>20</v>
      </c>
      <c r="B29" t="s">
        <v>32</v>
      </c>
      <c r="C29" s="9"/>
      <c r="D29" s="9"/>
      <c r="E29" s="9">
        <v>350</v>
      </c>
      <c r="F29" s="9"/>
      <c r="G29" s="9">
        <f t="shared" si="0"/>
        <v>350</v>
      </c>
      <c r="H29">
        <f t="shared" si="1"/>
        <v>0.05</v>
      </c>
      <c r="I29" s="10">
        <f t="shared" si="2"/>
        <v>0</v>
      </c>
      <c r="J29">
        <f t="shared" si="4"/>
        <v>-0.28999999999999998</v>
      </c>
      <c r="P29">
        <v>490</v>
      </c>
    </row>
    <row r="30" spans="1:16" x14ac:dyDescent="0.25">
      <c r="A30" t="s">
        <v>20</v>
      </c>
      <c r="B30" t="s">
        <v>33</v>
      </c>
      <c r="C30" s="9"/>
      <c r="D30" s="9"/>
      <c r="E30" s="9">
        <v>1820</v>
      </c>
      <c r="F30" s="9"/>
      <c r="G30" s="9">
        <f t="shared" si="0"/>
        <v>1820</v>
      </c>
      <c r="H30">
        <f t="shared" si="1"/>
        <v>0.26</v>
      </c>
      <c r="I30" s="10">
        <f t="shared" si="2"/>
        <v>1E-3</v>
      </c>
      <c r="J30">
        <f t="shared" si="4"/>
        <v>-0.1</v>
      </c>
      <c r="P30">
        <v>2015</v>
      </c>
    </row>
    <row r="31" spans="1:16" x14ac:dyDescent="0.25">
      <c r="A31" t="s">
        <v>20</v>
      </c>
      <c r="B31" t="s">
        <v>43</v>
      </c>
      <c r="C31" s="9"/>
      <c r="D31" s="9">
        <v>767</v>
      </c>
      <c r="E31" s="9">
        <v>105</v>
      </c>
      <c r="F31" s="9"/>
      <c r="G31" s="9">
        <f t="shared" si="0"/>
        <v>872</v>
      </c>
      <c r="H31">
        <f t="shared" si="1"/>
        <v>0.13</v>
      </c>
      <c r="I31" s="10">
        <f t="shared" si="2"/>
        <v>0</v>
      </c>
      <c r="J31">
        <f t="shared" si="4"/>
        <v>0.09</v>
      </c>
      <c r="P31">
        <v>799</v>
      </c>
    </row>
    <row r="32" spans="1:16" x14ac:dyDescent="0.25">
      <c r="A32" t="s">
        <v>20</v>
      </c>
      <c r="B32" t="s">
        <v>70</v>
      </c>
      <c r="C32" s="9"/>
      <c r="D32" s="9"/>
      <c r="E32" s="9">
        <v>550</v>
      </c>
      <c r="F32" s="9"/>
      <c r="G32" s="9">
        <f t="shared" si="0"/>
        <v>550</v>
      </c>
      <c r="H32">
        <f t="shared" si="1"/>
        <v>0.08</v>
      </c>
      <c r="I32" s="10">
        <f t="shared" si="2"/>
        <v>0</v>
      </c>
      <c r="J32">
        <f t="shared" si="4"/>
        <v>-0.81</v>
      </c>
      <c r="P32">
        <v>2970</v>
      </c>
    </row>
    <row r="33" spans="1:16" x14ac:dyDescent="0.25">
      <c r="A33" t="s">
        <v>20</v>
      </c>
      <c r="B33" t="s">
        <v>34</v>
      </c>
      <c r="C33" s="9"/>
      <c r="D33" s="9"/>
      <c r="E33" s="9">
        <v>1062</v>
      </c>
      <c r="F33" s="9"/>
      <c r="G33" s="9">
        <f t="shared" si="0"/>
        <v>1062</v>
      </c>
      <c r="H33">
        <f t="shared" si="1"/>
        <v>0.15</v>
      </c>
      <c r="I33" s="10">
        <f t="shared" si="2"/>
        <v>0</v>
      </c>
      <c r="J33">
        <f t="shared" si="4"/>
        <v>5.36</v>
      </c>
      <c r="P33">
        <v>167</v>
      </c>
    </row>
    <row r="34" spans="1:16" x14ac:dyDescent="0.25">
      <c r="A34" t="s">
        <v>20</v>
      </c>
      <c r="B34" t="s">
        <v>35</v>
      </c>
      <c r="C34" s="9"/>
      <c r="D34" s="9"/>
      <c r="E34" s="9">
        <v>4820</v>
      </c>
      <c r="F34" s="9"/>
      <c r="G34" s="9">
        <f t="shared" si="0"/>
        <v>4820</v>
      </c>
      <c r="H34">
        <f t="shared" si="1"/>
        <v>0.7</v>
      </c>
      <c r="I34" s="10">
        <f t="shared" si="2"/>
        <v>2E-3</v>
      </c>
      <c r="J34">
        <f t="shared" si="4"/>
        <v>-0.39</v>
      </c>
      <c r="P34">
        <v>7841</v>
      </c>
    </row>
    <row r="35" spans="1:16" x14ac:dyDescent="0.25">
      <c r="A35" t="s">
        <v>20</v>
      </c>
      <c r="B35" t="s">
        <v>41</v>
      </c>
      <c r="C35" s="9"/>
      <c r="D35" s="9"/>
      <c r="E35" s="9">
        <v>16248</v>
      </c>
      <c r="F35" s="9"/>
      <c r="G35" s="9">
        <f t="shared" si="0"/>
        <v>16248</v>
      </c>
      <c r="H35">
        <f t="shared" si="1"/>
        <v>2.36</v>
      </c>
      <c r="I35" s="10">
        <f t="shared" si="2"/>
        <v>7.0000000000000001E-3</v>
      </c>
      <c r="J35">
        <f t="shared" si="4"/>
        <v>0.62</v>
      </c>
      <c r="P35">
        <v>10048</v>
      </c>
    </row>
    <row r="36" spans="1:16" x14ac:dyDescent="0.25">
      <c r="A36" t="s">
        <v>20</v>
      </c>
      <c r="B36" t="s">
        <v>36</v>
      </c>
      <c r="C36" s="9"/>
      <c r="D36" s="9"/>
      <c r="E36" s="9">
        <v>8260</v>
      </c>
      <c r="F36" s="9"/>
      <c r="G36" s="9">
        <f t="shared" si="0"/>
        <v>8260</v>
      </c>
      <c r="H36">
        <f t="shared" si="1"/>
        <v>1.2</v>
      </c>
      <c r="I36" s="10">
        <f t="shared" si="2"/>
        <v>4.0000000000000001E-3</v>
      </c>
      <c r="J36">
        <f t="shared" si="4"/>
        <v>-0.42</v>
      </c>
      <c r="P36">
        <v>14220</v>
      </c>
    </row>
    <row r="37" spans="1:16" x14ac:dyDescent="0.25">
      <c r="A37" t="s">
        <v>20</v>
      </c>
      <c r="B37" t="s">
        <v>37</v>
      </c>
      <c r="C37" s="9"/>
      <c r="D37" s="9"/>
      <c r="E37" s="9">
        <v>108290</v>
      </c>
      <c r="F37" s="9"/>
      <c r="G37" s="9">
        <f t="shared" si="0"/>
        <v>108290</v>
      </c>
      <c r="H37">
        <f t="shared" si="1"/>
        <v>15.72</v>
      </c>
      <c r="I37" s="10">
        <f t="shared" si="2"/>
        <v>4.9000000000000002E-2</v>
      </c>
      <c r="J37">
        <f t="shared" si="4"/>
        <v>-0.1</v>
      </c>
      <c r="P37">
        <v>120140</v>
      </c>
    </row>
    <row r="38" spans="1:16" x14ac:dyDescent="0.25">
      <c r="A38" t="s">
        <v>20</v>
      </c>
      <c r="B38" t="s">
        <v>38</v>
      </c>
      <c r="C38" s="9"/>
      <c r="D38" s="9"/>
      <c r="E38" s="9">
        <v>15140</v>
      </c>
      <c r="F38" s="9"/>
      <c r="G38" s="9">
        <f t="shared" si="0"/>
        <v>15140</v>
      </c>
      <c r="H38">
        <f t="shared" si="1"/>
        <v>2.2000000000000002</v>
      </c>
      <c r="I38" s="10">
        <f t="shared" si="2"/>
        <v>7.0000000000000001E-3</v>
      </c>
      <c r="J38">
        <f t="shared" si="4"/>
        <v>0.82</v>
      </c>
      <c r="P38">
        <v>8300</v>
      </c>
    </row>
    <row r="39" spans="1:16" x14ac:dyDescent="0.25">
      <c r="A39" t="s">
        <v>20</v>
      </c>
      <c r="B39" t="s">
        <v>39</v>
      </c>
      <c r="C39" s="9"/>
      <c r="D39" s="9"/>
      <c r="E39" s="9">
        <v>37460</v>
      </c>
      <c r="F39" s="9"/>
      <c r="G39" s="9">
        <f t="shared" si="0"/>
        <v>37460</v>
      </c>
      <c r="H39">
        <f t="shared" si="1"/>
        <v>5.44</v>
      </c>
      <c r="I39" s="10">
        <f t="shared" si="2"/>
        <v>1.7000000000000001E-2</v>
      </c>
      <c r="J39">
        <f t="shared" si="4"/>
        <v>0.15</v>
      </c>
      <c r="P39">
        <v>32570</v>
      </c>
    </row>
    <row r="40" spans="1:16" x14ac:dyDescent="0.25">
      <c r="A40" t="s">
        <v>20</v>
      </c>
      <c r="B40" t="s">
        <v>40</v>
      </c>
      <c r="C40" s="9"/>
      <c r="D40" s="9"/>
      <c r="E40" s="9">
        <v>132660</v>
      </c>
      <c r="F40" s="9">
        <v>14400</v>
      </c>
      <c r="G40" s="9">
        <f t="shared" si="0"/>
        <v>147060</v>
      </c>
      <c r="H40">
        <f t="shared" si="1"/>
        <v>21.35</v>
      </c>
      <c r="I40" s="10">
        <f t="shared" si="2"/>
        <v>6.7000000000000004E-2</v>
      </c>
      <c r="J40">
        <f t="shared" si="4"/>
        <v>0.19</v>
      </c>
      <c r="P40">
        <v>123080</v>
      </c>
    </row>
    <row r="41" spans="1:16" x14ac:dyDescent="0.25">
      <c r="A41" t="s">
        <v>20</v>
      </c>
      <c r="B41" t="s">
        <v>186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 t="shared" si="4"/>
        <v>-1</v>
      </c>
      <c r="P41">
        <v>720</v>
      </c>
    </row>
    <row r="42" spans="1:16" x14ac:dyDescent="0.25">
      <c r="A42" t="s">
        <v>20</v>
      </c>
      <c r="B42" t="s">
        <v>103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20</v>
      </c>
      <c r="B43" t="s">
        <v>101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20</v>
      </c>
      <c r="B44" t="s">
        <v>115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A45" t="s">
        <v>20</v>
      </c>
      <c r="B45" t="s">
        <v>74</v>
      </c>
      <c r="C45" s="9"/>
      <c r="D45" s="9"/>
      <c r="E45" s="9"/>
      <c r="F45" s="9"/>
      <c r="G45" s="9">
        <f t="shared" si="0"/>
        <v>0</v>
      </c>
      <c r="H45">
        <f t="shared" si="1"/>
        <v>0</v>
      </c>
      <c r="I45" s="10">
        <f t="shared" si="2"/>
        <v>0</v>
      </c>
      <c r="P45">
        <v>0</v>
      </c>
    </row>
    <row r="46" spans="1:16" x14ac:dyDescent="0.25">
      <c r="A46" t="s">
        <v>44</v>
      </c>
      <c r="B46" t="s">
        <v>45</v>
      </c>
      <c r="C46" s="9">
        <v>357070</v>
      </c>
      <c r="D46" s="9"/>
      <c r="E46" s="9"/>
      <c r="F46" s="9">
        <v>770</v>
      </c>
      <c r="G46" s="9">
        <f t="shared" si="0"/>
        <v>357840</v>
      </c>
      <c r="H46">
        <f t="shared" si="1"/>
        <v>51.95</v>
      </c>
      <c r="I46" s="10">
        <f t="shared" si="2"/>
        <v>0.16200000000000001</v>
      </c>
      <c r="J46">
        <f>ROUND(G46/P46-1,2)</f>
        <v>0.03</v>
      </c>
      <c r="P46">
        <v>347090</v>
      </c>
    </row>
    <row r="47" spans="1:16" x14ac:dyDescent="0.25">
      <c r="A47" t="s">
        <v>44</v>
      </c>
      <c r="B47" t="s">
        <v>47</v>
      </c>
      <c r="C47" s="9"/>
      <c r="D47" s="9"/>
      <c r="E47" s="9"/>
      <c r="F47" s="9">
        <v>41605</v>
      </c>
      <c r="G47" s="9">
        <f t="shared" si="0"/>
        <v>41605</v>
      </c>
      <c r="H47">
        <f t="shared" si="1"/>
        <v>6.04</v>
      </c>
      <c r="I47" s="10">
        <f t="shared" si="2"/>
        <v>1.9E-2</v>
      </c>
      <c r="J47">
        <f>ROUND(G47/P47-1,2)</f>
        <v>1.95</v>
      </c>
      <c r="P47">
        <v>14085</v>
      </c>
    </row>
    <row r="48" spans="1:16" x14ac:dyDescent="0.25">
      <c r="A48" t="s">
        <v>44</v>
      </c>
      <c r="B48" t="s">
        <v>46</v>
      </c>
      <c r="C48" s="9"/>
      <c r="D48" s="9"/>
      <c r="E48" s="9">
        <v>68150</v>
      </c>
      <c r="F48" s="9"/>
      <c r="G48" s="9">
        <f t="shared" si="0"/>
        <v>68150</v>
      </c>
      <c r="H48">
        <f t="shared" si="1"/>
        <v>9.89</v>
      </c>
      <c r="I48" s="10">
        <f t="shared" si="2"/>
        <v>3.1E-2</v>
      </c>
      <c r="J48">
        <f>ROUND(G48/P48-1,2)</f>
        <v>-7.0000000000000007E-2</v>
      </c>
      <c r="P48">
        <v>73635</v>
      </c>
    </row>
    <row r="49" spans="1:10" x14ac:dyDescent="0.25">
      <c r="A49" s="11" t="s">
        <v>12</v>
      </c>
      <c r="C49" s="12">
        <f t="shared" ref="C49:H49" si="5">SUM(C8:C48)</f>
        <v>1586500</v>
      </c>
      <c r="D49" s="12">
        <f t="shared" si="5"/>
        <v>767</v>
      </c>
      <c r="E49" s="12">
        <f t="shared" si="5"/>
        <v>554663</v>
      </c>
      <c r="F49" s="12">
        <f t="shared" si="5"/>
        <v>62391</v>
      </c>
      <c r="G49" s="12">
        <f t="shared" si="5"/>
        <v>2204321</v>
      </c>
      <c r="H49" s="11">
        <f t="shared" si="5"/>
        <v>320</v>
      </c>
      <c r="I49" s="4"/>
    </row>
    <row r="50" spans="1:10" x14ac:dyDescent="0.25">
      <c r="A50" s="11" t="s">
        <v>14</v>
      </c>
      <c r="C50" s="13">
        <f>ROUND(C49/G49,2)</f>
        <v>0.72</v>
      </c>
      <c r="D50" s="13">
        <f>ROUND(D49/G49,2)</f>
        <v>0</v>
      </c>
      <c r="E50" s="13">
        <f>ROUND(E49/G49,2)</f>
        <v>0.25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1229430</v>
      </c>
      <c r="D54" s="15">
        <v>767</v>
      </c>
      <c r="E54" s="15">
        <v>486513</v>
      </c>
      <c r="F54" s="15">
        <v>18535</v>
      </c>
      <c r="G54" s="15">
        <f>SUM(C54:F54)</f>
        <v>1735245</v>
      </c>
      <c r="H54" s="17">
        <f>ROUND(G54/6888,2)</f>
        <v>251.92</v>
      </c>
      <c r="I54" s="4"/>
      <c r="J54" s="4"/>
    </row>
    <row r="55" spans="1:10" x14ac:dyDescent="0.25">
      <c r="A55" s="33" t="s">
        <v>50</v>
      </c>
      <c r="B55" s="33"/>
      <c r="C55" s="15">
        <v>357070</v>
      </c>
      <c r="D55" s="15">
        <v>0</v>
      </c>
      <c r="E55" s="15">
        <v>68150</v>
      </c>
      <c r="F55" s="15">
        <v>42375</v>
      </c>
      <c r="G55" s="15">
        <f>SUM(C55:F55)</f>
        <v>467595</v>
      </c>
      <c r="H55" s="17">
        <f>ROUND(G55/6888,2)</f>
        <v>67.89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1481</v>
      </c>
      <c r="G56" s="15">
        <f>SUM(C56:F56)</f>
        <v>1481</v>
      </c>
      <c r="H56" s="17">
        <f>ROUND(G56/6888,2)</f>
        <v>0.22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ROUND(0.8276, 4)</f>
        <v>0.8276</v>
      </c>
      <c r="D60" s="19">
        <f>ROUND(0.827, 4)</f>
        <v>0.82699999999999996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ROUND(0.8145, 4)</f>
        <v>0.8145</v>
      </c>
      <c r="D61" s="19">
        <f>ROUND(0.8136, 4)</f>
        <v>0.81359999999999999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193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51.95</v>
      </c>
      <c r="D64" s="17">
        <v>51.72</v>
      </c>
      <c r="E64" s="17">
        <v>91.53</v>
      </c>
      <c r="F64" s="17">
        <v>56.73</v>
      </c>
      <c r="H64" s="3"/>
      <c r="I64" s="4"/>
      <c r="J64" s="4"/>
    </row>
    <row r="65" spans="1:6" x14ac:dyDescent="0.25">
      <c r="A65" s="32" t="s">
        <v>60</v>
      </c>
      <c r="B65" s="32"/>
      <c r="C65" s="16">
        <v>65.55</v>
      </c>
      <c r="D65" s="16">
        <v>64.19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261.08999999999997</v>
      </c>
      <c r="D66" s="16">
        <v>245.96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69.540000000000006</v>
      </c>
      <c r="D67" s="16">
        <v>65.47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194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3505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18</v>
      </c>
      <c r="G9" s="9">
        <f t="shared" ref="G9:G45" si="0">SUM(C9:F9)</f>
        <v>18</v>
      </c>
      <c r="H9">
        <f t="shared" ref="H9:H45" si="1">ROUND(G9/3505,2)</f>
        <v>0.01</v>
      </c>
      <c r="I9" s="10">
        <f t="shared" ref="I9:I45" si="2">ROUND(G9/$G$49,3)</f>
        <v>0</v>
      </c>
      <c r="P9">
        <v>0</v>
      </c>
    </row>
    <row r="10" spans="1:16" x14ac:dyDescent="0.25">
      <c r="A10" t="s">
        <v>16</v>
      </c>
      <c r="B10" t="s">
        <v>17</v>
      </c>
      <c r="C10" s="9"/>
      <c r="D10" s="9"/>
      <c r="E10" s="9"/>
      <c r="F10" s="9">
        <v>200</v>
      </c>
      <c r="G10" s="9">
        <f t="shared" si="0"/>
        <v>200</v>
      </c>
      <c r="H10">
        <f t="shared" si="1"/>
        <v>0.06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775</v>
      </c>
      <c r="G11" s="9">
        <f t="shared" si="0"/>
        <v>775</v>
      </c>
      <c r="H11">
        <f t="shared" si="1"/>
        <v>0.22</v>
      </c>
      <c r="I11" s="10">
        <f t="shared" si="2"/>
        <v>1E-3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16</v>
      </c>
      <c r="B13" t="s">
        <v>78</v>
      </c>
      <c r="C13" s="9"/>
      <c r="D13" s="9"/>
      <c r="E13" s="9"/>
      <c r="F13" s="9"/>
      <c r="G13" s="9">
        <f t="shared" si="0"/>
        <v>0</v>
      </c>
      <c r="H13">
        <f t="shared" si="1"/>
        <v>0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67</v>
      </c>
      <c r="C14" s="9"/>
      <c r="D14" s="9"/>
      <c r="E14" s="9">
        <v>122</v>
      </c>
      <c r="F14" s="9"/>
      <c r="G14" s="9">
        <f t="shared" si="0"/>
        <v>122</v>
      </c>
      <c r="H14">
        <f t="shared" si="1"/>
        <v>0.03</v>
      </c>
      <c r="I14" s="10">
        <f t="shared" si="2"/>
        <v>0</v>
      </c>
      <c r="J14">
        <f t="shared" ref="J14:J19" si="3">ROUND(G14/P14-1,2)</f>
        <v>0.11</v>
      </c>
      <c r="P14">
        <v>110</v>
      </c>
    </row>
    <row r="15" spans="1:16" x14ac:dyDescent="0.25">
      <c r="A15" t="s">
        <v>20</v>
      </c>
      <c r="B15" t="s">
        <v>21</v>
      </c>
      <c r="C15" s="9">
        <v>125170</v>
      </c>
      <c r="D15" s="9"/>
      <c r="E15" s="9">
        <v>1980</v>
      </c>
      <c r="F15" s="9">
        <v>300</v>
      </c>
      <c r="G15" s="9">
        <f t="shared" si="0"/>
        <v>127450</v>
      </c>
      <c r="H15">
        <f t="shared" si="1"/>
        <v>36.36</v>
      </c>
      <c r="I15" s="10">
        <f t="shared" si="2"/>
        <v>0.09</v>
      </c>
      <c r="J15">
        <f t="shared" si="3"/>
        <v>0.04</v>
      </c>
      <c r="P15">
        <v>122990</v>
      </c>
    </row>
    <row r="16" spans="1:16" x14ac:dyDescent="0.25">
      <c r="A16" t="s">
        <v>20</v>
      </c>
      <c r="B16" t="s">
        <v>22</v>
      </c>
      <c r="C16" s="9">
        <v>160360</v>
      </c>
      <c r="D16" s="9"/>
      <c r="E16" s="9"/>
      <c r="F16" s="9"/>
      <c r="G16" s="9">
        <f t="shared" si="0"/>
        <v>160360</v>
      </c>
      <c r="H16">
        <f t="shared" si="1"/>
        <v>45.75</v>
      </c>
      <c r="I16" s="10">
        <f t="shared" si="2"/>
        <v>0.113</v>
      </c>
      <c r="J16">
        <f t="shared" si="3"/>
        <v>-0.13</v>
      </c>
      <c r="P16">
        <v>183750</v>
      </c>
    </row>
    <row r="17" spans="1:16" x14ac:dyDescent="0.25">
      <c r="A17" t="s">
        <v>20</v>
      </c>
      <c r="B17" t="s">
        <v>79</v>
      </c>
      <c r="C17" s="9"/>
      <c r="D17" s="9"/>
      <c r="E17" s="9">
        <v>223</v>
      </c>
      <c r="F17" s="9"/>
      <c r="G17" s="9">
        <f t="shared" si="0"/>
        <v>223</v>
      </c>
      <c r="H17">
        <f t="shared" si="1"/>
        <v>0.06</v>
      </c>
      <c r="I17" s="10">
        <f t="shared" si="2"/>
        <v>0</v>
      </c>
      <c r="J17">
        <f t="shared" si="3"/>
        <v>7.0000000000000007E-2</v>
      </c>
      <c r="P17">
        <v>208</v>
      </c>
    </row>
    <row r="18" spans="1:16" x14ac:dyDescent="0.25">
      <c r="A18" t="s">
        <v>20</v>
      </c>
      <c r="B18" t="s">
        <v>42</v>
      </c>
      <c r="C18" s="9"/>
      <c r="D18" s="9"/>
      <c r="E18" s="9">
        <v>319</v>
      </c>
      <c r="F18" s="9"/>
      <c r="G18" s="9">
        <f t="shared" si="0"/>
        <v>319</v>
      </c>
      <c r="H18">
        <f t="shared" si="1"/>
        <v>0.09</v>
      </c>
      <c r="I18" s="10">
        <f t="shared" si="2"/>
        <v>0</v>
      </c>
      <c r="J18">
        <f t="shared" si="3"/>
        <v>0.12</v>
      </c>
      <c r="P18">
        <v>286</v>
      </c>
    </row>
    <row r="19" spans="1:16" x14ac:dyDescent="0.25">
      <c r="A19" t="s">
        <v>20</v>
      </c>
      <c r="B19" t="s">
        <v>23</v>
      </c>
      <c r="C19" s="9"/>
      <c r="D19" s="9"/>
      <c r="E19" s="9">
        <v>700</v>
      </c>
      <c r="F19" s="9"/>
      <c r="G19" s="9">
        <f t="shared" si="0"/>
        <v>700</v>
      </c>
      <c r="H19">
        <f t="shared" si="1"/>
        <v>0.2</v>
      </c>
      <c r="I19" s="10">
        <f t="shared" si="2"/>
        <v>0</v>
      </c>
      <c r="J19">
        <f t="shared" si="3"/>
        <v>-0.65</v>
      </c>
      <c r="P19">
        <v>1980</v>
      </c>
    </row>
    <row r="20" spans="1:16" x14ac:dyDescent="0.25">
      <c r="A20" t="s">
        <v>20</v>
      </c>
      <c r="B20" t="s">
        <v>80</v>
      </c>
      <c r="C20" s="9"/>
      <c r="D20" s="9"/>
      <c r="E20" s="9"/>
      <c r="F20" s="9">
        <v>90</v>
      </c>
      <c r="G20" s="9">
        <f t="shared" si="0"/>
        <v>90</v>
      </c>
      <c r="H20">
        <f t="shared" si="1"/>
        <v>0.03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32660</v>
      </c>
      <c r="F21" s="9"/>
      <c r="G21" s="9">
        <f t="shared" si="0"/>
        <v>32660</v>
      </c>
      <c r="H21">
        <f t="shared" si="1"/>
        <v>9.32</v>
      </c>
      <c r="I21" s="10">
        <f t="shared" si="2"/>
        <v>2.3E-2</v>
      </c>
      <c r="J21">
        <f t="shared" ref="J21:J41" si="4">ROUND(G21/P21-1,2)</f>
        <v>0.15</v>
      </c>
      <c r="P21">
        <v>28440</v>
      </c>
    </row>
    <row r="22" spans="1:16" x14ac:dyDescent="0.25">
      <c r="A22" t="s">
        <v>20</v>
      </c>
      <c r="B22" t="s">
        <v>25</v>
      </c>
      <c r="C22" s="9">
        <v>243880</v>
      </c>
      <c r="D22" s="9"/>
      <c r="E22" s="9">
        <v>9890</v>
      </c>
      <c r="F22" s="9">
        <v>2990</v>
      </c>
      <c r="G22" s="9">
        <f t="shared" si="0"/>
        <v>256760</v>
      </c>
      <c r="H22">
        <f t="shared" si="1"/>
        <v>73.260000000000005</v>
      </c>
      <c r="I22" s="10">
        <f t="shared" si="2"/>
        <v>0.18099999999999999</v>
      </c>
      <c r="J22">
        <f t="shared" si="4"/>
        <v>0.06</v>
      </c>
      <c r="P22">
        <v>243260</v>
      </c>
    </row>
    <row r="23" spans="1:16" x14ac:dyDescent="0.25">
      <c r="A23" t="s">
        <v>20</v>
      </c>
      <c r="B23" t="s">
        <v>69</v>
      </c>
      <c r="C23" s="9"/>
      <c r="D23" s="9"/>
      <c r="E23" s="9">
        <v>2650</v>
      </c>
      <c r="F23" s="9"/>
      <c r="G23" s="9">
        <f t="shared" si="0"/>
        <v>2650</v>
      </c>
      <c r="H23">
        <f t="shared" si="1"/>
        <v>0.76</v>
      </c>
      <c r="I23" s="10">
        <f t="shared" si="2"/>
        <v>2E-3</v>
      </c>
      <c r="J23">
        <f t="shared" si="4"/>
        <v>-0.43</v>
      </c>
      <c r="P23">
        <v>4630</v>
      </c>
    </row>
    <row r="24" spans="1:16" x14ac:dyDescent="0.25">
      <c r="A24" t="s">
        <v>20</v>
      </c>
      <c r="B24" t="s">
        <v>26</v>
      </c>
      <c r="C24" s="9">
        <v>264660</v>
      </c>
      <c r="D24" s="9"/>
      <c r="E24" s="9"/>
      <c r="F24" s="9">
        <v>1040</v>
      </c>
      <c r="G24" s="9">
        <f t="shared" si="0"/>
        <v>265700</v>
      </c>
      <c r="H24">
        <f t="shared" si="1"/>
        <v>75.81</v>
      </c>
      <c r="I24" s="10">
        <f t="shared" si="2"/>
        <v>0.187</v>
      </c>
      <c r="J24">
        <f t="shared" si="4"/>
        <v>0.02</v>
      </c>
      <c r="P24">
        <v>261500</v>
      </c>
    </row>
    <row r="25" spans="1:16" x14ac:dyDescent="0.25">
      <c r="A25" t="s">
        <v>20</v>
      </c>
      <c r="B25" t="s">
        <v>27</v>
      </c>
      <c r="C25" s="9"/>
      <c r="D25" s="9"/>
      <c r="E25" s="9">
        <v>930</v>
      </c>
      <c r="F25" s="9"/>
      <c r="G25" s="9">
        <f t="shared" si="0"/>
        <v>930</v>
      </c>
      <c r="H25">
        <f t="shared" si="1"/>
        <v>0.27</v>
      </c>
      <c r="I25" s="10">
        <f t="shared" si="2"/>
        <v>1E-3</v>
      </c>
      <c r="J25">
        <f t="shared" si="4"/>
        <v>-0.3</v>
      </c>
      <c r="P25">
        <v>1334</v>
      </c>
    </row>
    <row r="26" spans="1:16" x14ac:dyDescent="0.25">
      <c r="A26" t="s">
        <v>20</v>
      </c>
      <c r="B26" t="s">
        <v>28</v>
      </c>
      <c r="C26" s="9"/>
      <c r="D26" s="9"/>
      <c r="E26" s="9">
        <v>417</v>
      </c>
      <c r="F26" s="9"/>
      <c r="G26" s="9">
        <f t="shared" si="0"/>
        <v>417</v>
      </c>
      <c r="H26">
        <f t="shared" si="1"/>
        <v>0.12</v>
      </c>
      <c r="I26" s="10">
        <f t="shared" si="2"/>
        <v>0</v>
      </c>
      <c r="J26">
        <f t="shared" si="4"/>
        <v>0.68</v>
      </c>
      <c r="P26">
        <v>248</v>
      </c>
    </row>
    <row r="27" spans="1:16" x14ac:dyDescent="0.25">
      <c r="A27" t="s">
        <v>20</v>
      </c>
      <c r="B27" t="s">
        <v>30</v>
      </c>
      <c r="C27" s="9"/>
      <c r="D27" s="9"/>
      <c r="E27" s="9">
        <v>2460</v>
      </c>
      <c r="F27" s="9"/>
      <c r="G27" s="9">
        <f t="shared" si="0"/>
        <v>2460</v>
      </c>
      <c r="H27">
        <f t="shared" si="1"/>
        <v>0.7</v>
      </c>
      <c r="I27" s="10">
        <f t="shared" si="2"/>
        <v>2E-3</v>
      </c>
      <c r="J27">
        <f t="shared" si="4"/>
        <v>-0.32</v>
      </c>
      <c r="P27">
        <v>3610</v>
      </c>
    </row>
    <row r="28" spans="1:16" x14ac:dyDescent="0.25">
      <c r="A28" t="s">
        <v>20</v>
      </c>
      <c r="B28" t="s">
        <v>31</v>
      </c>
      <c r="C28" s="9"/>
      <c r="D28" s="9"/>
      <c r="E28" s="9">
        <v>1060</v>
      </c>
      <c r="F28" s="9"/>
      <c r="G28" s="9">
        <f t="shared" si="0"/>
        <v>1060</v>
      </c>
      <c r="H28">
        <f t="shared" si="1"/>
        <v>0.3</v>
      </c>
      <c r="I28" s="10">
        <f t="shared" si="2"/>
        <v>1E-3</v>
      </c>
      <c r="J28">
        <f t="shared" si="4"/>
        <v>-0.23</v>
      </c>
      <c r="P28">
        <v>1380</v>
      </c>
    </row>
    <row r="29" spans="1:16" x14ac:dyDescent="0.25">
      <c r="A29" t="s">
        <v>20</v>
      </c>
      <c r="B29" t="s">
        <v>32</v>
      </c>
      <c r="C29" s="9"/>
      <c r="D29" s="9"/>
      <c r="E29" s="9">
        <v>450</v>
      </c>
      <c r="F29" s="9"/>
      <c r="G29" s="9">
        <f t="shared" si="0"/>
        <v>450</v>
      </c>
      <c r="H29">
        <f t="shared" si="1"/>
        <v>0.13</v>
      </c>
      <c r="I29" s="10">
        <f t="shared" si="2"/>
        <v>0</v>
      </c>
      <c r="J29">
        <f t="shared" si="4"/>
        <v>-0.36</v>
      </c>
      <c r="P29">
        <v>700</v>
      </c>
    </row>
    <row r="30" spans="1:16" x14ac:dyDescent="0.25">
      <c r="A30" t="s">
        <v>20</v>
      </c>
      <c r="B30" t="s">
        <v>33</v>
      </c>
      <c r="C30" s="9"/>
      <c r="D30" s="9"/>
      <c r="E30" s="9">
        <v>1295</v>
      </c>
      <c r="F30" s="9"/>
      <c r="G30" s="9">
        <f t="shared" si="0"/>
        <v>1295</v>
      </c>
      <c r="H30">
        <f t="shared" si="1"/>
        <v>0.37</v>
      </c>
      <c r="I30" s="10">
        <f t="shared" si="2"/>
        <v>1E-3</v>
      </c>
      <c r="J30">
        <f t="shared" si="4"/>
        <v>-0.23</v>
      </c>
      <c r="P30">
        <v>1690</v>
      </c>
    </row>
    <row r="31" spans="1:16" x14ac:dyDescent="0.25">
      <c r="A31" t="s">
        <v>20</v>
      </c>
      <c r="B31" t="s">
        <v>43</v>
      </c>
      <c r="C31" s="9"/>
      <c r="D31" s="9">
        <v>571</v>
      </c>
      <c r="E31" s="9"/>
      <c r="F31" s="9"/>
      <c r="G31" s="9">
        <f t="shared" si="0"/>
        <v>571</v>
      </c>
      <c r="H31">
        <f t="shared" si="1"/>
        <v>0.16</v>
      </c>
      <c r="I31" s="10">
        <f t="shared" si="2"/>
        <v>0</v>
      </c>
      <c r="J31">
        <f t="shared" si="4"/>
        <v>-0.13</v>
      </c>
      <c r="P31">
        <v>658</v>
      </c>
    </row>
    <row r="32" spans="1:16" x14ac:dyDescent="0.25">
      <c r="A32" t="s">
        <v>20</v>
      </c>
      <c r="B32" t="s">
        <v>70</v>
      </c>
      <c r="C32" s="9"/>
      <c r="D32" s="9"/>
      <c r="E32" s="9">
        <v>910</v>
      </c>
      <c r="F32" s="9"/>
      <c r="G32" s="9">
        <f t="shared" si="0"/>
        <v>910</v>
      </c>
      <c r="H32">
        <f t="shared" si="1"/>
        <v>0.26</v>
      </c>
      <c r="I32" s="10">
        <f t="shared" si="2"/>
        <v>1E-3</v>
      </c>
      <c r="J32">
        <f t="shared" si="4"/>
        <v>-0.3</v>
      </c>
      <c r="P32">
        <v>1300</v>
      </c>
    </row>
    <row r="33" spans="1:16" x14ac:dyDescent="0.25">
      <c r="A33" t="s">
        <v>20</v>
      </c>
      <c r="B33" t="s">
        <v>34</v>
      </c>
      <c r="C33" s="9"/>
      <c r="D33" s="9">
        <v>1310</v>
      </c>
      <c r="E33" s="9"/>
      <c r="F33" s="9"/>
      <c r="G33" s="9">
        <f t="shared" si="0"/>
        <v>1310</v>
      </c>
      <c r="H33">
        <f t="shared" si="1"/>
        <v>0.37</v>
      </c>
      <c r="I33" s="10">
        <f t="shared" si="2"/>
        <v>1E-3</v>
      </c>
      <c r="J33">
        <f t="shared" si="4"/>
        <v>-0.13</v>
      </c>
      <c r="P33">
        <v>1500</v>
      </c>
    </row>
    <row r="34" spans="1:16" x14ac:dyDescent="0.25">
      <c r="A34" t="s">
        <v>20</v>
      </c>
      <c r="B34" t="s">
        <v>35</v>
      </c>
      <c r="C34" s="9"/>
      <c r="D34" s="9"/>
      <c r="E34" s="9">
        <v>2710</v>
      </c>
      <c r="F34" s="9"/>
      <c r="G34" s="9">
        <f t="shared" si="0"/>
        <v>2710</v>
      </c>
      <c r="H34">
        <f t="shared" si="1"/>
        <v>0.77</v>
      </c>
      <c r="I34" s="10">
        <f t="shared" si="2"/>
        <v>2E-3</v>
      </c>
      <c r="J34">
        <f t="shared" si="4"/>
        <v>-0.46</v>
      </c>
      <c r="P34">
        <v>5050</v>
      </c>
    </row>
    <row r="35" spans="1:16" x14ac:dyDescent="0.25">
      <c r="A35" t="s">
        <v>20</v>
      </c>
      <c r="B35" t="s">
        <v>36</v>
      </c>
      <c r="C35" s="9"/>
      <c r="D35" s="9"/>
      <c r="E35" s="9">
        <v>5330</v>
      </c>
      <c r="F35" s="9"/>
      <c r="G35" s="9">
        <f t="shared" si="0"/>
        <v>5330</v>
      </c>
      <c r="H35">
        <f t="shared" si="1"/>
        <v>1.52</v>
      </c>
      <c r="I35" s="10">
        <f t="shared" si="2"/>
        <v>4.0000000000000001E-3</v>
      </c>
      <c r="J35">
        <f t="shared" si="4"/>
        <v>-0.16</v>
      </c>
      <c r="P35">
        <v>6340</v>
      </c>
    </row>
    <row r="36" spans="1:16" x14ac:dyDescent="0.25">
      <c r="A36" t="s">
        <v>20</v>
      </c>
      <c r="B36" t="s">
        <v>41</v>
      </c>
      <c r="C36" s="9"/>
      <c r="D36" s="9"/>
      <c r="E36" s="9">
        <v>9000</v>
      </c>
      <c r="F36" s="9"/>
      <c r="G36" s="9">
        <f t="shared" si="0"/>
        <v>9000</v>
      </c>
      <c r="H36">
        <f t="shared" si="1"/>
        <v>2.57</v>
      </c>
      <c r="I36" s="10">
        <f t="shared" si="2"/>
        <v>6.0000000000000001E-3</v>
      </c>
      <c r="J36">
        <f t="shared" si="4"/>
        <v>-0.31</v>
      </c>
      <c r="P36">
        <v>13095</v>
      </c>
    </row>
    <row r="37" spans="1:16" x14ac:dyDescent="0.25">
      <c r="A37" t="s">
        <v>20</v>
      </c>
      <c r="B37" t="s">
        <v>37</v>
      </c>
      <c r="C37" s="9"/>
      <c r="D37" s="9"/>
      <c r="E37" s="9">
        <v>52865</v>
      </c>
      <c r="F37" s="9"/>
      <c r="G37" s="9">
        <f t="shared" si="0"/>
        <v>52865</v>
      </c>
      <c r="H37">
        <f t="shared" si="1"/>
        <v>15.08</v>
      </c>
      <c r="I37" s="10">
        <f t="shared" si="2"/>
        <v>3.6999999999999998E-2</v>
      </c>
      <c r="J37">
        <f t="shared" si="4"/>
        <v>0.02</v>
      </c>
      <c r="P37">
        <v>51910</v>
      </c>
    </row>
    <row r="38" spans="1:16" x14ac:dyDescent="0.25">
      <c r="A38" t="s">
        <v>20</v>
      </c>
      <c r="B38" t="s">
        <v>38</v>
      </c>
      <c r="C38" s="9"/>
      <c r="D38" s="9"/>
      <c r="E38" s="9">
        <v>2775</v>
      </c>
      <c r="F38" s="9"/>
      <c r="G38" s="9">
        <f t="shared" si="0"/>
        <v>2775</v>
      </c>
      <c r="H38">
        <f t="shared" si="1"/>
        <v>0.79</v>
      </c>
      <c r="I38" s="10">
        <f t="shared" si="2"/>
        <v>2E-3</v>
      </c>
      <c r="J38">
        <f t="shared" si="4"/>
        <v>-0.23</v>
      </c>
      <c r="P38">
        <v>3610</v>
      </c>
    </row>
    <row r="39" spans="1:16" x14ac:dyDescent="0.25">
      <c r="A39" t="s">
        <v>20</v>
      </c>
      <c r="B39" t="s">
        <v>39</v>
      </c>
      <c r="C39" s="9"/>
      <c r="D39" s="9"/>
      <c r="E39" s="9">
        <v>16170</v>
      </c>
      <c r="F39" s="9"/>
      <c r="G39" s="9">
        <f t="shared" si="0"/>
        <v>16170</v>
      </c>
      <c r="H39">
        <f t="shared" si="1"/>
        <v>4.6100000000000003</v>
      </c>
      <c r="I39" s="10">
        <f t="shared" si="2"/>
        <v>1.0999999999999999E-2</v>
      </c>
      <c r="J39">
        <f t="shared" si="4"/>
        <v>0.2</v>
      </c>
      <c r="P39">
        <v>13480</v>
      </c>
    </row>
    <row r="40" spans="1:16" x14ac:dyDescent="0.25">
      <c r="A40" t="s">
        <v>20</v>
      </c>
      <c r="B40" t="s">
        <v>40</v>
      </c>
      <c r="C40" s="9"/>
      <c r="D40" s="9"/>
      <c r="E40" s="9">
        <v>93110</v>
      </c>
      <c r="F40" s="9">
        <v>1900</v>
      </c>
      <c r="G40" s="9">
        <f t="shared" si="0"/>
        <v>95010</v>
      </c>
      <c r="H40">
        <f t="shared" si="1"/>
        <v>27.11</v>
      </c>
      <c r="I40" s="10">
        <f t="shared" si="2"/>
        <v>6.7000000000000004E-2</v>
      </c>
      <c r="J40">
        <f t="shared" si="4"/>
        <v>0.1</v>
      </c>
      <c r="P40">
        <v>86220</v>
      </c>
    </row>
    <row r="41" spans="1:16" x14ac:dyDescent="0.25">
      <c r="A41" t="s">
        <v>20</v>
      </c>
      <c r="B41" t="s">
        <v>29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 t="shared" si="4"/>
        <v>-1</v>
      </c>
      <c r="P41">
        <v>190</v>
      </c>
    </row>
    <row r="42" spans="1:16" x14ac:dyDescent="0.25">
      <c r="A42" t="s">
        <v>20</v>
      </c>
      <c r="B42" t="s">
        <v>115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44</v>
      </c>
      <c r="B43" t="s">
        <v>45</v>
      </c>
      <c r="C43" s="9">
        <v>293200</v>
      </c>
      <c r="D43" s="9"/>
      <c r="E43" s="9"/>
      <c r="F43" s="9">
        <v>5870</v>
      </c>
      <c r="G43" s="9">
        <f t="shared" si="0"/>
        <v>299070</v>
      </c>
      <c r="H43">
        <f t="shared" si="1"/>
        <v>85.33</v>
      </c>
      <c r="I43" s="10">
        <f t="shared" si="2"/>
        <v>0.21099999999999999</v>
      </c>
      <c r="J43">
        <f>ROUND(G43/P43-1,2)</f>
        <v>0.11</v>
      </c>
      <c r="P43">
        <v>268580</v>
      </c>
    </row>
    <row r="44" spans="1:16" x14ac:dyDescent="0.25">
      <c r="A44" t="s">
        <v>44</v>
      </c>
      <c r="B44" t="s">
        <v>47</v>
      </c>
      <c r="C44" s="9"/>
      <c r="D44" s="9"/>
      <c r="E44" s="9"/>
      <c r="F44" s="9">
        <v>36180</v>
      </c>
      <c r="G44" s="9">
        <f t="shared" si="0"/>
        <v>36180</v>
      </c>
      <c r="H44">
        <f t="shared" si="1"/>
        <v>10.32</v>
      </c>
      <c r="I44" s="10">
        <f t="shared" si="2"/>
        <v>2.5999999999999999E-2</v>
      </c>
      <c r="J44">
        <f>ROUND(G44/P44-1,2)</f>
        <v>-0.04</v>
      </c>
      <c r="P44">
        <v>37820</v>
      </c>
    </row>
    <row r="45" spans="1:16" x14ac:dyDescent="0.25">
      <c r="A45" t="s">
        <v>44</v>
      </c>
      <c r="B45" t="s">
        <v>46</v>
      </c>
      <c r="C45" s="9"/>
      <c r="D45" s="9"/>
      <c r="E45" s="9">
        <v>38880</v>
      </c>
      <c r="F45" s="9">
        <v>2480</v>
      </c>
      <c r="G45" s="9">
        <f t="shared" si="0"/>
        <v>41360</v>
      </c>
      <c r="H45">
        <f t="shared" si="1"/>
        <v>11.8</v>
      </c>
      <c r="I45" s="10">
        <f t="shared" si="2"/>
        <v>2.9000000000000001E-2</v>
      </c>
      <c r="J45">
        <f>ROUND(G45/P45-1,2)</f>
        <v>0.06</v>
      </c>
      <c r="P45">
        <v>38840</v>
      </c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SUM(C8:C45)</f>
        <v>1087270</v>
      </c>
      <c r="D49" s="12">
        <f t="shared" si="5"/>
        <v>1881</v>
      </c>
      <c r="E49" s="12">
        <f t="shared" si="5"/>
        <v>276906</v>
      </c>
      <c r="F49" s="12">
        <f t="shared" si="5"/>
        <v>51843</v>
      </c>
      <c r="G49" s="12">
        <f t="shared" si="5"/>
        <v>1417900</v>
      </c>
      <c r="H49" s="11">
        <f t="shared" si="5"/>
        <v>404.54000000000008</v>
      </c>
      <c r="I49" s="4"/>
    </row>
    <row r="50" spans="1:10" x14ac:dyDescent="0.25">
      <c r="A50" s="11" t="s">
        <v>14</v>
      </c>
      <c r="C50" s="13">
        <f>ROUND(C49/G49,2)</f>
        <v>0.77</v>
      </c>
      <c r="D50" s="13">
        <f>ROUND(D49/G49,2)</f>
        <v>0</v>
      </c>
      <c r="E50" s="13">
        <f>ROUND(E49/G49,2)</f>
        <v>0.2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794070</v>
      </c>
      <c r="D54" s="15">
        <v>1881</v>
      </c>
      <c r="E54" s="15">
        <v>238026</v>
      </c>
      <c r="F54" s="15">
        <v>6320</v>
      </c>
      <c r="G54" s="15">
        <f>SUM(C54:F54)</f>
        <v>1040297</v>
      </c>
      <c r="H54" s="17">
        <f>ROUND(G54/3505,2)</f>
        <v>296.8</v>
      </c>
      <c r="I54" s="4"/>
      <c r="J54" s="4"/>
    </row>
    <row r="55" spans="1:10" x14ac:dyDescent="0.25">
      <c r="A55" s="33" t="s">
        <v>50</v>
      </c>
      <c r="B55" s="33"/>
      <c r="C55" s="15">
        <v>293200</v>
      </c>
      <c r="D55" s="15">
        <v>0</v>
      </c>
      <c r="E55" s="15">
        <v>38880</v>
      </c>
      <c r="F55" s="15">
        <v>44530</v>
      </c>
      <c r="G55" s="15">
        <f>SUM(C55:F55)</f>
        <v>376610</v>
      </c>
      <c r="H55" s="17">
        <f>ROUND(G55/3505,2)</f>
        <v>107.45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993</v>
      </c>
      <c r="G56" s="15">
        <f>SUM(C56:F56)</f>
        <v>993</v>
      </c>
      <c r="H56" s="17">
        <f>ROUND(G56/3505,2)</f>
        <v>0.28000000000000003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ROUND(0.7769, 4)</f>
        <v>0.77690000000000003</v>
      </c>
      <c r="D60" s="18">
        <f>ROUND(0.7946, 4)</f>
        <v>0.79459999999999997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ROUND(0.7651, 4)</f>
        <v>0.7651</v>
      </c>
      <c r="D61" s="18">
        <f>ROUND(0.7829, 4)</f>
        <v>0.78290000000000004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195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85.33</v>
      </c>
      <c r="D64" s="16">
        <v>79.16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75.81</v>
      </c>
      <c r="D65" s="16">
        <v>74.98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296.8</v>
      </c>
      <c r="D66" s="16">
        <v>322.41000000000003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107.45</v>
      </c>
      <c r="D67" s="16">
        <v>102.42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68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72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2887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470</v>
      </c>
      <c r="G9" s="9">
        <f t="shared" ref="G9:G45" si="0">SUM(C9:F9)</f>
        <v>470</v>
      </c>
      <c r="H9">
        <f t="shared" ref="H9:H45" si="1">ROUND(G9/2887,2)</f>
        <v>0.16</v>
      </c>
      <c r="I9" s="10">
        <f t="shared" ref="I9:I45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J10">
        <f>ROUND(G10/P10-1,2)</f>
        <v>-1</v>
      </c>
      <c r="P10">
        <v>34</v>
      </c>
    </row>
    <row r="11" spans="1:16" x14ac:dyDescent="0.25">
      <c r="A11" t="s">
        <v>16</v>
      </c>
      <c r="B11" t="s">
        <v>17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81</v>
      </c>
      <c r="F13" s="9"/>
      <c r="G13" s="9">
        <f t="shared" si="0"/>
        <v>81</v>
      </c>
      <c r="H13">
        <f t="shared" si="1"/>
        <v>0.03</v>
      </c>
      <c r="I13" s="10">
        <f t="shared" si="2"/>
        <v>0</v>
      </c>
      <c r="J13">
        <f t="shared" ref="J13:J30" si="3">ROUND(G13/P13-1,2)</f>
        <v>-0.02</v>
      </c>
      <c r="P13">
        <v>83</v>
      </c>
    </row>
    <row r="14" spans="1:16" x14ac:dyDescent="0.25">
      <c r="A14" t="s">
        <v>20</v>
      </c>
      <c r="B14" t="s">
        <v>21</v>
      </c>
      <c r="C14" s="9">
        <v>77940</v>
      </c>
      <c r="D14" s="9"/>
      <c r="E14" s="9"/>
      <c r="F14" s="9"/>
      <c r="G14" s="9">
        <f t="shared" si="0"/>
        <v>77940</v>
      </c>
      <c r="H14">
        <f t="shared" si="1"/>
        <v>27</v>
      </c>
      <c r="I14" s="10">
        <f t="shared" si="2"/>
        <v>7.6999999999999999E-2</v>
      </c>
      <c r="J14">
        <f t="shared" si="3"/>
        <v>0.05</v>
      </c>
      <c r="P14">
        <v>74520</v>
      </c>
    </row>
    <row r="15" spans="1:16" x14ac:dyDescent="0.25">
      <c r="A15" t="s">
        <v>20</v>
      </c>
      <c r="B15" t="s">
        <v>22</v>
      </c>
      <c r="C15" s="9">
        <v>101210</v>
      </c>
      <c r="D15" s="9"/>
      <c r="E15" s="9"/>
      <c r="F15" s="9"/>
      <c r="G15" s="9">
        <f t="shared" si="0"/>
        <v>101210</v>
      </c>
      <c r="H15">
        <f t="shared" si="1"/>
        <v>35.06</v>
      </c>
      <c r="I15" s="10">
        <f t="shared" si="2"/>
        <v>0.1</v>
      </c>
      <c r="J15">
        <f t="shared" si="3"/>
        <v>-0.12</v>
      </c>
      <c r="P15">
        <v>114480</v>
      </c>
    </row>
    <row r="16" spans="1:16" x14ac:dyDescent="0.25">
      <c r="A16" t="s">
        <v>20</v>
      </c>
      <c r="B16" t="s">
        <v>42</v>
      </c>
      <c r="C16" s="9"/>
      <c r="D16" s="9"/>
      <c r="E16" s="9">
        <v>271</v>
      </c>
      <c r="F16" s="9"/>
      <c r="G16" s="9">
        <f t="shared" si="0"/>
        <v>271</v>
      </c>
      <c r="H16">
        <f t="shared" si="1"/>
        <v>0.09</v>
      </c>
      <c r="I16" s="10">
        <f t="shared" si="2"/>
        <v>0</v>
      </c>
      <c r="J16">
        <f t="shared" si="3"/>
        <v>0.2</v>
      </c>
      <c r="P16">
        <v>225</v>
      </c>
    </row>
    <row r="17" spans="1:16" x14ac:dyDescent="0.25">
      <c r="A17" t="s">
        <v>20</v>
      </c>
      <c r="B17" t="s">
        <v>23</v>
      </c>
      <c r="C17" s="9"/>
      <c r="D17" s="9"/>
      <c r="E17" s="9">
        <v>1600</v>
      </c>
      <c r="F17" s="9"/>
      <c r="G17" s="9">
        <f t="shared" si="0"/>
        <v>1600</v>
      </c>
      <c r="H17">
        <f t="shared" si="1"/>
        <v>0.55000000000000004</v>
      </c>
      <c r="I17" s="10">
        <f t="shared" si="2"/>
        <v>2E-3</v>
      </c>
      <c r="J17">
        <f t="shared" si="3"/>
        <v>-0.25</v>
      </c>
      <c r="P17">
        <v>2130</v>
      </c>
    </row>
    <row r="18" spans="1:16" x14ac:dyDescent="0.25">
      <c r="A18" t="s">
        <v>20</v>
      </c>
      <c r="B18" t="s">
        <v>24</v>
      </c>
      <c r="C18" s="9"/>
      <c r="D18" s="9"/>
      <c r="E18" s="9">
        <v>39160</v>
      </c>
      <c r="F18" s="9"/>
      <c r="G18" s="9">
        <f t="shared" si="0"/>
        <v>39160</v>
      </c>
      <c r="H18">
        <f t="shared" si="1"/>
        <v>13.56</v>
      </c>
      <c r="I18" s="10">
        <f t="shared" si="2"/>
        <v>3.9E-2</v>
      </c>
      <c r="J18">
        <f t="shared" si="3"/>
        <v>0.09</v>
      </c>
      <c r="P18">
        <v>35920</v>
      </c>
    </row>
    <row r="19" spans="1:16" x14ac:dyDescent="0.25">
      <c r="A19" t="s">
        <v>20</v>
      </c>
      <c r="B19" t="s">
        <v>25</v>
      </c>
      <c r="C19" s="9">
        <v>128130</v>
      </c>
      <c r="D19" s="9"/>
      <c r="E19" s="9">
        <v>14515</v>
      </c>
      <c r="F19" s="9"/>
      <c r="G19" s="9">
        <f t="shared" si="0"/>
        <v>142645</v>
      </c>
      <c r="H19">
        <f t="shared" si="1"/>
        <v>49.41</v>
      </c>
      <c r="I19" s="10">
        <f t="shared" si="2"/>
        <v>0.14099999999999999</v>
      </c>
      <c r="J19">
        <f t="shared" si="3"/>
        <v>-7.0000000000000007E-2</v>
      </c>
      <c r="P19">
        <v>153910</v>
      </c>
    </row>
    <row r="20" spans="1:16" x14ac:dyDescent="0.25">
      <c r="A20" t="s">
        <v>20</v>
      </c>
      <c r="B20" t="s">
        <v>69</v>
      </c>
      <c r="C20" s="9"/>
      <c r="D20" s="9"/>
      <c r="E20" s="9">
        <v>2190</v>
      </c>
      <c r="F20" s="9"/>
      <c r="G20" s="9">
        <f t="shared" si="0"/>
        <v>2190</v>
      </c>
      <c r="H20">
        <f t="shared" si="1"/>
        <v>0.76</v>
      </c>
      <c r="I20" s="10">
        <f t="shared" si="2"/>
        <v>2E-3</v>
      </c>
      <c r="J20">
        <f t="shared" si="3"/>
        <v>-0.36</v>
      </c>
      <c r="P20">
        <v>3425</v>
      </c>
    </row>
    <row r="21" spans="1:16" x14ac:dyDescent="0.25">
      <c r="A21" t="s">
        <v>20</v>
      </c>
      <c r="B21" t="s">
        <v>26</v>
      </c>
      <c r="C21" s="9">
        <v>152960</v>
      </c>
      <c r="D21" s="9"/>
      <c r="E21" s="9"/>
      <c r="F21" s="9"/>
      <c r="G21" s="9">
        <f t="shared" si="0"/>
        <v>152960</v>
      </c>
      <c r="H21">
        <f t="shared" si="1"/>
        <v>52.98</v>
      </c>
      <c r="I21" s="10">
        <f t="shared" si="2"/>
        <v>0.151</v>
      </c>
      <c r="J21">
        <f t="shared" si="3"/>
        <v>-0.08</v>
      </c>
      <c r="P21">
        <v>166580</v>
      </c>
    </row>
    <row r="22" spans="1:16" x14ac:dyDescent="0.25">
      <c r="A22" t="s">
        <v>20</v>
      </c>
      <c r="B22" t="s">
        <v>27</v>
      </c>
      <c r="C22" s="9"/>
      <c r="D22" s="9"/>
      <c r="E22" s="9">
        <v>524</v>
      </c>
      <c r="F22" s="9"/>
      <c r="G22" s="9">
        <f t="shared" si="0"/>
        <v>524</v>
      </c>
      <c r="H22">
        <f t="shared" si="1"/>
        <v>0.18</v>
      </c>
      <c r="I22" s="10">
        <f t="shared" si="2"/>
        <v>1E-3</v>
      </c>
      <c r="J22">
        <f t="shared" si="3"/>
        <v>-0.45</v>
      </c>
      <c r="P22">
        <v>953</v>
      </c>
    </row>
    <row r="23" spans="1:16" x14ac:dyDescent="0.25">
      <c r="A23" t="s">
        <v>20</v>
      </c>
      <c r="B23" t="s">
        <v>28</v>
      </c>
      <c r="C23" s="9"/>
      <c r="D23" s="9"/>
      <c r="E23" s="9">
        <v>236</v>
      </c>
      <c r="F23" s="9"/>
      <c r="G23" s="9">
        <f t="shared" si="0"/>
        <v>236</v>
      </c>
      <c r="H23">
        <f t="shared" si="1"/>
        <v>0.08</v>
      </c>
      <c r="I23" s="10">
        <f t="shared" si="2"/>
        <v>0</v>
      </c>
      <c r="J23">
        <f t="shared" si="3"/>
        <v>7.0000000000000007E-2</v>
      </c>
      <c r="P23">
        <v>220</v>
      </c>
    </row>
    <row r="24" spans="1:16" x14ac:dyDescent="0.25">
      <c r="A24" t="s">
        <v>20</v>
      </c>
      <c r="B24" t="s">
        <v>29</v>
      </c>
      <c r="C24" s="9"/>
      <c r="D24" s="9"/>
      <c r="E24" s="9">
        <v>78</v>
      </c>
      <c r="F24" s="9"/>
      <c r="G24" s="9">
        <f t="shared" si="0"/>
        <v>78</v>
      </c>
      <c r="H24">
        <f t="shared" si="1"/>
        <v>0.03</v>
      </c>
      <c r="I24" s="10">
        <f t="shared" si="2"/>
        <v>0</v>
      </c>
      <c r="J24">
        <f t="shared" si="3"/>
        <v>-0.09</v>
      </c>
      <c r="P24">
        <v>86</v>
      </c>
    </row>
    <row r="25" spans="1:16" x14ac:dyDescent="0.25">
      <c r="A25" t="s">
        <v>20</v>
      </c>
      <c r="B25" t="s">
        <v>30</v>
      </c>
      <c r="C25" s="9"/>
      <c r="D25" s="9"/>
      <c r="E25" s="9">
        <v>2320</v>
      </c>
      <c r="F25" s="9"/>
      <c r="G25" s="9">
        <f t="shared" si="0"/>
        <v>2320</v>
      </c>
      <c r="H25">
        <f t="shared" si="1"/>
        <v>0.8</v>
      </c>
      <c r="I25" s="10">
        <f t="shared" si="2"/>
        <v>2E-3</v>
      </c>
      <c r="J25">
        <f t="shared" si="3"/>
        <v>-0.48</v>
      </c>
      <c r="P25">
        <v>4438</v>
      </c>
    </row>
    <row r="26" spans="1:16" x14ac:dyDescent="0.25">
      <c r="A26" t="s">
        <v>20</v>
      </c>
      <c r="B26" t="s">
        <v>31</v>
      </c>
      <c r="C26" s="9"/>
      <c r="D26" s="9"/>
      <c r="E26" s="9">
        <v>990</v>
      </c>
      <c r="F26" s="9"/>
      <c r="G26" s="9">
        <f t="shared" si="0"/>
        <v>990</v>
      </c>
      <c r="H26">
        <f t="shared" si="1"/>
        <v>0.34</v>
      </c>
      <c r="I26" s="10">
        <f t="shared" si="2"/>
        <v>1E-3</v>
      </c>
      <c r="J26">
        <f t="shared" si="3"/>
        <v>-0.06</v>
      </c>
      <c r="P26">
        <v>1050</v>
      </c>
    </row>
    <row r="27" spans="1:16" x14ac:dyDescent="0.25">
      <c r="A27" t="s">
        <v>20</v>
      </c>
      <c r="B27" t="s">
        <v>32</v>
      </c>
      <c r="C27" s="9"/>
      <c r="D27" s="9"/>
      <c r="E27" s="9">
        <v>180</v>
      </c>
      <c r="F27" s="9"/>
      <c r="G27" s="9">
        <f t="shared" si="0"/>
        <v>180</v>
      </c>
      <c r="H27">
        <f t="shared" si="1"/>
        <v>0.06</v>
      </c>
      <c r="I27" s="10">
        <f t="shared" si="2"/>
        <v>0</v>
      </c>
      <c r="J27">
        <f t="shared" si="3"/>
        <v>-0.31</v>
      </c>
      <c r="P27">
        <v>260</v>
      </c>
    </row>
    <row r="28" spans="1:16" x14ac:dyDescent="0.25">
      <c r="A28" t="s">
        <v>20</v>
      </c>
      <c r="B28" t="s">
        <v>33</v>
      </c>
      <c r="C28" s="9"/>
      <c r="D28" s="9"/>
      <c r="E28" s="9">
        <v>2070</v>
      </c>
      <c r="F28" s="9"/>
      <c r="G28" s="9">
        <f t="shared" si="0"/>
        <v>2070</v>
      </c>
      <c r="H28">
        <f t="shared" si="1"/>
        <v>0.72</v>
      </c>
      <c r="I28" s="10">
        <f t="shared" si="2"/>
        <v>2E-3</v>
      </c>
      <c r="J28">
        <f t="shared" si="3"/>
        <v>0.39</v>
      </c>
      <c r="P28">
        <v>1485</v>
      </c>
    </row>
    <row r="29" spans="1:16" x14ac:dyDescent="0.25">
      <c r="A29" t="s">
        <v>20</v>
      </c>
      <c r="B29" t="s">
        <v>43</v>
      </c>
      <c r="C29" s="9"/>
      <c r="D29" s="9">
        <v>299</v>
      </c>
      <c r="E29" s="9"/>
      <c r="F29" s="9"/>
      <c r="G29" s="9">
        <f t="shared" si="0"/>
        <v>299</v>
      </c>
      <c r="H29">
        <f t="shared" si="1"/>
        <v>0.1</v>
      </c>
      <c r="I29" s="10">
        <f t="shared" si="2"/>
        <v>0</v>
      </c>
      <c r="J29">
        <f t="shared" si="3"/>
        <v>-0.06</v>
      </c>
      <c r="P29">
        <v>318</v>
      </c>
    </row>
    <row r="30" spans="1:16" x14ac:dyDescent="0.25">
      <c r="A30" t="s">
        <v>20</v>
      </c>
      <c r="B30" t="s">
        <v>70</v>
      </c>
      <c r="C30" s="9"/>
      <c r="D30" s="9"/>
      <c r="E30" s="9">
        <v>916</v>
      </c>
      <c r="F30" s="9"/>
      <c r="G30" s="9">
        <f t="shared" si="0"/>
        <v>916</v>
      </c>
      <c r="H30">
        <f t="shared" si="1"/>
        <v>0.32</v>
      </c>
      <c r="I30" s="10">
        <f t="shared" si="2"/>
        <v>1E-3</v>
      </c>
      <c r="J30">
        <f t="shared" si="3"/>
        <v>-0.51</v>
      </c>
      <c r="P30">
        <v>1880</v>
      </c>
    </row>
    <row r="31" spans="1:16" x14ac:dyDescent="0.25">
      <c r="A31" t="s">
        <v>20</v>
      </c>
      <c r="B31" t="s">
        <v>34</v>
      </c>
      <c r="C31" s="9"/>
      <c r="D31" s="9"/>
      <c r="E31" s="9">
        <v>553</v>
      </c>
      <c r="F31" s="9"/>
      <c r="G31" s="9">
        <f t="shared" si="0"/>
        <v>553</v>
      </c>
      <c r="H31">
        <f t="shared" si="1"/>
        <v>0.19</v>
      </c>
      <c r="I31" s="10">
        <f t="shared" si="2"/>
        <v>1E-3</v>
      </c>
      <c r="P31">
        <v>0</v>
      </c>
    </row>
    <row r="32" spans="1:16" x14ac:dyDescent="0.25">
      <c r="A32" t="s">
        <v>20</v>
      </c>
      <c r="B32" t="s">
        <v>35</v>
      </c>
      <c r="C32" s="9"/>
      <c r="D32" s="9"/>
      <c r="E32" s="9">
        <v>2440</v>
      </c>
      <c r="F32" s="9"/>
      <c r="G32" s="9">
        <f t="shared" si="0"/>
        <v>2440</v>
      </c>
      <c r="H32">
        <f t="shared" si="1"/>
        <v>0.85</v>
      </c>
      <c r="I32" s="10">
        <f t="shared" si="2"/>
        <v>2E-3</v>
      </c>
      <c r="J32">
        <f t="shared" ref="J32:J38" si="4">ROUND(G32/P32-1,2)</f>
        <v>-0.08</v>
      </c>
      <c r="P32">
        <v>2666</v>
      </c>
    </row>
    <row r="33" spans="1:16" x14ac:dyDescent="0.25">
      <c r="A33" t="s">
        <v>20</v>
      </c>
      <c r="B33" t="s">
        <v>41</v>
      </c>
      <c r="C33" s="9"/>
      <c r="D33" s="9"/>
      <c r="E33" s="9">
        <v>7787</v>
      </c>
      <c r="F33" s="9"/>
      <c r="G33" s="9">
        <f t="shared" si="0"/>
        <v>7787</v>
      </c>
      <c r="H33">
        <f t="shared" si="1"/>
        <v>2.7</v>
      </c>
      <c r="I33" s="10">
        <f t="shared" si="2"/>
        <v>8.0000000000000002E-3</v>
      </c>
      <c r="J33">
        <f t="shared" si="4"/>
        <v>0.25</v>
      </c>
      <c r="P33">
        <v>6210</v>
      </c>
    </row>
    <row r="34" spans="1:16" x14ac:dyDescent="0.25">
      <c r="A34" t="s">
        <v>20</v>
      </c>
      <c r="B34" t="s">
        <v>36</v>
      </c>
      <c r="C34" s="9"/>
      <c r="D34" s="9"/>
      <c r="E34" s="9">
        <v>3390</v>
      </c>
      <c r="F34" s="9"/>
      <c r="G34" s="9">
        <f t="shared" si="0"/>
        <v>3390</v>
      </c>
      <c r="H34">
        <f t="shared" si="1"/>
        <v>1.17</v>
      </c>
      <c r="I34" s="10">
        <f t="shared" si="2"/>
        <v>3.0000000000000001E-3</v>
      </c>
      <c r="J34">
        <f t="shared" si="4"/>
        <v>-0.44</v>
      </c>
      <c r="P34">
        <v>6100</v>
      </c>
    </row>
    <row r="35" spans="1:16" x14ac:dyDescent="0.25">
      <c r="A35" t="s">
        <v>20</v>
      </c>
      <c r="B35" t="s">
        <v>37</v>
      </c>
      <c r="C35" s="9"/>
      <c r="D35" s="9"/>
      <c r="E35" s="9">
        <v>48080</v>
      </c>
      <c r="F35" s="9"/>
      <c r="G35" s="9">
        <f t="shared" si="0"/>
        <v>48080</v>
      </c>
      <c r="H35">
        <f t="shared" si="1"/>
        <v>16.649999999999999</v>
      </c>
      <c r="I35" s="10">
        <f t="shared" si="2"/>
        <v>4.7E-2</v>
      </c>
      <c r="J35">
        <f t="shared" si="4"/>
        <v>-0.11</v>
      </c>
      <c r="P35">
        <v>53770</v>
      </c>
    </row>
    <row r="36" spans="1:16" x14ac:dyDescent="0.25">
      <c r="A36" t="s">
        <v>20</v>
      </c>
      <c r="B36" t="s">
        <v>38</v>
      </c>
      <c r="C36" s="9"/>
      <c r="D36" s="9"/>
      <c r="E36" s="9">
        <v>4810</v>
      </c>
      <c r="F36" s="9"/>
      <c r="G36" s="9">
        <f t="shared" si="0"/>
        <v>4810</v>
      </c>
      <c r="H36">
        <f t="shared" si="1"/>
        <v>1.67</v>
      </c>
      <c r="I36" s="10">
        <f t="shared" si="2"/>
        <v>5.0000000000000001E-3</v>
      </c>
      <c r="J36">
        <f t="shared" si="4"/>
        <v>0.12</v>
      </c>
      <c r="P36">
        <v>4300</v>
      </c>
    </row>
    <row r="37" spans="1:16" x14ac:dyDescent="0.25">
      <c r="A37" t="s">
        <v>20</v>
      </c>
      <c r="B37" t="s">
        <v>39</v>
      </c>
      <c r="C37" s="9"/>
      <c r="D37" s="9"/>
      <c r="E37" s="9">
        <v>16950</v>
      </c>
      <c r="F37" s="9"/>
      <c r="G37" s="9">
        <f t="shared" si="0"/>
        <v>16950</v>
      </c>
      <c r="H37">
        <f t="shared" si="1"/>
        <v>5.87</v>
      </c>
      <c r="I37" s="10">
        <f t="shared" si="2"/>
        <v>1.7000000000000001E-2</v>
      </c>
      <c r="J37">
        <f t="shared" si="4"/>
        <v>-0.08</v>
      </c>
      <c r="P37">
        <v>18460</v>
      </c>
    </row>
    <row r="38" spans="1:16" x14ac:dyDescent="0.25">
      <c r="A38" t="s">
        <v>20</v>
      </c>
      <c r="B38" t="s">
        <v>40</v>
      </c>
      <c r="C38" s="9"/>
      <c r="D38" s="9"/>
      <c r="E38" s="9">
        <v>106040</v>
      </c>
      <c r="F38" s="9"/>
      <c r="G38" s="9">
        <f t="shared" si="0"/>
        <v>106040</v>
      </c>
      <c r="H38">
        <f t="shared" si="1"/>
        <v>36.729999999999997</v>
      </c>
      <c r="I38" s="10">
        <f t="shared" si="2"/>
        <v>0.105</v>
      </c>
      <c r="J38">
        <f t="shared" si="4"/>
        <v>-0.03</v>
      </c>
      <c r="P38">
        <v>109570</v>
      </c>
    </row>
    <row r="39" spans="1:16" x14ac:dyDescent="0.25">
      <c r="A39" t="s">
        <v>20</v>
      </c>
      <c r="B39" t="s">
        <v>68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20</v>
      </c>
      <c r="B40" t="s">
        <v>73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20</v>
      </c>
      <c r="B41" t="s">
        <v>74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A42" t="s">
        <v>20</v>
      </c>
      <c r="B42" t="s">
        <v>75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44</v>
      </c>
      <c r="B43" t="s">
        <v>45</v>
      </c>
      <c r="C43" s="9">
        <v>236260</v>
      </c>
      <c r="D43" s="9"/>
      <c r="E43" s="9"/>
      <c r="F43" s="9">
        <v>2480</v>
      </c>
      <c r="G43" s="9">
        <f t="shared" si="0"/>
        <v>238740</v>
      </c>
      <c r="H43">
        <f t="shared" si="1"/>
        <v>82.69</v>
      </c>
      <c r="I43" s="10">
        <f t="shared" si="2"/>
        <v>0.23599999999999999</v>
      </c>
      <c r="J43">
        <f>ROUND(G43/P43-1,2)</f>
        <v>-0.03</v>
      </c>
      <c r="P43">
        <v>246350</v>
      </c>
    </row>
    <row r="44" spans="1:16" x14ac:dyDescent="0.25">
      <c r="A44" t="s">
        <v>44</v>
      </c>
      <c r="B44" t="s">
        <v>47</v>
      </c>
      <c r="C44" s="9"/>
      <c r="D44" s="9"/>
      <c r="E44" s="9"/>
      <c r="F44" s="9">
        <v>7510</v>
      </c>
      <c r="G44" s="9">
        <f t="shared" si="0"/>
        <v>7510</v>
      </c>
      <c r="H44">
        <f t="shared" si="1"/>
        <v>2.6</v>
      </c>
      <c r="I44" s="10">
        <f t="shared" si="2"/>
        <v>7.0000000000000001E-3</v>
      </c>
      <c r="J44">
        <f>ROUND(G44/P44-1,2)</f>
        <v>-0.6</v>
      </c>
      <c r="P44">
        <v>18780</v>
      </c>
    </row>
    <row r="45" spans="1:16" x14ac:dyDescent="0.25">
      <c r="A45" t="s">
        <v>44</v>
      </c>
      <c r="B45" t="s">
        <v>46</v>
      </c>
      <c r="C45" s="9"/>
      <c r="D45" s="9"/>
      <c r="E45" s="9">
        <v>50980</v>
      </c>
      <c r="F45" s="9"/>
      <c r="G45" s="9">
        <f t="shared" si="0"/>
        <v>50980</v>
      </c>
      <c r="H45">
        <f t="shared" si="1"/>
        <v>17.66</v>
      </c>
      <c r="I45" s="10">
        <f t="shared" si="2"/>
        <v>0.05</v>
      </c>
      <c r="J45">
        <f>ROUND(G45/P45-1,2)</f>
        <v>0.02</v>
      </c>
      <c r="P45">
        <v>50000</v>
      </c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SUM(C8:C45)</f>
        <v>696500</v>
      </c>
      <c r="D49" s="12">
        <f t="shared" si="5"/>
        <v>299</v>
      </c>
      <c r="E49" s="12">
        <f t="shared" si="5"/>
        <v>306161</v>
      </c>
      <c r="F49" s="12">
        <f t="shared" si="5"/>
        <v>10460</v>
      </c>
      <c r="G49" s="12">
        <f t="shared" si="5"/>
        <v>1013420</v>
      </c>
      <c r="H49" s="11">
        <f t="shared" si="5"/>
        <v>351.01000000000005</v>
      </c>
      <c r="I49" s="4"/>
    </row>
    <row r="50" spans="1:10" x14ac:dyDescent="0.25">
      <c r="A50" s="11" t="s">
        <v>14</v>
      </c>
      <c r="C50" s="13">
        <f>ROUND(C49/G49,2)</f>
        <v>0.69</v>
      </c>
      <c r="D50" s="13">
        <f>ROUND(D49/G49,2)</f>
        <v>0</v>
      </c>
      <c r="E50" s="13">
        <f>ROUND(E49/G49,2)</f>
        <v>0.3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460240</v>
      </c>
      <c r="D54" s="15">
        <v>299</v>
      </c>
      <c r="E54" s="15">
        <v>255181</v>
      </c>
      <c r="F54" s="15">
        <v>0</v>
      </c>
      <c r="G54" s="15">
        <f>SUM(C54:F54)</f>
        <v>715720</v>
      </c>
      <c r="H54" s="17">
        <f>ROUND(G54/2887,2)</f>
        <v>247.91</v>
      </c>
      <c r="I54" s="4"/>
      <c r="J54" s="4"/>
    </row>
    <row r="55" spans="1:10" x14ac:dyDescent="0.25">
      <c r="A55" s="33" t="s">
        <v>50</v>
      </c>
      <c r="B55" s="33"/>
      <c r="C55" s="15">
        <v>236260</v>
      </c>
      <c r="D55" s="15">
        <v>0</v>
      </c>
      <c r="E55" s="15">
        <v>50980</v>
      </c>
      <c r="F55" s="15">
        <v>9990</v>
      </c>
      <c r="G55" s="15">
        <f>SUM(C55:F55)</f>
        <v>297230</v>
      </c>
      <c r="H55" s="17">
        <f>ROUND(G55/2887,2)</f>
        <v>102.95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470</v>
      </c>
      <c r="G56" s="15">
        <f>SUM(C56:F56)</f>
        <v>470</v>
      </c>
      <c r="H56" s="17">
        <f>ROUND(G56/2887,2)</f>
        <v>0.16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ROUND(0.7477, 4)</f>
        <v>0.74770000000000003</v>
      </c>
      <c r="D60" s="19">
        <f>ROUND(0.7554, 4)</f>
        <v>0.75539999999999996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ROUND(0.7374, 4)</f>
        <v>0.73740000000000006</v>
      </c>
      <c r="D61" s="19">
        <f>ROUND(0.7462, 4)</f>
        <v>0.74619999999999997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76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82.69</v>
      </c>
      <c r="D64" s="17">
        <v>81.06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52.98</v>
      </c>
      <c r="D65" s="17">
        <v>56.43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247.91</v>
      </c>
      <c r="D66" s="17">
        <v>276.95999999999998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102.95</v>
      </c>
      <c r="D67" s="17">
        <v>102.6</v>
      </c>
      <c r="E67" s="17">
        <v>115.16</v>
      </c>
      <c r="F67" s="17">
        <v>80.39</v>
      </c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P75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196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843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27640</v>
      </c>
      <c r="D9" s="9"/>
      <c r="E9" s="9">
        <v>1343.46</v>
      </c>
      <c r="F9" s="9">
        <v>40</v>
      </c>
      <c r="G9" s="9">
        <f t="shared" ref="G9:G33" si="0">SUM(C9:F9)</f>
        <v>29023.46</v>
      </c>
      <c r="H9">
        <f t="shared" ref="H9:H33" si="1">ROUND(G9/843,2)</f>
        <v>34.43</v>
      </c>
      <c r="I9" s="10">
        <f t="shared" ref="I9:I33" si="2">ROUND(G9/$G$49,3)</f>
        <v>0.10299999999999999</v>
      </c>
      <c r="J9">
        <f t="shared" ref="J9:J24" si="3">ROUND(G9/P9-1,2)</f>
        <v>-0.02</v>
      </c>
      <c r="P9">
        <v>29649.84</v>
      </c>
    </row>
    <row r="10" spans="1:16" x14ac:dyDescent="0.25">
      <c r="A10" t="s">
        <v>20</v>
      </c>
      <c r="B10" t="s">
        <v>22</v>
      </c>
      <c r="C10" s="9">
        <v>44160</v>
      </c>
      <c r="D10" s="9"/>
      <c r="E10" s="9"/>
      <c r="F10" s="9"/>
      <c r="G10" s="9">
        <f t="shared" si="0"/>
        <v>44160</v>
      </c>
      <c r="H10">
        <f t="shared" si="1"/>
        <v>52.38</v>
      </c>
      <c r="I10" s="10">
        <f t="shared" si="2"/>
        <v>0.156</v>
      </c>
      <c r="J10">
        <f t="shared" si="3"/>
        <v>0.23</v>
      </c>
      <c r="P10">
        <v>36020</v>
      </c>
    </row>
    <row r="11" spans="1:16" x14ac:dyDescent="0.25">
      <c r="A11" t="s">
        <v>20</v>
      </c>
      <c r="B11" t="s">
        <v>42</v>
      </c>
      <c r="C11" s="9"/>
      <c r="D11" s="9"/>
      <c r="E11" s="9">
        <v>38.75</v>
      </c>
      <c r="F11" s="9"/>
      <c r="G11" s="9">
        <f t="shared" si="0"/>
        <v>38.75</v>
      </c>
      <c r="H11">
        <f t="shared" si="1"/>
        <v>0.05</v>
      </c>
      <c r="I11" s="10">
        <f t="shared" si="2"/>
        <v>0</v>
      </c>
      <c r="J11">
        <f t="shared" si="3"/>
        <v>-0.23</v>
      </c>
      <c r="P11">
        <v>50.53</v>
      </c>
    </row>
    <row r="12" spans="1:16" x14ac:dyDescent="0.25">
      <c r="A12" t="s">
        <v>20</v>
      </c>
      <c r="B12" t="s">
        <v>24</v>
      </c>
      <c r="C12" s="9"/>
      <c r="D12" s="9"/>
      <c r="E12" s="9">
        <v>8840.82</v>
      </c>
      <c r="F12" s="9"/>
      <c r="G12" s="9">
        <f t="shared" si="0"/>
        <v>8840.82</v>
      </c>
      <c r="H12">
        <f t="shared" si="1"/>
        <v>10.49</v>
      </c>
      <c r="I12" s="10">
        <f t="shared" si="2"/>
        <v>3.1E-2</v>
      </c>
      <c r="J12">
        <f t="shared" si="3"/>
        <v>-0.69</v>
      </c>
      <c r="P12">
        <v>28334.15</v>
      </c>
    </row>
    <row r="13" spans="1:16" x14ac:dyDescent="0.25">
      <c r="A13" t="s">
        <v>20</v>
      </c>
      <c r="B13" t="s">
        <v>25</v>
      </c>
      <c r="C13" s="9">
        <v>36130</v>
      </c>
      <c r="D13" s="9"/>
      <c r="E13" s="9">
        <v>1232.94</v>
      </c>
      <c r="F13" s="9">
        <v>40</v>
      </c>
      <c r="G13" s="9">
        <f t="shared" si="0"/>
        <v>37402.94</v>
      </c>
      <c r="H13">
        <f t="shared" si="1"/>
        <v>44.37</v>
      </c>
      <c r="I13" s="10">
        <f t="shared" si="2"/>
        <v>0.13200000000000001</v>
      </c>
      <c r="J13">
        <f t="shared" si="3"/>
        <v>-0.13</v>
      </c>
      <c r="P13">
        <v>43222.12</v>
      </c>
    </row>
    <row r="14" spans="1:16" x14ac:dyDescent="0.25">
      <c r="A14" t="s">
        <v>20</v>
      </c>
      <c r="B14" t="s">
        <v>26</v>
      </c>
      <c r="C14" s="9">
        <v>39280</v>
      </c>
      <c r="D14" s="9"/>
      <c r="E14" s="9"/>
      <c r="F14" s="9"/>
      <c r="G14" s="9">
        <f t="shared" si="0"/>
        <v>39280</v>
      </c>
      <c r="H14">
        <f t="shared" si="1"/>
        <v>46.6</v>
      </c>
      <c r="I14" s="10">
        <f t="shared" si="2"/>
        <v>0.13900000000000001</v>
      </c>
      <c r="J14">
        <f t="shared" si="3"/>
        <v>0.05</v>
      </c>
      <c r="P14">
        <v>37340</v>
      </c>
    </row>
    <row r="15" spans="1:16" x14ac:dyDescent="0.25">
      <c r="A15" t="s">
        <v>20</v>
      </c>
      <c r="B15" t="s">
        <v>30</v>
      </c>
      <c r="C15" s="9"/>
      <c r="D15" s="9"/>
      <c r="E15" s="9">
        <v>202.5</v>
      </c>
      <c r="F15" s="9"/>
      <c r="G15" s="9">
        <f t="shared" si="0"/>
        <v>202.5</v>
      </c>
      <c r="H15">
        <f t="shared" si="1"/>
        <v>0.24</v>
      </c>
      <c r="I15" s="10">
        <f t="shared" si="2"/>
        <v>1E-3</v>
      </c>
      <c r="J15">
        <f t="shared" si="3"/>
        <v>-0.92</v>
      </c>
      <c r="P15">
        <v>2618.44</v>
      </c>
    </row>
    <row r="16" spans="1:16" x14ac:dyDescent="0.25">
      <c r="A16" t="s">
        <v>20</v>
      </c>
      <c r="B16" t="s">
        <v>31</v>
      </c>
      <c r="C16" s="9"/>
      <c r="D16" s="9"/>
      <c r="E16" s="9">
        <v>61.55</v>
      </c>
      <c r="F16" s="9"/>
      <c r="G16" s="9">
        <f t="shared" si="0"/>
        <v>61.55</v>
      </c>
      <c r="H16">
        <f t="shared" si="1"/>
        <v>7.0000000000000007E-2</v>
      </c>
      <c r="I16" s="10">
        <f t="shared" si="2"/>
        <v>0</v>
      </c>
      <c r="J16">
        <f t="shared" si="3"/>
        <v>-0.83</v>
      </c>
      <c r="P16">
        <v>352.02</v>
      </c>
    </row>
    <row r="17" spans="1:16" x14ac:dyDescent="0.25">
      <c r="A17" t="s">
        <v>20</v>
      </c>
      <c r="B17" t="s">
        <v>34</v>
      </c>
      <c r="C17" s="9"/>
      <c r="D17" s="9"/>
      <c r="E17" s="9">
        <v>37.67</v>
      </c>
      <c r="F17" s="9"/>
      <c r="G17" s="9">
        <f t="shared" si="0"/>
        <v>37.67</v>
      </c>
      <c r="H17">
        <f t="shared" si="1"/>
        <v>0.04</v>
      </c>
      <c r="I17" s="10">
        <f t="shared" si="2"/>
        <v>0</v>
      </c>
      <c r="J17">
        <f t="shared" si="3"/>
        <v>-0.92</v>
      </c>
      <c r="P17">
        <v>495.79</v>
      </c>
    </row>
    <row r="18" spans="1:16" x14ac:dyDescent="0.25">
      <c r="A18" t="s">
        <v>20</v>
      </c>
      <c r="B18" t="s">
        <v>35</v>
      </c>
      <c r="C18" s="9"/>
      <c r="D18" s="9"/>
      <c r="E18" s="9">
        <v>340.21</v>
      </c>
      <c r="F18" s="9"/>
      <c r="G18" s="9">
        <f t="shared" si="0"/>
        <v>340.21</v>
      </c>
      <c r="H18">
        <f t="shared" si="1"/>
        <v>0.4</v>
      </c>
      <c r="I18" s="10">
        <f t="shared" si="2"/>
        <v>1E-3</v>
      </c>
      <c r="J18">
        <f t="shared" si="3"/>
        <v>-0.78</v>
      </c>
      <c r="P18">
        <v>1516.91</v>
      </c>
    </row>
    <row r="19" spans="1:16" x14ac:dyDescent="0.25">
      <c r="A19" t="s">
        <v>20</v>
      </c>
      <c r="B19" t="s">
        <v>36</v>
      </c>
      <c r="C19" s="9"/>
      <c r="D19" s="9"/>
      <c r="E19" s="9">
        <v>70.97</v>
      </c>
      <c r="F19" s="9"/>
      <c r="G19" s="9">
        <f t="shared" si="0"/>
        <v>70.97</v>
      </c>
      <c r="H19">
        <f t="shared" si="1"/>
        <v>0.08</v>
      </c>
      <c r="I19" s="10">
        <f t="shared" si="2"/>
        <v>0</v>
      </c>
      <c r="J19">
        <f t="shared" si="3"/>
        <v>-0.99</v>
      </c>
      <c r="P19">
        <v>4818.99</v>
      </c>
    </row>
    <row r="20" spans="1:16" x14ac:dyDescent="0.25">
      <c r="A20" t="s">
        <v>20</v>
      </c>
      <c r="B20" t="s">
        <v>37</v>
      </c>
      <c r="C20" s="9"/>
      <c r="D20" s="9"/>
      <c r="E20" s="9">
        <v>9172.73</v>
      </c>
      <c r="F20" s="9"/>
      <c r="G20" s="9">
        <f t="shared" si="0"/>
        <v>9172.73</v>
      </c>
      <c r="H20">
        <f t="shared" si="1"/>
        <v>10.88</v>
      </c>
      <c r="I20" s="10">
        <f t="shared" si="2"/>
        <v>3.2000000000000001E-2</v>
      </c>
      <c r="J20">
        <f t="shared" si="3"/>
        <v>-0.64</v>
      </c>
      <c r="P20">
        <v>25194.18</v>
      </c>
    </row>
    <row r="21" spans="1:16" x14ac:dyDescent="0.25">
      <c r="A21" t="s">
        <v>20</v>
      </c>
      <c r="B21" t="s">
        <v>39</v>
      </c>
      <c r="C21" s="9"/>
      <c r="D21" s="9"/>
      <c r="E21" s="9">
        <v>4348.57</v>
      </c>
      <c r="F21" s="9"/>
      <c r="G21" s="9">
        <f t="shared" si="0"/>
        <v>4348.57</v>
      </c>
      <c r="H21">
        <f t="shared" si="1"/>
        <v>5.16</v>
      </c>
      <c r="I21" s="10">
        <f t="shared" si="2"/>
        <v>1.4999999999999999E-2</v>
      </c>
      <c r="J21">
        <f t="shared" si="3"/>
        <v>-0.44</v>
      </c>
      <c r="P21">
        <v>7722.26</v>
      </c>
    </row>
    <row r="22" spans="1:16" x14ac:dyDescent="0.25">
      <c r="A22" t="s">
        <v>20</v>
      </c>
      <c r="B22" t="s">
        <v>40</v>
      </c>
      <c r="C22" s="9"/>
      <c r="D22" s="9"/>
      <c r="E22" s="9">
        <v>974.29</v>
      </c>
      <c r="F22" s="9"/>
      <c r="G22" s="9">
        <f t="shared" si="0"/>
        <v>974.29</v>
      </c>
      <c r="H22">
        <f t="shared" si="1"/>
        <v>1.1599999999999999</v>
      </c>
      <c r="I22" s="10">
        <f t="shared" si="2"/>
        <v>3.0000000000000001E-3</v>
      </c>
      <c r="J22">
        <f t="shared" si="3"/>
        <v>-0.61</v>
      </c>
      <c r="P22">
        <v>2527.67</v>
      </c>
    </row>
    <row r="23" spans="1:16" x14ac:dyDescent="0.25">
      <c r="A23" t="s">
        <v>20</v>
      </c>
      <c r="B23" t="s">
        <v>29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J23">
        <f t="shared" si="3"/>
        <v>-1</v>
      </c>
      <c r="P23">
        <v>75</v>
      </c>
    </row>
    <row r="24" spans="1:16" x14ac:dyDescent="0.25">
      <c r="A24" t="s">
        <v>20</v>
      </c>
      <c r="B24" t="s">
        <v>33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J24">
        <f t="shared" si="3"/>
        <v>-1</v>
      </c>
      <c r="P24">
        <v>88.89</v>
      </c>
    </row>
    <row r="25" spans="1:16" x14ac:dyDescent="0.25">
      <c r="A25" t="s">
        <v>20</v>
      </c>
      <c r="B25" t="s">
        <v>74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23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32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43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38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44</v>
      </c>
      <c r="B30" t="s">
        <v>45</v>
      </c>
      <c r="C30" s="9">
        <v>102260</v>
      </c>
      <c r="D30" s="9"/>
      <c r="E30" s="9"/>
      <c r="F30" s="9">
        <v>500</v>
      </c>
      <c r="G30" s="9">
        <f t="shared" si="0"/>
        <v>102760</v>
      </c>
      <c r="H30">
        <f t="shared" si="1"/>
        <v>121.9</v>
      </c>
      <c r="I30" s="10">
        <f t="shared" si="2"/>
        <v>0.36299999999999999</v>
      </c>
      <c r="J30">
        <f>ROUND(G30/P30-1,2)</f>
        <v>0.28000000000000003</v>
      </c>
      <c r="P30">
        <v>80500</v>
      </c>
    </row>
    <row r="31" spans="1:16" x14ac:dyDescent="0.25">
      <c r="A31" t="s">
        <v>44</v>
      </c>
      <c r="B31" t="s">
        <v>46</v>
      </c>
      <c r="C31" s="9"/>
      <c r="D31" s="9"/>
      <c r="E31" s="9">
        <v>6217.94</v>
      </c>
      <c r="F31" s="9"/>
      <c r="G31" s="9">
        <f t="shared" si="0"/>
        <v>6217.94</v>
      </c>
      <c r="H31">
        <f t="shared" si="1"/>
        <v>7.38</v>
      </c>
      <c r="I31" s="10">
        <f t="shared" si="2"/>
        <v>2.1999999999999999E-2</v>
      </c>
      <c r="J31">
        <f>ROUND(G31/P31-1,2)</f>
        <v>-0.6</v>
      </c>
      <c r="P31">
        <v>15443.25</v>
      </c>
    </row>
    <row r="32" spans="1:16" x14ac:dyDescent="0.25">
      <c r="A32" t="s">
        <v>44</v>
      </c>
      <c r="B32" t="s">
        <v>47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16</v>
      </c>
      <c r="B33" t="s">
        <v>19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C34" s="9"/>
      <c r="D34" s="9"/>
      <c r="E34" s="9"/>
      <c r="F34" s="9"/>
      <c r="G34" s="9"/>
      <c r="I34" s="10"/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SUM(C8:C33)</f>
        <v>249470</v>
      </c>
      <c r="D49" s="12">
        <f t="shared" si="4"/>
        <v>0</v>
      </c>
      <c r="E49" s="12">
        <f t="shared" si="4"/>
        <v>32882.400000000001</v>
      </c>
      <c r="F49" s="12">
        <f t="shared" si="4"/>
        <v>580</v>
      </c>
      <c r="G49" s="12">
        <f t="shared" si="4"/>
        <v>282932.40000000002</v>
      </c>
      <c r="H49" s="11">
        <f t="shared" si="4"/>
        <v>335.63</v>
      </c>
      <c r="I49" s="4"/>
    </row>
    <row r="50" spans="1:10" x14ac:dyDescent="0.25">
      <c r="A50" s="11" t="s">
        <v>14</v>
      </c>
      <c r="C50" s="13">
        <f>ROUND(C49/G49,2)</f>
        <v>0.88</v>
      </c>
      <c r="D50" s="13">
        <f>ROUND(D49/G49,2)</f>
        <v>0</v>
      </c>
      <c r="E50" s="13">
        <f>ROUND(E49/G49,2)</f>
        <v>0.12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147210</v>
      </c>
      <c r="D54" s="15">
        <v>0</v>
      </c>
      <c r="E54" s="15">
        <v>26664.46</v>
      </c>
      <c r="F54" s="15">
        <v>80</v>
      </c>
      <c r="G54" s="15">
        <f>SUM(C54:F54)</f>
        <v>173954.46</v>
      </c>
      <c r="H54" s="17">
        <f>ROUND(G54/843,2)</f>
        <v>206.35</v>
      </c>
      <c r="I54" s="4"/>
      <c r="J54" s="4"/>
    </row>
    <row r="55" spans="1:10" x14ac:dyDescent="0.25">
      <c r="A55" s="33" t="s">
        <v>50</v>
      </c>
      <c r="B55" s="33"/>
      <c r="C55" s="15">
        <v>102260</v>
      </c>
      <c r="D55" s="15">
        <v>0</v>
      </c>
      <c r="E55" s="15">
        <v>6217.94</v>
      </c>
      <c r="F55" s="15">
        <v>500</v>
      </c>
      <c r="G55" s="15">
        <f>SUM(C55:F55)</f>
        <v>108977.94</v>
      </c>
      <c r="H55" s="17">
        <f>ROUND(G55/843,2)</f>
        <v>129.27000000000001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ROUND(G56/843,2)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ROUND(0.6227, 4)</f>
        <v>0.62270000000000003</v>
      </c>
      <c r="D60" s="19">
        <f>ROUND(0.7145, 4)</f>
        <v>0.71450000000000002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ROUND(0.5833, 4)</f>
        <v>0.58330000000000004</v>
      </c>
      <c r="D61" s="19">
        <f>ROUND(0.676, 4)</f>
        <v>0.67600000000000005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197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121.9</v>
      </c>
      <c r="D64" s="17">
        <v>98.54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46.6</v>
      </c>
      <c r="D65" s="17">
        <v>49.28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206.35</v>
      </c>
      <c r="D66" s="17">
        <v>254.13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129.27000000000001</v>
      </c>
      <c r="D67" s="17">
        <v>114.73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8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198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3913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55</v>
      </c>
      <c r="F9" s="9"/>
      <c r="G9" s="9">
        <f t="shared" ref="G9:G41" si="0">SUM(C9:F9)</f>
        <v>55</v>
      </c>
      <c r="H9">
        <f t="shared" ref="H9:H41" si="1">ROUND(G9/3913,2)</f>
        <v>0.01</v>
      </c>
      <c r="I9" s="10">
        <f t="shared" ref="I9:I41" si="2">ROUND(G9/$G$49,3)</f>
        <v>0</v>
      </c>
      <c r="J9">
        <f t="shared" ref="J9:J35" si="3">ROUND(G9/P9-1,2)</f>
        <v>-0.35</v>
      </c>
      <c r="P9">
        <v>84</v>
      </c>
    </row>
    <row r="10" spans="1:16" x14ac:dyDescent="0.25">
      <c r="A10" t="s">
        <v>20</v>
      </c>
      <c r="B10" t="s">
        <v>21</v>
      </c>
      <c r="C10" s="9">
        <v>127356</v>
      </c>
      <c r="D10" s="9"/>
      <c r="E10" s="9">
        <v>5360</v>
      </c>
      <c r="F10" s="9">
        <v>4</v>
      </c>
      <c r="G10" s="9">
        <f t="shared" si="0"/>
        <v>132720</v>
      </c>
      <c r="H10">
        <f t="shared" si="1"/>
        <v>33.92</v>
      </c>
      <c r="I10" s="10">
        <f t="shared" si="2"/>
        <v>0.107</v>
      </c>
      <c r="J10">
        <f t="shared" si="3"/>
        <v>0.04</v>
      </c>
      <c r="P10">
        <v>127825</v>
      </c>
    </row>
    <row r="11" spans="1:16" x14ac:dyDescent="0.25">
      <c r="A11" t="s">
        <v>20</v>
      </c>
      <c r="B11" t="s">
        <v>22</v>
      </c>
      <c r="C11" s="9">
        <v>153290</v>
      </c>
      <c r="D11" s="9"/>
      <c r="E11" s="9"/>
      <c r="F11" s="9"/>
      <c r="G11" s="9">
        <f t="shared" si="0"/>
        <v>153290</v>
      </c>
      <c r="H11">
        <f t="shared" si="1"/>
        <v>39.17</v>
      </c>
      <c r="I11" s="10">
        <f t="shared" si="2"/>
        <v>0.123</v>
      </c>
      <c r="J11">
        <f t="shared" si="3"/>
        <v>-0.12</v>
      </c>
      <c r="P11">
        <v>175160</v>
      </c>
    </row>
    <row r="12" spans="1:16" x14ac:dyDescent="0.25">
      <c r="A12" t="s">
        <v>20</v>
      </c>
      <c r="B12" t="s">
        <v>79</v>
      </c>
      <c r="C12" s="9"/>
      <c r="D12" s="9"/>
      <c r="E12" s="9">
        <v>340</v>
      </c>
      <c r="F12" s="9"/>
      <c r="G12" s="9">
        <f t="shared" si="0"/>
        <v>340</v>
      </c>
      <c r="H12">
        <f t="shared" si="1"/>
        <v>0.09</v>
      </c>
      <c r="I12" s="10">
        <f t="shared" si="2"/>
        <v>0</v>
      </c>
      <c r="J12">
        <f t="shared" si="3"/>
        <v>-0.06</v>
      </c>
      <c r="P12">
        <v>362</v>
      </c>
    </row>
    <row r="13" spans="1:16" x14ac:dyDescent="0.25">
      <c r="A13" t="s">
        <v>20</v>
      </c>
      <c r="B13" t="s">
        <v>42</v>
      </c>
      <c r="C13" s="9"/>
      <c r="D13" s="9"/>
      <c r="E13" s="9">
        <v>437</v>
      </c>
      <c r="F13" s="9"/>
      <c r="G13" s="9">
        <f t="shared" si="0"/>
        <v>437</v>
      </c>
      <c r="H13">
        <f t="shared" si="1"/>
        <v>0.11</v>
      </c>
      <c r="I13" s="10">
        <f t="shared" si="2"/>
        <v>0</v>
      </c>
      <c r="J13">
        <f t="shared" si="3"/>
        <v>0.41</v>
      </c>
      <c r="P13">
        <v>309</v>
      </c>
    </row>
    <row r="14" spans="1:16" x14ac:dyDescent="0.25">
      <c r="A14" t="s">
        <v>20</v>
      </c>
      <c r="B14" t="s">
        <v>23</v>
      </c>
      <c r="C14" s="9"/>
      <c r="D14" s="9"/>
      <c r="E14" s="9">
        <v>3900</v>
      </c>
      <c r="F14" s="9"/>
      <c r="G14" s="9">
        <f t="shared" si="0"/>
        <v>3900</v>
      </c>
      <c r="H14">
        <f t="shared" si="1"/>
        <v>1</v>
      </c>
      <c r="I14" s="10">
        <f t="shared" si="2"/>
        <v>3.0000000000000001E-3</v>
      </c>
      <c r="J14">
        <f t="shared" si="3"/>
        <v>0.23</v>
      </c>
      <c r="P14">
        <v>3160</v>
      </c>
    </row>
    <row r="15" spans="1:16" x14ac:dyDescent="0.25">
      <c r="A15" t="s">
        <v>20</v>
      </c>
      <c r="B15" t="s">
        <v>24</v>
      </c>
      <c r="C15" s="9"/>
      <c r="D15" s="9"/>
      <c r="E15" s="9">
        <v>66360</v>
      </c>
      <c r="F15" s="9"/>
      <c r="G15" s="9">
        <f t="shared" si="0"/>
        <v>66360</v>
      </c>
      <c r="H15">
        <f t="shared" si="1"/>
        <v>16.96</v>
      </c>
      <c r="I15" s="10">
        <f t="shared" si="2"/>
        <v>5.2999999999999999E-2</v>
      </c>
      <c r="J15">
        <f t="shared" si="3"/>
        <v>0.78</v>
      </c>
      <c r="P15">
        <v>37340</v>
      </c>
    </row>
    <row r="16" spans="1:16" x14ac:dyDescent="0.25">
      <c r="A16" t="s">
        <v>20</v>
      </c>
      <c r="B16" t="s">
        <v>25</v>
      </c>
      <c r="C16" s="9">
        <v>160220</v>
      </c>
      <c r="D16" s="9"/>
      <c r="E16" s="9">
        <v>19460</v>
      </c>
      <c r="F16" s="9">
        <v>240</v>
      </c>
      <c r="G16" s="9">
        <f t="shared" si="0"/>
        <v>179920</v>
      </c>
      <c r="H16">
        <f t="shared" si="1"/>
        <v>45.98</v>
      </c>
      <c r="I16" s="10">
        <f t="shared" si="2"/>
        <v>0.14499999999999999</v>
      </c>
      <c r="J16">
        <f t="shared" si="3"/>
        <v>0</v>
      </c>
      <c r="P16">
        <v>180740</v>
      </c>
    </row>
    <row r="17" spans="1:16" x14ac:dyDescent="0.25">
      <c r="A17" t="s">
        <v>20</v>
      </c>
      <c r="B17" t="s">
        <v>69</v>
      </c>
      <c r="C17" s="9"/>
      <c r="D17" s="9"/>
      <c r="E17" s="9">
        <v>4360</v>
      </c>
      <c r="F17" s="9"/>
      <c r="G17" s="9">
        <f t="shared" si="0"/>
        <v>4360</v>
      </c>
      <c r="H17">
        <f t="shared" si="1"/>
        <v>1.1100000000000001</v>
      </c>
      <c r="I17" s="10">
        <f t="shared" si="2"/>
        <v>4.0000000000000001E-3</v>
      </c>
      <c r="J17">
        <f t="shared" si="3"/>
        <v>-0.2</v>
      </c>
      <c r="P17">
        <v>5450</v>
      </c>
    </row>
    <row r="18" spans="1:16" x14ac:dyDescent="0.25">
      <c r="A18" t="s">
        <v>20</v>
      </c>
      <c r="B18" t="s">
        <v>26</v>
      </c>
      <c r="C18" s="9">
        <v>133000</v>
      </c>
      <c r="D18" s="9"/>
      <c r="E18" s="9"/>
      <c r="F18" s="9">
        <v>80</v>
      </c>
      <c r="G18" s="9">
        <f t="shared" si="0"/>
        <v>133080</v>
      </c>
      <c r="H18">
        <f t="shared" si="1"/>
        <v>34.01</v>
      </c>
      <c r="I18" s="10">
        <f t="shared" si="2"/>
        <v>0.107</v>
      </c>
      <c r="J18">
        <f t="shared" si="3"/>
        <v>0.09</v>
      </c>
      <c r="P18">
        <v>121880</v>
      </c>
    </row>
    <row r="19" spans="1:16" x14ac:dyDescent="0.25">
      <c r="A19" t="s">
        <v>20</v>
      </c>
      <c r="B19" t="s">
        <v>27</v>
      </c>
      <c r="C19" s="9"/>
      <c r="D19" s="9"/>
      <c r="E19" s="9">
        <v>1438</v>
      </c>
      <c r="F19" s="9"/>
      <c r="G19" s="9">
        <f t="shared" si="0"/>
        <v>1438</v>
      </c>
      <c r="H19">
        <f t="shared" si="1"/>
        <v>0.37</v>
      </c>
      <c r="I19" s="10">
        <f t="shared" si="2"/>
        <v>1E-3</v>
      </c>
      <c r="J19">
        <f t="shared" si="3"/>
        <v>-0.15</v>
      </c>
      <c r="P19">
        <v>1685</v>
      </c>
    </row>
    <row r="20" spans="1:16" x14ac:dyDescent="0.25">
      <c r="A20" t="s">
        <v>20</v>
      </c>
      <c r="B20" t="s">
        <v>28</v>
      </c>
      <c r="C20" s="9"/>
      <c r="D20" s="9"/>
      <c r="E20" s="9">
        <v>785</v>
      </c>
      <c r="F20" s="9"/>
      <c r="G20" s="9">
        <f t="shared" si="0"/>
        <v>785</v>
      </c>
      <c r="H20">
        <f t="shared" si="1"/>
        <v>0.2</v>
      </c>
      <c r="I20" s="10">
        <f t="shared" si="2"/>
        <v>1E-3</v>
      </c>
      <c r="J20">
        <f t="shared" si="3"/>
        <v>2.74</v>
      </c>
      <c r="P20">
        <v>210</v>
      </c>
    </row>
    <row r="21" spans="1:16" x14ac:dyDescent="0.25">
      <c r="A21" t="s">
        <v>20</v>
      </c>
      <c r="B21" t="s">
        <v>29</v>
      </c>
      <c r="C21" s="9"/>
      <c r="D21" s="9"/>
      <c r="E21" s="9">
        <v>194</v>
      </c>
      <c r="F21" s="9"/>
      <c r="G21" s="9">
        <f t="shared" si="0"/>
        <v>194</v>
      </c>
      <c r="H21">
        <f t="shared" si="1"/>
        <v>0.05</v>
      </c>
      <c r="I21" s="10">
        <f t="shared" si="2"/>
        <v>0</v>
      </c>
      <c r="J21">
        <f t="shared" si="3"/>
        <v>0.98</v>
      </c>
      <c r="P21">
        <v>98</v>
      </c>
    </row>
    <row r="22" spans="1:16" x14ac:dyDescent="0.25">
      <c r="A22" t="s">
        <v>20</v>
      </c>
      <c r="B22" t="s">
        <v>30</v>
      </c>
      <c r="C22" s="9"/>
      <c r="D22" s="9"/>
      <c r="E22" s="9">
        <v>6380</v>
      </c>
      <c r="F22" s="9"/>
      <c r="G22" s="9">
        <f t="shared" si="0"/>
        <v>6380</v>
      </c>
      <c r="H22">
        <f t="shared" si="1"/>
        <v>1.63</v>
      </c>
      <c r="I22" s="10">
        <f t="shared" si="2"/>
        <v>5.0000000000000001E-3</v>
      </c>
      <c r="J22">
        <f t="shared" si="3"/>
        <v>-7.0000000000000007E-2</v>
      </c>
      <c r="P22">
        <v>6880</v>
      </c>
    </row>
    <row r="23" spans="1:16" x14ac:dyDescent="0.25">
      <c r="A23" t="s">
        <v>20</v>
      </c>
      <c r="B23" t="s">
        <v>31</v>
      </c>
      <c r="C23" s="9"/>
      <c r="D23" s="9"/>
      <c r="E23" s="9">
        <v>1210</v>
      </c>
      <c r="F23" s="9"/>
      <c r="G23" s="9">
        <f t="shared" si="0"/>
        <v>1210</v>
      </c>
      <c r="H23">
        <f t="shared" si="1"/>
        <v>0.31</v>
      </c>
      <c r="I23" s="10">
        <f t="shared" si="2"/>
        <v>1E-3</v>
      </c>
      <c r="J23">
        <f t="shared" si="3"/>
        <v>-0.14000000000000001</v>
      </c>
      <c r="P23">
        <v>1400</v>
      </c>
    </row>
    <row r="24" spans="1:16" x14ac:dyDescent="0.25">
      <c r="A24" t="s">
        <v>20</v>
      </c>
      <c r="B24" t="s">
        <v>32</v>
      </c>
      <c r="C24" s="9"/>
      <c r="D24" s="9"/>
      <c r="E24" s="9">
        <v>850</v>
      </c>
      <c r="F24" s="9"/>
      <c r="G24" s="9">
        <f t="shared" si="0"/>
        <v>850</v>
      </c>
      <c r="H24">
        <f t="shared" si="1"/>
        <v>0.22</v>
      </c>
      <c r="I24" s="10">
        <f t="shared" si="2"/>
        <v>1E-3</v>
      </c>
      <c r="J24">
        <f t="shared" si="3"/>
        <v>0.44</v>
      </c>
      <c r="P24">
        <v>590</v>
      </c>
    </row>
    <row r="25" spans="1:16" x14ac:dyDescent="0.25">
      <c r="A25" t="s">
        <v>20</v>
      </c>
      <c r="B25" t="s">
        <v>33</v>
      </c>
      <c r="C25" s="9"/>
      <c r="D25" s="9"/>
      <c r="E25" s="9">
        <v>1640</v>
      </c>
      <c r="F25" s="9"/>
      <c r="G25" s="9">
        <f t="shared" si="0"/>
        <v>1640</v>
      </c>
      <c r="H25">
        <f t="shared" si="1"/>
        <v>0.42</v>
      </c>
      <c r="I25" s="10">
        <f t="shared" si="2"/>
        <v>1E-3</v>
      </c>
      <c r="J25">
        <f t="shared" si="3"/>
        <v>-0.26</v>
      </c>
      <c r="P25">
        <v>2220</v>
      </c>
    </row>
    <row r="26" spans="1:16" x14ac:dyDescent="0.25">
      <c r="A26" t="s">
        <v>20</v>
      </c>
      <c r="B26" t="s">
        <v>43</v>
      </c>
      <c r="C26" s="9"/>
      <c r="D26" s="9">
        <v>458</v>
      </c>
      <c r="E26" s="9"/>
      <c r="F26" s="9"/>
      <c r="G26" s="9">
        <f t="shared" si="0"/>
        <v>458</v>
      </c>
      <c r="H26">
        <f t="shared" si="1"/>
        <v>0.12</v>
      </c>
      <c r="I26" s="10">
        <f t="shared" si="2"/>
        <v>0</v>
      </c>
      <c r="J26">
        <f t="shared" si="3"/>
        <v>0.04</v>
      </c>
      <c r="P26">
        <v>441</v>
      </c>
    </row>
    <row r="27" spans="1:16" x14ac:dyDescent="0.25">
      <c r="A27" t="s">
        <v>20</v>
      </c>
      <c r="B27" t="s">
        <v>70</v>
      </c>
      <c r="C27" s="9"/>
      <c r="D27" s="9"/>
      <c r="E27" s="9">
        <v>1230</v>
      </c>
      <c r="F27" s="9"/>
      <c r="G27" s="9">
        <f t="shared" si="0"/>
        <v>1230</v>
      </c>
      <c r="H27">
        <f t="shared" si="1"/>
        <v>0.31</v>
      </c>
      <c r="I27" s="10">
        <f t="shared" si="2"/>
        <v>1E-3</v>
      </c>
      <c r="J27">
        <f t="shared" si="3"/>
        <v>-0.56000000000000005</v>
      </c>
      <c r="P27">
        <v>2790</v>
      </c>
    </row>
    <row r="28" spans="1:16" x14ac:dyDescent="0.25">
      <c r="A28" t="s">
        <v>20</v>
      </c>
      <c r="B28" t="s">
        <v>34</v>
      </c>
      <c r="C28" s="9"/>
      <c r="D28" s="9"/>
      <c r="E28" s="9">
        <v>576</v>
      </c>
      <c r="F28" s="9"/>
      <c r="G28" s="9">
        <f t="shared" si="0"/>
        <v>576</v>
      </c>
      <c r="H28">
        <f t="shared" si="1"/>
        <v>0.15</v>
      </c>
      <c r="I28" s="10">
        <f t="shared" si="2"/>
        <v>0</v>
      </c>
      <c r="J28">
        <f t="shared" si="3"/>
        <v>2.79</v>
      </c>
      <c r="P28">
        <v>152</v>
      </c>
    </row>
    <row r="29" spans="1:16" x14ac:dyDescent="0.25">
      <c r="A29" t="s">
        <v>20</v>
      </c>
      <c r="B29" t="s">
        <v>35</v>
      </c>
      <c r="C29" s="9"/>
      <c r="D29" s="9"/>
      <c r="E29" s="9">
        <v>2088</v>
      </c>
      <c r="F29" s="9"/>
      <c r="G29" s="9">
        <f t="shared" si="0"/>
        <v>2088</v>
      </c>
      <c r="H29">
        <f t="shared" si="1"/>
        <v>0.53</v>
      </c>
      <c r="I29" s="10">
        <f t="shared" si="2"/>
        <v>2E-3</v>
      </c>
      <c r="J29">
        <f t="shared" si="3"/>
        <v>-0.53</v>
      </c>
      <c r="P29">
        <v>4423</v>
      </c>
    </row>
    <row r="30" spans="1:16" x14ac:dyDescent="0.25">
      <c r="A30" t="s">
        <v>20</v>
      </c>
      <c r="B30" t="s">
        <v>41</v>
      </c>
      <c r="C30" s="9"/>
      <c r="D30" s="9"/>
      <c r="E30" s="9">
        <v>13547</v>
      </c>
      <c r="F30" s="9"/>
      <c r="G30" s="9">
        <f t="shared" si="0"/>
        <v>13547</v>
      </c>
      <c r="H30">
        <f t="shared" si="1"/>
        <v>3.46</v>
      </c>
      <c r="I30" s="10">
        <f t="shared" si="2"/>
        <v>1.0999999999999999E-2</v>
      </c>
      <c r="J30">
        <f t="shared" si="3"/>
        <v>0.21</v>
      </c>
      <c r="P30">
        <v>11230</v>
      </c>
    </row>
    <row r="31" spans="1:16" x14ac:dyDescent="0.25">
      <c r="A31" t="s">
        <v>20</v>
      </c>
      <c r="B31" t="s">
        <v>36</v>
      </c>
      <c r="C31" s="9"/>
      <c r="D31" s="9"/>
      <c r="E31" s="9">
        <v>6120</v>
      </c>
      <c r="F31" s="9"/>
      <c r="G31" s="9">
        <f t="shared" si="0"/>
        <v>6120</v>
      </c>
      <c r="H31">
        <f t="shared" si="1"/>
        <v>1.56</v>
      </c>
      <c r="I31" s="10">
        <f t="shared" si="2"/>
        <v>5.0000000000000001E-3</v>
      </c>
      <c r="J31">
        <f t="shared" si="3"/>
        <v>-0.18</v>
      </c>
      <c r="P31">
        <v>7420</v>
      </c>
    </row>
    <row r="32" spans="1:16" x14ac:dyDescent="0.25">
      <c r="A32" t="s">
        <v>20</v>
      </c>
      <c r="B32" t="s">
        <v>37</v>
      </c>
      <c r="C32" s="9"/>
      <c r="D32" s="9"/>
      <c r="E32" s="9">
        <v>79300</v>
      </c>
      <c r="F32" s="9"/>
      <c r="G32" s="9">
        <f t="shared" si="0"/>
        <v>79300</v>
      </c>
      <c r="H32">
        <f t="shared" si="1"/>
        <v>20.27</v>
      </c>
      <c r="I32" s="10">
        <f t="shared" si="2"/>
        <v>6.4000000000000001E-2</v>
      </c>
      <c r="J32">
        <f t="shared" si="3"/>
        <v>0</v>
      </c>
      <c r="P32">
        <v>79160</v>
      </c>
    </row>
    <row r="33" spans="1:16" x14ac:dyDescent="0.25">
      <c r="A33" t="s">
        <v>20</v>
      </c>
      <c r="B33" t="s">
        <v>38</v>
      </c>
      <c r="C33" s="9"/>
      <c r="D33" s="9"/>
      <c r="E33" s="9">
        <v>6430</v>
      </c>
      <c r="F33" s="9"/>
      <c r="G33" s="9">
        <f t="shared" si="0"/>
        <v>6430</v>
      </c>
      <c r="H33">
        <f t="shared" si="1"/>
        <v>1.64</v>
      </c>
      <c r="I33" s="10">
        <f t="shared" si="2"/>
        <v>5.0000000000000001E-3</v>
      </c>
      <c r="J33">
        <f t="shared" si="3"/>
        <v>-0.19</v>
      </c>
      <c r="P33">
        <v>7950</v>
      </c>
    </row>
    <row r="34" spans="1:16" x14ac:dyDescent="0.25">
      <c r="A34" t="s">
        <v>20</v>
      </c>
      <c r="B34" t="s">
        <v>39</v>
      </c>
      <c r="C34" s="9"/>
      <c r="D34" s="9"/>
      <c r="E34" s="9">
        <v>19560</v>
      </c>
      <c r="F34" s="9"/>
      <c r="G34" s="9">
        <f t="shared" si="0"/>
        <v>19560</v>
      </c>
      <c r="H34">
        <f t="shared" si="1"/>
        <v>5</v>
      </c>
      <c r="I34" s="10">
        <f t="shared" si="2"/>
        <v>1.6E-2</v>
      </c>
      <c r="J34">
        <f t="shared" si="3"/>
        <v>0.22</v>
      </c>
      <c r="P34">
        <v>16000</v>
      </c>
    </row>
    <row r="35" spans="1:16" x14ac:dyDescent="0.25">
      <c r="A35" t="s">
        <v>20</v>
      </c>
      <c r="B35" t="s">
        <v>40</v>
      </c>
      <c r="C35" s="9"/>
      <c r="D35" s="9"/>
      <c r="E35" s="9">
        <v>104280</v>
      </c>
      <c r="F35" s="9">
        <v>4580</v>
      </c>
      <c r="G35" s="9">
        <f t="shared" si="0"/>
        <v>108860</v>
      </c>
      <c r="H35">
        <f t="shared" si="1"/>
        <v>27.82</v>
      </c>
      <c r="I35" s="10">
        <f t="shared" si="2"/>
        <v>8.7999999999999995E-2</v>
      </c>
      <c r="J35">
        <f t="shared" si="3"/>
        <v>1.19</v>
      </c>
      <c r="P35">
        <v>49820</v>
      </c>
    </row>
    <row r="36" spans="1:16" x14ac:dyDescent="0.25">
      <c r="A36" t="s">
        <v>20</v>
      </c>
      <c r="B36" t="s">
        <v>75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44</v>
      </c>
      <c r="B37" t="s">
        <v>45</v>
      </c>
      <c r="C37" s="9">
        <v>211430</v>
      </c>
      <c r="D37" s="9"/>
      <c r="E37" s="9"/>
      <c r="F37" s="9">
        <v>1360</v>
      </c>
      <c r="G37" s="9">
        <f t="shared" si="0"/>
        <v>212790</v>
      </c>
      <c r="H37">
        <f t="shared" si="1"/>
        <v>54.38</v>
      </c>
      <c r="I37" s="10">
        <f t="shared" si="2"/>
        <v>0.17100000000000001</v>
      </c>
      <c r="J37">
        <f>ROUND(G37/P37-1,2)</f>
        <v>0.12</v>
      </c>
      <c r="P37">
        <v>190820</v>
      </c>
    </row>
    <row r="38" spans="1:16" x14ac:dyDescent="0.25">
      <c r="A38" t="s">
        <v>44</v>
      </c>
      <c r="B38" t="s">
        <v>47</v>
      </c>
      <c r="C38" s="9"/>
      <c r="D38" s="9"/>
      <c r="E38" s="9"/>
      <c r="F38" s="9">
        <v>49620</v>
      </c>
      <c r="G38" s="9">
        <f t="shared" si="0"/>
        <v>49620</v>
      </c>
      <c r="H38">
        <f t="shared" si="1"/>
        <v>12.68</v>
      </c>
      <c r="I38" s="10">
        <f t="shared" si="2"/>
        <v>0.04</v>
      </c>
      <c r="J38">
        <f>ROUND(G38/P38-1,2)</f>
        <v>0.23</v>
      </c>
      <c r="P38">
        <v>40220</v>
      </c>
    </row>
    <row r="39" spans="1:16" x14ac:dyDescent="0.25">
      <c r="A39" t="s">
        <v>44</v>
      </c>
      <c r="B39" t="s">
        <v>46</v>
      </c>
      <c r="C39" s="9"/>
      <c r="D39" s="9"/>
      <c r="E39" s="9">
        <v>53710</v>
      </c>
      <c r="F39" s="9"/>
      <c r="G39" s="9">
        <f t="shared" si="0"/>
        <v>53710</v>
      </c>
      <c r="H39">
        <f t="shared" si="1"/>
        <v>13.73</v>
      </c>
      <c r="I39" s="10">
        <f t="shared" si="2"/>
        <v>4.2999999999999997E-2</v>
      </c>
      <c r="J39">
        <f>ROUND(G39/P39-1,2)</f>
        <v>-0.04</v>
      </c>
      <c r="P39">
        <v>55910</v>
      </c>
    </row>
    <row r="40" spans="1:16" x14ac:dyDescent="0.25">
      <c r="A40" t="s">
        <v>16</v>
      </c>
      <c r="B40" t="s">
        <v>18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16</v>
      </c>
      <c r="B41" t="s">
        <v>19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SUM(C8:C41)</f>
        <v>785296</v>
      </c>
      <c r="D49" s="12">
        <f t="shared" si="4"/>
        <v>458</v>
      </c>
      <c r="E49" s="12">
        <f t="shared" si="4"/>
        <v>399610</v>
      </c>
      <c r="F49" s="12">
        <f t="shared" si="4"/>
        <v>55884</v>
      </c>
      <c r="G49" s="12">
        <f t="shared" si="4"/>
        <v>1241248</v>
      </c>
      <c r="H49" s="11">
        <f t="shared" si="4"/>
        <v>317.21000000000004</v>
      </c>
      <c r="I49" s="4"/>
    </row>
    <row r="50" spans="1:10" x14ac:dyDescent="0.25">
      <c r="A50" s="11" t="s">
        <v>14</v>
      </c>
      <c r="C50" s="13">
        <f>ROUND(C49/G49,2)</f>
        <v>0.63</v>
      </c>
      <c r="D50" s="13">
        <f>ROUND(D49/G49,2)</f>
        <v>0</v>
      </c>
      <c r="E50" s="13">
        <f>ROUND(E49/G49,2)</f>
        <v>0.32</v>
      </c>
      <c r="F50" s="13">
        <f>ROUND(F49/G49,2)</f>
        <v>0.05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573866</v>
      </c>
      <c r="D54" s="15">
        <v>458</v>
      </c>
      <c r="E54" s="15">
        <v>345900</v>
      </c>
      <c r="F54" s="15">
        <v>4904</v>
      </c>
      <c r="G54" s="15">
        <f>SUM(C54:F54)</f>
        <v>925128</v>
      </c>
      <c r="H54" s="17">
        <f>ROUND(G54/3913,2)</f>
        <v>236.42</v>
      </c>
      <c r="I54" s="4"/>
      <c r="J54" s="4"/>
    </row>
    <row r="55" spans="1:10" x14ac:dyDescent="0.25">
      <c r="A55" s="33" t="s">
        <v>50</v>
      </c>
      <c r="B55" s="33"/>
      <c r="C55" s="15">
        <v>211430</v>
      </c>
      <c r="D55" s="15">
        <v>0</v>
      </c>
      <c r="E55" s="15">
        <v>53710</v>
      </c>
      <c r="F55" s="15">
        <v>50980</v>
      </c>
      <c r="G55" s="15">
        <f>SUM(C55:F55)</f>
        <v>316120</v>
      </c>
      <c r="H55" s="17">
        <f>ROUND(G55/3913,2)</f>
        <v>80.790000000000006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ROUND(G56/3913,2)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ROUND(0.8082, 4)</f>
        <v>0.80820000000000003</v>
      </c>
      <c r="D60" s="19">
        <f>ROUND(0.8144, 4)</f>
        <v>0.81440000000000001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8">
        <f>ROUND(0.7937, 4)</f>
        <v>0.79369999999999996</v>
      </c>
      <c r="D61" s="18">
        <f>ROUND(0.7993, 4)</f>
        <v>0.79930000000000001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199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54.38</v>
      </c>
      <c r="D64" s="16">
        <v>49.79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34.01</v>
      </c>
      <c r="D65" s="16">
        <v>32.44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237.86</v>
      </c>
      <c r="D66" s="16">
        <v>223.64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80.790000000000006</v>
      </c>
      <c r="D67" s="16">
        <v>70.900000000000006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P74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200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247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7730</v>
      </c>
      <c r="D9" s="9"/>
      <c r="E9" s="9">
        <v>175.13</v>
      </c>
      <c r="F9" s="9"/>
      <c r="G9" s="9">
        <f t="shared" ref="G9:G32" si="0">SUM(C9:F9)</f>
        <v>7905.13</v>
      </c>
      <c r="H9">
        <f t="shared" ref="H9:H32" si="1">ROUND(G9/247,2)</f>
        <v>32</v>
      </c>
      <c r="I9" s="10">
        <f t="shared" ref="I9:I32" si="2">ROUND(G9/$G$49,3)</f>
        <v>9.7000000000000003E-2</v>
      </c>
      <c r="J9">
        <f t="shared" ref="J9:J22" si="3">ROUND(G9/P9-1,2)</f>
        <v>-0.38</v>
      </c>
      <c r="P9">
        <v>12820.57</v>
      </c>
    </row>
    <row r="10" spans="1:16" x14ac:dyDescent="0.25">
      <c r="A10" t="s">
        <v>20</v>
      </c>
      <c r="B10" t="s">
        <v>22</v>
      </c>
      <c r="C10" s="9">
        <v>11530</v>
      </c>
      <c r="D10" s="9"/>
      <c r="E10" s="9"/>
      <c r="F10" s="9"/>
      <c r="G10" s="9">
        <f t="shared" si="0"/>
        <v>11530</v>
      </c>
      <c r="H10">
        <f t="shared" si="1"/>
        <v>46.68</v>
      </c>
      <c r="I10" s="10">
        <f t="shared" si="2"/>
        <v>0.14099999999999999</v>
      </c>
      <c r="J10">
        <f t="shared" si="3"/>
        <v>-7.0000000000000007E-2</v>
      </c>
      <c r="P10">
        <v>12350</v>
      </c>
    </row>
    <row r="11" spans="1:16" x14ac:dyDescent="0.25">
      <c r="A11" t="s">
        <v>20</v>
      </c>
      <c r="B11" t="s">
        <v>24</v>
      </c>
      <c r="C11" s="9"/>
      <c r="D11" s="9"/>
      <c r="E11" s="9">
        <v>2949.76</v>
      </c>
      <c r="F11" s="9"/>
      <c r="G11" s="9">
        <f t="shared" si="0"/>
        <v>2949.76</v>
      </c>
      <c r="H11">
        <f t="shared" si="1"/>
        <v>11.94</v>
      </c>
      <c r="I11" s="10">
        <f t="shared" si="2"/>
        <v>3.5999999999999997E-2</v>
      </c>
      <c r="J11">
        <f t="shared" si="3"/>
        <v>-0.53</v>
      </c>
      <c r="P11">
        <v>6334.2</v>
      </c>
    </row>
    <row r="12" spans="1:16" x14ac:dyDescent="0.25">
      <c r="A12" t="s">
        <v>20</v>
      </c>
      <c r="B12" t="s">
        <v>25</v>
      </c>
      <c r="C12" s="9">
        <v>11080</v>
      </c>
      <c r="D12" s="9"/>
      <c r="E12" s="9">
        <v>614.76</v>
      </c>
      <c r="F12" s="9"/>
      <c r="G12" s="9">
        <f t="shared" si="0"/>
        <v>11694.76</v>
      </c>
      <c r="H12">
        <f t="shared" si="1"/>
        <v>47.35</v>
      </c>
      <c r="I12" s="10">
        <f t="shared" si="2"/>
        <v>0.14299999999999999</v>
      </c>
      <c r="J12">
        <f t="shared" si="3"/>
        <v>-0.22</v>
      </c>
      <c r="P12">
        <v>14924.38</v>
      </c>
    </row>
    <row r="13" spans="1:16" x14ac:dyDescent="0.25">
      <c r="A13" t="s">
        <v>20</v>
      </c>
      <c r="B13" t="s">
        <v>26</v>
      </c>
      <c r="C13" s="9">
        <v>12310</v>
      </c>
      <c r="D13" s="9"/>
      <c r="E13" s="9"/>
      <c r="F13" s="9"/>
      <c r="G13" s="9">
        <f t="shared" si="0"/>
        <v>12310</v>
      </c>
      <c r="H13">
        <f t="shared" si="1"/>
        <v>49.84</v>
      </c>
      <c r="I13" s="10">
        <f t="shared" si="2"/>
        <v>0.15</v>
      </c>
      <c r="J13">
        <f t="shared" si="3"/>
        <v>-0.46</v>
      </c>
      <c r="P13">
        <v>22910</v>
      </c>
    </row>
    <row r="14" spans="1:16" x14ac:dyDescent="0.25">
      <c r="A14" t="s">
        <v>20</v>
      </c>
      <c r="B14" t="s">
        <v>30</v>
      </c>
      <c r="C14" s="9"/>
      <c r="D14" s="9"/>
      <c r="E14" s="9">
        <v>425</v>
      </c>
      <c r="F14" s="9"/>
      <c r="G14" s="9">
        <f t="shared" si="0"/>
        <v>425</v>
      </c>
      <c r="H14">
        <f t="shared" si="1"/>
        <v>1.72</v>
      </c>
      <c r="I14" s="10">
        <f t="shared" si="2"/>
        <v>5.0000000000000001E-3</v>
      </c>
      <c r="J14">
        <f t="shared" si="3"/>
        <v>-0.66</v>
      </c>
      <c r="P14">
        <v>1234.33</v>
      </c>
    </row>
    <row r="15" spans="1:16" x14ac:dyDescent="0.25">
      <c r="A15" t="s">
        <v>20</v>
      </c>
      <c r="B15" t="s">
        <v>31</v>
      </c>
      <c r="C15" s="9"/>
      <c r="D15" s="9"/>
      <c r="E15" s="9">
        <v>26.83</v>
      </c>
      <c r="F15" s="9"/>
      <c r="G15" s="9">
        <f t="shared" si="0"/>
        <v>26.83</v>
      </c>
      <c r="H15">
        <f t="shared" si="1"/>
        <v>0.11</v>
      </c>
      <c r="I15" s="10">
        <f t="shared" si="2"/>
        <v>0</v>
      </c>
      <c r="J15">
        <f t="shared" si="3"/>
        <v>1.9</v>
      </c>
      <c r="P15">
        <v>9.26</v>
      </c>
    </row>
    <row r="16" spans="1:16" x14ac:dyDescent="0.25">
      <c r="A16" t="s">
        <v>20</v>
      </c>
      <c r="B16" t="s">
        <v>35</v>
      </c>
      <c r="C16" s="9"/>
      <c r="D16" s="9"/>
      <c r="E16" s="9">
        <v>328.12</v>
      </c>
      <c r="F16" s="9"/>
      <c r="G16" s="9">
        <f t="shared" si="0"/>
        <v>328.12</v>
      </c>
      <c r="H16">
        <f t="shared" si="1"/>
        <v>1.33</v>
      </c>
      <c r="I16" s="10">
        <f t="shared" si="2"/>
        <v>4.0000000000000001E-3</v>
      </c>
      <c r="J16">
        <f t="shared" si="3"/>
        <v>-0.65</v>
      </c>
      <c r="P16">
        <v>950.48</v>
      </c>
    </row>
    <row r="17" spans="1:16" x14ac:dyDescent="0.25">
      <c r="A17" t="s">
        <v>20</v>
      </c>
      <c r="B17" t="s">
        <v>36</v>
      </c>
      <c r="C17" s="9"/>
      <c r="D17" s="9"/>
      <c r="E17" s="9">
        <v>58.02</v>
      </c>
      <c r="F17" s="9"/>
      <c r="G17" s="9">
        <f t="shared" si="0"/>
        <v>58.02</v>
      </c>
      <c r="H17">
        <f t="shared" si="1"/>
        <v>0.23</v>
      </c>
      <c r="I17" s="10">
        <f t="shared" si="2"/>
        <v>1E-3</v>
      </c>
      <c r="J17">
        <f t="shared" si="3"/>
        <v>-0.92</v>
      </c>
      <c r="P17">
        <v>695.89</v>
      </c>
    </row>
    <row r="18" spans="1:16" x14ac:dyDescent="0.25">
      <c r="A18" t="s">
        <v>20</v>
      </c>
      <c r="B18" t="s">
        <v>37</v>
      </c>
      <c r="C18" s="9"/>
      <c r="D18" s="9"/>
      <c r="E18" s="9">
        <v>3846.28</v>
      </c>
      <c r="F18" s="9"/>
      <c r="G18" s="9">
        <f t="shared" si="0"/>
        <v>3846.28</v>
      </c>
      <c r="H18">
        <f t="shared" si="1"/>
        <v>15.57</v>
      </c>
      <c r="I18" s="10">
        <f t="shared" si="2"/>
        <v>4.7E-2</v>
      </c>
      <c r="J18">
        <f t="shared" si="3"/>
        <v>-0.48</v>
      </c>
      <c r="P18">
        <v>7348.41</v>
      </c>
    </row>
    <row r="19" spans="1:16" x14ac:dyDescent="0.25">
      <c r="A19" t="s">
        <v>20</v>
      </c>
      <c r="B19" t="s">
        <v>39</v>
      </c>
      <c r="C19" s="9"/>
      <c r="D19" s="9"/>
      <c r="E19" s="9">
        <v>1368.72</v>
      </c>
      <c r="F19" s="9"/>
      <c r="G19" s="9">
        <f t="shared" si="0"/>
        <v>1368.72</v>
      </c>
      <c r="H19">
        <f t="shared" si="1"/>
        <v>5.54</v>
      </c>
      <c r="I19" s="10">
        <f t="shared" si="2"/>
        <v>1.7000000000000001E-2</v>
      </c>
      <c r="J19">
        <f t="shared" si="3"/>
        <v>-0.53</v>
      </c>
      <c r="P19">
        <v>2883.81</v>
      </c>
    </row>
    <row r="20" spans="1:16" x14ac:dyDescent="0.25">
      <c r="A20" t="s">
        <v>20</v>
      </c>
      <c r="B20" t="s">
        <v>40</v>
      </c>
      <c r="C20" s="9"/>
      <c r="D20" s="9"/>
      <c r="E20" s="9">
        <v>235.95</v>
      </c>
      <c r="F20" s="9"/>
      <c r="G20" s="9">
        <f t="shared" si="0"/>
        <v>235.95</v>
      </c>
      <c r="H20">
        <f t="shared" si="1"/>
        <v>0.96</v>
      </c>
      <c r="I20" s="10">
        <f t="shared" si="2"/>
        <v>3.0000000000000001E-3</v>
      </c>
      <c r="J20">
        <f t="shared" si="3"/>
        <v>0.22</v>
      </c>
      <c r="P20">
        <v>193.94</v>
      </c>
    </row>
    <row r="21" spans="1:16" x14ac:dyDescent="0.25">
      <c r="A21" t="s">
        <v>20</v>
      </c>
      <c r="B21" t="s">
        <v>32</v>
      </c>
      <c r="C21" s="9"/>
      <c r="D21" s="9"/>
      <c r="E21" s="9"/>
      <c r="F21" s="9"/>
      <c r="G21" s="9">
        <f t="shared" si="0"/>
        <v>0</v>
      </c>
      <c r="H21">
        <f t="shared" si="1"/>
        <v>0</v>
      </c>
      <c r="I21" s="10">
        <f t="shared" si="2"/>
        <v>0</v>
      </c>
      <c r="J21">
        <f t="shared" si="3"/>
        <v>-1</v>
      </c>
      <c r="P21">
        <v>129.94999999999999</v>
      </c>
    </row>
    <row r="22" spans="1:16" x14ac:dyDescent="0.25">
      <c r="A22" t="s">
        <v>20</v>
      </c>
      <c r="B22" t="s">
        <v>33</v>
      </c>
      <c r="C22" s="9"/>
      <c r="D22" s="9"/>
      <c r="E22" s="9"/>
      <c r="F22" s="9"/>
      <c r="G22" s="9">
        <f t="shared" si="0"/>
        <v>0</v>
      </c>
      <c r="H22">
        <f t="shared" si="1"/>
        <v>0</v>
      </c>
      <c r="I22" s="10">
        <f t="shared" si="2"/>
        <v>0</v>
      </c>
      <c r="J22">
        <f t="shared" si="3"/>
        <v>-1</v>
      </c>
      <c r="P22">
        <v>746.67</v>
      </c>
    </row>
    <row r="23" spans="1:16" x14ac:dyDescent="0.25">
      <c r="A23" t="s">
        <v>20</v>
      </c>
      <c r="B23" t="s">
        <v>42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23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29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43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34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27060</v>
      </c>
      <c r="D29" s="9"/>
      <c r="E29" s="9"/>
      <c r="F29" s="9">
        <v>120</v>
      </c>
      <c r="G29" s="9">
        <f t="shared" si="0"/>
        <v>27180</v>
      </c>
      <c r="H29">
        <f t="shared" si="1"/>
        <v>110.04</v>
      </c>
      <c r="I29" s="10">
        <f t="shared" si="2"/>
        <v>0.33200000000000002</v>
      </c>
      <c r="J29">
        <f>ROUND(G29/P29-1,2)</f>
        <v>-0.23</v>
      </c>
      <c r="P29">
        <v>35110</v>
      </c>
    </row>
    <row r="30" spans="1:16" x14ac:dyDescent="0.25">
      <c r="A30" t="s">
        <v>44</v>
      </c>
      <c r="B30" t="s">
        <v>46</v>
      </c>
      <c r="C30" s="9"/>
      <c r="D30" s="9"/>
      <c r="E30" s="9">
        <v>2038.72</v>
      </c>
      <c r="F30" s="9"/>
      <c r="G30" s="9">
        <f t="shared" si="0"/>
        <v>2038.72</v>
      </c>
      <c r="H30">
        <f t="shared" si="1"/>
        <v>8.25</v>
      </c>
      <c r="I30" s="10">
        <f t="shared" si="2"/>
        <v>2.5000000000000001E-2</v>
      </c>
      <c r="J30">
        <f>ROUND(G30/P30-1,2)</f>
        <v>-0.56000000000000005</v>
      </c>
      <c r="P30">
        <v>4659.38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69710</v>
      </c>
      <c r="D49" s="12">
        <f t="shared" si="4"/>
        <v>0</v>
      </c>
      <c r="E49" s="12">
        <f t="shared" si="4"/>
        <v>12067.29</v>
      </c>
      <c r="F49" s="12">
        <f t="shared" si="4"/>
        <v>120</v>
      </c>
      <c r="G49" s="12">
        <f t="shared" si="4"/>
        <v>81897.290000000008</v>
      </c>
      <c r="H49" s="11">
        <f t="shared" si="4"/>
        <v>331.56</v>
      </c>
      <c r="I49" s="4"/>
    </row>
    <row r="50" spans="1:10" x14ac:dyDescent="0.25">
      <c r="A50" s="11" t="s">
        <v>14</v>
      </c>
      <c r="C50" s="13">
        <f>ROUND(C49/G49,2)</f>
        <v>0.85</v>
      </c>
      <c r="D50" s="13">
        <f>ROUND(D49/G49,2)</f>
        <v>0</v>
      </c>
      <c r="E50" s="13">
        <f>ROUND(E49/G49,2)</f>
        <v>0.15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42650</v>
      </c>
      <c r="D54" s="15">
        <v>0</v>
      </c>
      <c r="E54" s="15">
        <v>10028.57</v>
      </c>
      <c r="F54" s="15">
        <v>0</v>
      </c>
      <c r="G54" s="15">
        <f>SUM(C54:F54)</f>
        <v>52678.57</v>
      </c>
      <c r="H54" s="17">
        <f>ROUND(G54/247,2)</f>
        <v>213.27</v>
      </c>
      <c r="I54" s="4"/>
      <c r="J54" s="4"/>
    </row>
    <row r="55" spans="1:10" x14ac:dyDescent="0.25">
      <c r="A55" s="33" t="s">
        <v>50</v>
      </c>
      <c r="B55" s="33"/>
      <c r="C55" s="15">
        <v>27060</v>
      </c>
      <c r="D55" s="15">
        <v>0</v>
      </c>
      <c r="E55" s="15">
        <v>2038.72</v>
      </c>
      <c r="F55" s="15">
        <v>120</v>
      </c>
      <c r="G55" s="15">
        <f>SUM(C55:F55)</f>
        <v>29218.720000000001</v>
      </c>
      <c r="H55" s="17">
        <f>ROUND(G55/247,2)</f>
        <v>118.29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ROUND(G56/247,2)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ROUND(0.653, 4)</f>
        <v>0.65300000000000002</v>
      </c>
      <c r="D60" s="19">
        <f>ROUND(0.6957, 4)</f>
        <v>0.69569999999999999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ROUND(0.6158, 4)</f>
        <v>0.61580000000000001</v>
      </c>
      <c r="D61" s="19">
        <f>ROUND(0.6547, 4)</f>
        <v>0.65469999999999995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201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110.04</v>
      </c>
      <c r="D64" s="17">
        <v>114.39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49.84</v>
      </c>
      <c r="D65" s="17">
        <v>76.040000000000006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213.27</v>
      </c>
      <c r="D66" s="17">
        <v>288.14999999999998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118.29</v>
      </c>
      <c r="D67" s="17">
        <v>129.76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P67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202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2803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20</v>
      </c>
      <c r="F9" s="9"/>
      <c r="G9" s="9">
        <f t="shared" ref="G9:G39" si="0">SUM(C9:F9)</f>
        <v>20</v>
      </c>
      <c r="H9">
        <f t="shared" ref="H9:H39" si="1">ROUND(G9/2803,2)</f>
        <v>0.01</v>
      </c>
      <c r="I9" s="10">
        <f t="shared" ref="I9:I39" si="2">ROUND(G9/$G$49,3)</f>
        <v>0</v>
      </c>
      <c r="J9">
        <f t="shared" ref="J9:J18" si="3">ROUND(G9/P9-1,2)</f>
        <v>-0.77</v>
      </c>
      <c r="P9">
        <v>86</v>
      </c>
    </row>
    <row r="10" spans="1:16" x14ac:dyDescent="0.25">
      <c r="A10" t="s">
        <v>20</v>
      </c>
      <c r="B10" t="s">
        <v>21</v>
      </c>
      <c r="C10" s="9">
        <v>83320</v>
      </c>
      <c r="D10" s="9"/>
      <c r="E10" s="9"/>
      <c r="F10" s="9"/>
      <c r="G10" s="9">
        <f t="shared" si="0"/>
        <v>83320</v>
      </c>
      <c r="H10">
        <f t="shared" si="1"/>
        <v>29.73</v>
      </c>
      <c r="I10" s="10">
        <f t="shared" si="2"/>
        <v>7.6999999999999999E-2</v>
      </c>
      <c r="J10">
        <f t="shared" si="3"/>
        <v>0.11</v>
      </c>
      <c r="P10">
        <v>75230</v>
      </c>
    </row>
    <row r="11" spans="1:16" x14ac:dyDescent="0.25">
      <c r="A11" t="s">
        <v>20</v>
      </c>
      <c r="B11" t="s">
        <v>22</v>
      </c>
      <c r="C11" s="9">
        <v>107210</v>
      </c>
      <c r="D11" s="9"/>
      <c r="E11" s="9"/>
      <c r="F11" s="9"/>
      <c r="G11" s="9">
        <f t="shared" si="0"/>
        <v>107210</v>
      </c>
      <c r="H11">
        <f t="shared" si="1"/>
        <v>38.25</v>
      </c>
      <c r="I11" s="10">
        <f t="shared" si="2"/>
        <v>9.9000000000000005E-2</v>
      </c>
      <c r="J11">
        <f t="shared" si="3"/>
        <v>-0.1</v>
      </c>
      <c r="P11">
        <v>119280</v>
      </c>
    </row>
    <row r="12" spans="1:16" x14ac:dyDescent="0.25">
      <c r="A12" t="s">
        <v>20</v>
      </c>
      <c r="B12" t="s">
        <v>79</v>
      </c>
      <c r="C12" s="9"/>
      <c r="D12" s="9"/>
      <c r="E12" s="9">
        <v>58</v>
      </c>
      <c r="F12" s="9"/>
      <c r="G12" s="9">
        <f t="shared" si="0"/>
        <v>58</v>
      </c>
      <c r="H12">
        <f t="shared" si="1"/>
        <v>0.02</v>
      </c>
      <c r="I12" s="10">
        <f t="shared" si="2"/>
        <v>0</v>
      </c>
      <c r="J12">
        <f t="shared" si="3"/>
        <v>0.02</v>
      </c>
      <c r="P12">
        <v>57</v>
      </c>
    </row>
    <row r="13" spans="1:16" x14ac:dyDescent="0.25">
      <c r="A13" t="s">
        <v>20</v>
      </c>
      <c r="B13" t="s">
        <v>42</v>
      </c>
      <c r="C13" s="9"/>
      <c r="D13" s="9"/>
      <c r="E13" s="9">
        <v>221</v>
      </c>
      <c r="F13" s="9"/>
      <c r="G13" s="9">
        <f t="shared" si="0"/>
        <v>221</v>
      </c>
      <c r="H13">
        <f t="shared" si="1"/>
        <v>0.08</v>
      </c>
      <c r="I13" s="10">
        <f t="shared" si="2"/>
        <v>0</v>
      </c>
      <c r="J13">
        <f t="shared" si="3"/>
        <v>-0.15</v>
      </c>
      <c r="P13">
        <v>260</v>
      </c>
    </row>
    <row r="14" spans="1:16" x14ac:dyDescent="0.25">
      <c r="A14" t="s">
        <v>20</v>
      </c>
      <c r="B14" t="s">
        <v>23</v>
      </c>
      <c r="C14" s="9"/>
      <c r="D14" s="9"/>
      <c r="E14" s="9">
        <v>1600</v>
      </c>
      <c r="F14" s="9"/>
      <c r="G14" s="9">
        <f t="shared" si="0"/>
        <v>1600</v>
      </c>
      <c r="H14">
        <f t="shared" si="1"/>
        <v>0.56999999999999995</v>
      </c>
      <c r="I14" s="10">
        <f t="shared" si="2"/>
        <v>1E-3</v>
      </c>
      <c r="J14">
        <f t="shared" si="3"/>
        <v>-0.1</v>
      </c>
      <c r="P14">
        <v>1780</v>
      </c>
    </row>
    <row r="15" spans="1:16" x14ac:dyDescent="0.25">
      <c r="A15" t="s">
        <v>20</v>
      </c>
      <c r="B15" t="s">
        <v>24</v>
      </c>
      <c r="C15" s="9"/>
      <c r="D15" s="9"/>
      <c r="E15" s="9">
        <v>60730</v>
      </c>
      <c r="F15" s="9"/>
      <c r="G15" s="9">
        <f t="shared" si="0"/>
        <v>60730</v>
      </c>
      <c r="H15">
        <f t="shared" si="1"/>
        <v>21.67</v>
      </c>
      <c r="I15" s="10">
        <f t="shared" si="2"/>
        <v>5.6000000000000001E-2</v>
      </c>
      <c r="J15">
        <f t="shared" si="3"/>
        <v>-0.01</v>
      </c>
      <c r="P15">
        <v>61290</v>
      </c>
    </row>
    <row r="16" spans="1:16" x14ac:dyDescent="0.25">
      <c r="A16" t="s">
        <v>20</v>
      </c>
      <c r="B16" t="s">
        <v>25</v>
      </c>
      <c r="C16" s="9">
        <v>109520</v>
      </c>
      <c r="D16" s="9"/>
      <c r="E16" s="9"/>
      <c r="F16" s="9"/>
      <c r="G16" s="9">
        <f t="shared" si="0"/>
        <v>109520</v>
      </c>
      <c r="H16">
        <f t="shared" si="1"/>
        <v>39.07</v>
      </c>
      <c r="I16" s="10">
        <f t="shared" si="2"/>
        <v>0.10100000000000001</v>
      </c>
      <c r="J16">
        <f t="shared" si="3"/>
        <v>-0.04</v>
      </c>
      <c r="P16">
        <v>113580</v>
      </c>
    </row>
    <row r="17" spans="1:16" x14ac:dyDescent="0.25">
      <c r="A17" t="s">
        <v>20</v>
      </c>
      <c r="B17" t="s">
        <v>69</v>
      </c>
      <c r="C17" s="9"/>
      <c r="D17" s="9"/>
      <c r="E17" s="9">
        <v>4585</v>
      </c>
      <c r="F17" s="9"/>
      <c r="G17" s="9">
        <f t="shared" si="0"/>
        <v>4585</v>
      </c>
      <c r="H17">
        <f t="shared" si="1"/>
        <v>1.64</v>
      </c>
      <c r="I17" s="10">
        <f t="shared" si="2"/>
        <v>4.0000000000000001E-3</v>
      </c>
      <c r="J17">
        <f t="shared" si="3"/>
        <v>-0.08</v>
      </c>
      <c r="P17">
        <v>5000</v>
      </c>
    </row>
    <row r="18" spans="1:16" x14ac:dyDescent="0.25">
      <c r="A18" t="s">
        <v>20</v>
      </c>
      <c r="B18" t="s">
        <v>26</v>
      </c>
      <c r="C18" s="9">
        <v>209310</v>
      </c>
      <c r="D18" s="9"/>
      <c r="E18" s="9"/>
      <c r="F18" s="9">
        <v>830</v>
      </c>
      <c r="G18" s="9">
        <f t="shared" si="0"/>
        <v>210140</v>
      </c>
      <c r="H18">
        <f t="shared" si="1"/>
        <v>74.97</v>
      </c>
      <c r="I18" s="10">
        <f t="shared" si="2"/>
        <v>0.19400000000000001</v>
      </c>
      <c r="J18">
        <f t="shared" si="3"/>
        <v>-0.01</v>
      </c>
      <c r="P18">
        <v>213120</v>
      </c>
    </row>
    <row r="19" spans="1:16" x14ac:dyDescent="0.25">
      <c r="A19" t="s">
        <v>20</v>
      </c>
      <c r="B19" t="s">
        <v>27</v>
      </c>
      <c r="C19" s="9"/>
      <c r="D19" s="9"/>
      <c r="E19" s="9">
        <v>756</v>
      </c>
      <c r="F19" s="9"/>
      <c r="G19" s="9">
        <f t="shared" si="0"/>
        <v>756</v>
      </c>
      <c r="H19">
        <f t="shared" si="1"/>
        <v>0.27</v>
      </c>
      <c r="I19" s="10">
        <f t="shared" si="2"/>
        <v>1E-3</v>
      </c>
      <c r="P19">
        <v>0</v>
      </c>
    </row>
    <row r="20" spans="1:16" x14ac:dyDescent="0.25">
      <c r="A20" t="s">
        <v>20</v>
      </c>
      <c r="B20" t="s">
        <v>28</v>
      </c>
      <c r="C20" s="9"/>
      <c r="D20" s="9"/>
      <c r="E20" s="9">
        <v>284</v>
      </c>
      <c r="F20" s="9"/>
      <c r="G20" s="9">
        <f t="shared" si="0"/>
        <v>284</v>
      </c>
      <c r="H20">
        <f t="shared" si="1"/>
        <v>0.1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29</v>
      </c>
      <c r="C21" s="9"/>
      <c r="D21" s="9"/>
      <c r="E21" s="9">
        <v>110</v>
      </c>
      <c r="F21" s="9"/>
      <c r="G21" s="9">
        <f t="shared" si="0"/>
        <v>110</v>
      </c>
      <c r="H21">
        <f t="shared" si="1"/>
        <v>0.04</v>
      </c>
      <c r="I21" s="10">
        <f t="shared" si="2"/>
        <v>0</v>
      </c>
      <c r="J21">
        <f t="shared" ref="J21:J35" si="4">ROUND(G21/P21-1,2)</f>
        <v>2.2400000000000002</v>
      </c>
      <c r="P21">
        <v>34</v>
      </c>
    </row>
    <row r="22" spans="1:16" x14ac:dyDescent="0.25">
      <c r="A22" t="s">
        <v>20</v>
      </c>
      <c r="B22" t="s">
        <v>30</v>
      </c>
      <c r="C22" s="9"/>
      <c r="D22" s="9"/>
      <c r="E22" s="9">
        <v>6350</v>
      </c>
      <c r="F22" s="9"/>
      <c r="G22" s="9">
        <f t="shared" si="0"/>
        <v>6350</v>
      </c>
      <c r="H22">
        <f t="shared" si="1"/>
        <v>2.27</v>
      </c>
      <c r="I22" s="10">
        <f t="shared" si="2"/>
        <v>6.0000000000000001E-3</v>
      </c>
      <c r="J22">
        <f t="shared" si="4"/>
        <v>-0.04</v>
      </c>
      <c r="P22">
        <v>6630</v>
      </c>
    </row>
    <row r="23" spans="1:16" x14ac:dyDescent="0.25">
      <c r="A23" t="s">
        <v>20</v>
      </c>
      <c r="B23" t="s">
        <v>31</v>
      </c>
      <c r="C23" s="9"/>
      <c r="D23" s="9"/>
      <c r="E23" s="9">
        <v>930</v>
      </c>
      <c r="F23" s="9"/>
      <c r="G23" s="9">
        <f t="shared" si="0"/>
        <v>930</v>
      </c>
      <c r="H23">
        <f t="shared" si="1"/>
        <v>0.33</v>
      </c>
      <c r="I23" s="10">
        <f t="shared" si="2"/>
        <v>1E-3</v>
      </c>
      <c r="J23">
        <f t="shared" si="4"/>
        <v>7.0000000000000007E-2</v>
      </c>
      <c r="P23">
        <v>870</v>
      </c>
    </row>
    <row r="24" spans="1:16" x14ac:dyDescent="0.25">
      <c r="A24" t="s">
        <v>20</v>
      </c>
      <c r="B24" t="s">
        <v>33</v>
      </c>
      <c r="C24" s="9"/>
      <c r="D24" s="9"/>
      <c r="E24" s="9">
        <v>1885</v>
      </c>
      <c r="F24" s="9"/>
      <c r="G24" s="9">
        <f t="shared" si="0"/>
        <v>1885</v>
      </c>
      <c r="H24">
        <f t="shared" si="1"/>
        <v>0.67</v>
      </c>
      <c r="I24" s="10">
        <f t="shared" si="2"/>
        <v>2E-3</v>
      </c>
      <c r="J24">
        <f t="shared" si="4"/>
        <v>0.06</v>
      </c>
      <c r="P24">
        <v>1780</v>
      </c>
    </row>
    <row r="25" spans="1:16" x14ac:dyDescent="0.25">
      <c r="A25" t="s">
        <v>20</v>
      </c>
      <c r="B25" t="s">
        <v>43</v>
      </c>
      <c r="C25" s="9"/>
      <c r="D25" s="9">
        <v>205</v>
      </c>
      <c r="E25" s="9"/>
      <c r="F25" s="9"/>
      <c r="G25" s="9">
        <f t="shared" si="0"/>
        <v>205</v>
      </c>
      <c r="H25">
        <f t="shared" si="1"/>
        <v>7.0000000000000007E-2</v>
      </c>
      <c r="I25" s="10">
        <f t="shared" si="2"/>
        <v>0</v>
      </c>
      <c r="J25">
        <f t="shared" si="4"/>
        <v>0.01</v>
      </c>
      <c r="P25">
        <v>202</v>
      </c>
    </row>
    <row r="26" spans="1:16" x14ac:dyDescent="0.25">
      <c r="A26" t="s">
        <v>20</v>
      </c>
      <c r="B26" t="s">
        <v>70</v>
      </c>
      <c r="C26" s="9"/>
      <c r="D26" s="9"/>
      <c r="E26" s="9">
        <v>705</v>
      </c>
      <c r="F26" s="9"/>
      <c r="G26" s="9">
        <f t="shared" si="0"/>
        <v>705</v>
      </c>
      <c r="H26">
        <f t="shared" si="1"/>
        <v>0.25</v>
      </c>
      <c r="I26" s="10">
        <f t="shared" si="2"/>
        <v>1E-3</v>
      </c>
      <c r="J26">
        <f t="shared" si="4"/>
        <v>-0.56000000000000005</v>
      </c>
      <c r="P26">
        <v>1610</v>
      </c>
    </row>
    <row r="27" spans="1:16" x14ac:dyDescent="0.25">
      <c r="A27" t="s">
        <v>20</v>
      </c>
      <c r="B27" t="s">
        <v>34</v>
      </c>
      <c r="C27" s="9"/>
      <c r="D27" s="9">
        <v>300</v>
      </c>
      <c r="E27" s="9"/>
      <c r="F27" s="9"/>
      <c r="G27" s="9">
        <f t="shared" si="0"/>
        <v>300</v>
      </c>
      <c r="H27">
        <f t="shared" si="1"/>
        <v>0.11</v>
      </c>
      <c r="I27" s="10">
        <f t="shared" si="2"/>
        <v>0</v>
      </c>
      <c r="J27">
        <f t="shared" si="4"/>
        <v>0.15</v>
      </c>
      <c r="P27">
        <v>261</v>
      </c>
    </row>
    <row r="28" spans="1:16" x14ac:dyDescent="0.25">
      <c r="A28" t="s">
        <v>20</v>
      </c>
      <c r="B28" t="s">
        <v>35</v>
      </c>
      <c r="C28" s="9"/>
      <c r="D28" s="9"/>
      <c r="E28" s="9">
        <v>3184</v>
      </c>
      <c r="F28" s="9"/>
      <c r="G28" s="9">
        <f t="shared" si="0"/>
        <v>3184</v>
      </c>
      <c r="H28">
        <f t="shared" si="1"/>
        <v>1.1399999999999999</v>
      </c>
      <c r="I28" s="10">
        <f t="shared" si="2"/>
        <v>3.0000000000000001E-3</v>
      </c>
      <c r="J28">
        <f t="shared" si="4"/>
        <v>-0.05</v>
      </c>
      <c r="P28">
        <v>3352</v>
      </c>
    </row>
    <row r="29" spans="1:16" x14ac:dyDescent="0.25">
      <c r="A29" t="s">
        <v>20</v>
      </c>
      <c r="B29" t="s">
        <v>41</v>
      </c>
      <c r="C29" s="9"/>
      <c r="D29" s="9"/>
      <c r="E29" s="9">
        <v>11885</v>
      </c>
      <c r="F29" s="9"/>
      <c r="G29" s="9">
        <f t="shared" si="0"/>
        <v>11885</v>
      </c>
      <c r="H29">
        <f t="shared" si="1"/>
        <v>4.24</v>
      </c>
      <c r="I29" s="10">
        <f t="shared" si="2"/>
        <v>1.0999999999999999E-2</v>
      </c>
      <c r="J29">
        <f t="shared" si="4"/>
        <v>0.63</v>
      </c>
      <c r="P29">
        <v>7282</v>
      </c>
    </row>
    <row r="30" spans="1:16" x14ac:dyDescent="0.25">
      <c r="A30" t="s">
        <v>20</v>
      </c>
      <c r="B30" t="s">
        <v>36</v>
      </c>
      <c r="C30" s="9"/>
      <c r="D30" s="9"/>
      <c r="E30" s="9">
        <v>4010</v>
      </c>
      <c r="F30" s="9"/>
      <c r="G30" s="9">
        <f t="shared" si="0"/>
        <v>4010</v>
      </c>
      <c r="H30">
        <f t="shared" si="1"/>
        <v>1.43</v>
      </c>
      <c r="I30" s="10">
        <f t="shared" si="2"/>
        <v>4.0000000000000001E-3</v>
      </c>
      <c r="J30">
        <f t="shared" si="4"/>
        <v>-0.49</v>
      </c>
      <c r="P30">
        <v>7940</v>
      </c>
    </row>
    <row r="31" spans="1:16" x14ac:dyDescent="0.25">
      <c r="A31" t="s">
        <v>20</v>
      </c>
      <c r="B31" t="s">
        <v>37</v>
      </c>
      <c r="C31" s="9"/>
      <c r="D31" s="9"/>
      <c r="E31" s="9">
        <v>74610</v>
      </c>
      <c r="F31" s="9"/>
      <c r="G31" s="9">
        <f t="shared" si="0"/>
        <v>74610</v>
      </c>
      <c r="H31">
        <f t="shared" si="1"/>
        <v>26.62</v>
      </c>
      <c r="I31" s="10">
        <f t="shared" si="2"/>
        <v>6.9000000000000006E-2</v>
      </c>
      <c r="J31">
        <f t="shared" si="4"/>
        <v>0.15</v>
      </c>
      <c r="P31">
        <v>65050</v>
      </c>
    </row>
    <row r="32" spans="1:16" x14ac:dyDescent="0.25">
      <c r="A32" t="s">
        <v>20</v>
      </c>
      <c r="B32" t="s">
        <v>39</v>
      </c>
      <c r="C32" s="9"/>
      <c r="D32" s="9"/>
      <c r="E32" s="9">
        <v>24150</v>
      </c>
      <c r="F32" s="9"/>
      <c r="G32" s="9">
        <f t="shared" si="0"/>
        <v>24150</v>
      </c>
      <c r="H32">
        <f t="shared" si="1"/>
        <v>8.6199999999999992</v>
      </c>
      <c r="I32" s="10">
        <f t="shared" si="2"/>
        <v>2.1999999999999999E-2</v>
      </c>
      <c r="J32">
        <f t="shared" si="4"/>
        <v>0.04</v>
      </c>
      <c r="P32">
        <v>23250</v>
      </c>
    </row>
    <row r="33" spans="1:16" x14ac:dyDescent="0.25">
      <c r="A33" t="s">
        <v>20</v>
      </c>
      <c r="B33" t="s">
        <v>40</v>
      </c>
      <c r="C33" s="9"/>
      <c r="D33" s="9"/>
      <c r="E33" s="9">
        <v>88380</v>
      </c>
      <c r="F33" s="9"/>
      <c r="G33" s="9">
        <f t="shared" si="0"/>
        <v>88380</v>
      </c>
      <c r="H33">
        <f t="shared" si="1"/>
        <v>31.53</v>
      </c>
      <c r="I33" s="10">
        <f t="shared" si="2"/>
        <v>8.2000000000000003E-2</v>
      </c>
      <c r="J33">
        <f t="shared" si="4"/>
        <v>0.68</v>
      </c>
      <c r="P33">
        <v>52600</v>
      </c>
    </row>
    <row r="34" spans="1:16" x14ac:dyDescent="0.25">
      <c r="A34" t="s">
        <v>44</v>
      </c>
      <c r="B34" t="s">
        <v>45</v>
      </c>
      <c r="C34" s="9">
        <v>214940</v>
      </c>
      <c r="D34" s="9"/>
      <c r="E34" s="9"/>
      <c r="F34" s="9">
        <v>180</v>
      </c>
      <c r="G34" s="9">
        <f t="shared" si="0"/>
        <v>215120</v>
      </c>
      <c r="H34">
        <f t="shared" si="1"/>
        <v>76.75</v>
      </c>
      <c r="I34" s="10">
        <f t="shared" si="2"/>
        <v>0.19800000000000001</v>
      </c>
      <c r="J34">
        <f t="shared" si="4"/>
        <v>0.05</v>
      </c>
      <c r="P34">
        <v>205300</v>
      </c>
    </row>
    <row r="35" spans="1:16" x14ac:dyDescent="0.25">
      <c r="A35" t="s">
        <v>44</v>
      </c>
      <c r="B35" t="s">
        <v>46</v>
      </c>
      <c r="C35" s="9"/>
      <c r="D35" s="9"/>
      <c r="E35" s="9">
        <v>73480</v>
      </c>
      <c r="F35" s="9"/>
      <c r="G35" s="9">
        <f t="shared" si="0"/>
        <v>73480</v>
      </c>
      <c r="H35">
        <f t="shared" si="1"/>
        <v>26.21</v>
      </c>
      <c r="I35" s="10">
        <f t="shared" si="2"/>
        <v>6.8000000000000005E-2</v>
      </c>
      <c r="J35">
        <f t="shared" si="4"/>
        <v>-0.06</v>
      </c>
      <c r="P35">
        <v>78090</v>
      </c>
    </row>
    <row r="36" spans="1:16" x14ac:dyDescent="0.25">
      <c r="A36" t="s">
        <v>44</v>
      </c>
      <c r="B36" t="s">
        <v>47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16</v>
      </c>
      <c r="B37" t="s">
        <v>127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16</v>
      </c>
      <c r="B38" t="s">
        <v>19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16</v>
      </c>
      <c r="B39" t="s">
        <v>18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SUM(C8:C39)</f>
        <v>724300</v>
      </c>
      <c r="D49" s="12">
        <f t="shared" si="5"/>
        <v>505</v>
      </c>
      <c r="E49" s="12">
        <f t="shared" si="5"/>
        <v>357933</v>
      </c>
      <c r="F49" s="12">
        <f t="shared" si="5"/>
        <v>1010</v>
      </c>
      <c r="G49" s="12">
        <f t="shared" si="5"/>
        <v>1083748</v>
      </c>
      <c r="H49" s="11">
        <f t="shared" si="5"/>
        <v>386.66</v>
      </c>
      <c r="I49" s="4"/>
    </row>
    <row r="50" spans="1:10" x14ac:dyDescent="0.25">
      <c r="A50" s="11" t="s">
        <v>14</v>
      </c>
      <c r="C50" s="13">
        <f>ROUND(C49/G49,2)</f>
        <v>0.67</v>
      </c>
      <c r="D50" s="13">
        <f>ROUND(D49/G49,2)</f>
        <v>0</v>
      </c>
      <c r="E50" s="13">
        <f>ROUND(E49/G49,2)</f>
        <v>0.33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509360</v>
      </c>
      <c r="D54" s="15">
        <v>505</v>
      </c>
      <c r="E54" s="15">
        <v>284453</v>
      </c>
      <c r="F54" s="15">
        <v>830</v>
      </c>
      <c r="G54" s="15">
        <f>SUM(C54:F54)</f>
        <v>795148</v>
      </c>
      <c r="H54" s="17">
        <f>ROUND(G54/2803,2)</f>
        <v>283.68</v>
      </c>
      <c r="I54" s="4"/>
      <c r="J54" s="4"/>
    </row>
    <row r="55" spans="1:10" x14ac:dyDescent="0.25">
      <c r="A55" s="33" t="s">
        <v>50</v>
      </c>
      <c r="B55" s="33"/>
      <c r="C55" s="15">
        <v>214940</v>
      </c>
      <c r="D55" s="15">
        <v>0</v>
      </c>
      <c r="E55" s="15">
        <v>73480</v>
      </c>
      <c r="F55" s="15">
        <v>180</v>
      </c>
      <c r="G55" s="15">
        <f>SUM(C55:F55)</f>
        <v>288600</v>
      </c>
      <c r="H55" s="17">
        <f>ROUND(G55/2803,2)</f>
        <v>102.96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ROUND(G56/2803,2)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ROUND(0.7819, 4)</f>
        <v>0.78190000000000004</v>
      </c>
      <c r="D60" s="19">
        <f>ROUND(0.7821, 4)</f>
        <v>0.78210000000000002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ROUND(0.7715, 4)</f>
        <v>0.77149999999999996</v>
      </c>
      <c r="D61" s="19">
        <f>ROUND(0.7722, 4)</f>
        <v>0.7722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203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76.75</v>
      </c>
      <c r="D64" s="16">
        <v>75.14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74.97</v>
      </c>
      <c r="D65" s="16">
        <v>73.540000000000006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283.68</v>
      </c>
      <c r="D66" s="16">
        <v>263.19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102.96</v>
      </c>
      <c r="D67" s="16">
        <v>99.25</v>
      </c>
      <c r="E67" s="16">
        <v>115.16</v>
      </c>
      <c r="F67" s="16">
        <v>80.39</v>
      </c>
    </row>
  </sheetData>
  <mergeCells count="12">
    <mergeCell ref="A60:B60"/>
    <mergeCell ref="A61:B61"/>
    <mergeCell ref="A53:B53"/>
    <mergeCell ref="A54:B54"/>
    <mergeCell ref="A59:B59"/>
    <mergeCell ref="A55:B55"/>
    <mergeCell ref="A56:B56"/>
    <mergeCell ref="A63:B63"/>
    <mergeCell ref="A64:B64"/>
    <mergeCell ref="A65:B65"/>
    <mergeCell ref="A66:B66"/>
    <mergeCell ref="A67:B6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P72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8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204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496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21760</v>
      </c>
      <c r="D9" s="9"/>
      <c r="E9" s="9">
        <v>359.26</v>
      </c>
      <c r="F9" s="9">
        <v>160</v>
      </c>
      <c r="G9" s="9">
        <f t="shared" ref="G9:G33" si="0">SUM(C9:F9)</f>
        <v>22279.26</v>
      </c>
      <c r="H9">
        <f t="shared" ref="H9:H33" si="1">ROUND(G9/496,2)</f>
        <v>44.92</v>
      </c>
      <c r="I9" s="10">
        <f t="shared" ref="I9:I33" si="2">ROUND(G9/$G$49,3)</f>
        <v>9.6000000000000002E-2</v>
      </c>
      <c r="J9">
        <f t="shared" ref="J9:J25" si="3">ROUND(G9/P9-1,2)</f>
        <v>7.0000000000000007E-2</v>
      </c>
      <c r="P9">
        <v>20837.689999999999</v>
      </c>
    </row>
    <row r="10" spans="1:16" x14ac:dyDescent="0.25">
      <c r="A10" t="s">
        <v>20</v>
      </c>
      <c r="B10" t="s">
        <v>22</v>
      </c>
      <c r="C10" s="9">
        <v>30475</v>
      </c>
      <c r="D10" s="9"/>
      <c r="E10" s="9"/>
      <c r="F10" s="9"/>
      <c r="G10" s="9">
        <f t="shared" si="0"/>
        <v>30475</v>
      </c>
      <c r="H10">
        <f t="shared" si="1"/>
        <v>61.44</v>
      </c>
      <c r="I10" s="10">
        <f t="shared" si="2"/>
        <v>0.13200000000000001</v>
      </c>
      <c r="J10">
        <f t="shared" si="3"/>
        <v>-0.1</v>
      </c>
      <c r="P10">
        <v>34015</v>
      </c>
    </row>
    <row r="11" spans="1:16" x14ac:dyDescent="0.25">
      <c r="A11" t="s">
        <v>20</v>
      </c>
      <c r="B11" t="s">
        <v>42</v>
      </c>
      <c r="C11" s="9"/>
      <c r="D11" s="9"/>
      <c r="E11" s="9">
        <v>26.35</v>
      </c>
      <c r="F11" s="9"/>
      <c r="G11" s="9">
        <f t="shared" si="0"/>
        <v>26.35</v>
      </c>
      <c r="H11">
        <f t="shared" si="1"/>
        <v>0.05</v>
      </c>
      <c r="I11" s="10">
        <f t="shared" si="2"/>
        <v>0</v>
      </c>
      <c r="J11">
        <f t="shared" si="3"/>
        <v>-0.61</v>
      </c>
      <c r="P11">
        <v>68.13</v>
      </c>
    </row>
    <row r="12" spans="1:16" x14ac:dyDescent="0.25">
      <c r="A12" t="s">
        <v>20</v>
      </c>
      <c r="B12" t="s">
        <v>24</v>
      </c>
      <c r="C12" s="9"/>
      <c r="D12" s="9"/>
      <c r="E12" s="9">
        <v>8129.05</v>
      </c>
      <c r="F12" s="9"/>
      <c r="G12" s="9">
        <f t="shared" si="0"/>
        <v>8129.05</v>
      </c>
      <c r="H12">
        <f t="shared" si="1"/>
        <v>16.39</v>
      </c>
      <c r="I12" s="10">
        <f t="shared" si="2"/>
        <v>3.5000000000000003E-2</v>
      </c>
      <c r="J12">
        <f t="shared" si="3"/>
        <v>-0.56000000000000005</v>
      </c>
      <c r="P12">
        <v>18593.68</v>
      </c>
    </row>
    <row r="13" spans="1:16" x14ac:dyDescent="0.25">
      <c r="A13" t="s">
        <v>20</v>
      </c>
      <c r="B13" t="s">
        <v>25</v>
      </c>
      <c r="C13" s="9">
        <v>30020</v>
      </c>
      <c r="D13" s="9"/>
      <c r="E13" s="9">
        <v>1191.26</v>
      </c>
      <c r="F13" s="9">
        <v>180</v>
      </c>
      <c r="G13" s="9">
        <f t="shared" si="0"/>
        <v>31391.26</v>
      </c>
      <c r="H13">
        <f t="shared" si="1"/>
        <v>63.29</v>
      </c>
      <c r="I13" s="10">
        <f t="shared" si="2"/>
        <v>0.13500000000000001</v>
      </c>
      <c r="J13">
        <f t="shared" si="3"/>
        <v>-0.03</v>
      </c>
      <c r="P13">
        <v>32303.08</v>
      </c>
    </row>
    <row r="14" spans="1:16" x14ac:dyDescent="0.25">
      <c r="A14" t="s">
        <v>20</v>
      </c>
      <c r="B14" t="s">
        <v>26</v>
      </c>
      <c r="C14" s="9">
        <v>22500</v>
      </c>
      <c r="D14" s="9"/>
      <c r="E14" s="9"/>
      <c r="F14" s="9"/>
      <c r="G14" s="9">
        <f t="shared" si="0"/>
        <v>22500</v>
      </c>
      <c r="H14">
        <f t="shared" si="1"/>
        <v>45.36</v>
      </c>
      <c r="I14" s="10">
        <f t="shared" si="2"/>
        <v>9.7000000000000003E-2</v>
      </c>
      <c r="J14">
        <f t="shared" si="3"/>
        <v>-0.2</v>
      </c>
      <c r="P14">
        <v>27980</v>
      </c>
    </row>
    <row r="15" spans="1:16" x14ac:dyDescent="0.25">
      <c r="A15" t="s">
        <v>20</v>
      </c>
      <c r="B15" t="s">
        <v>29</v>
      </c>
      <c r="C15" s="9"/>
      <c r="D15" s="9"/>
      <c r="E15" s="9">
        <v>12.25</v>
      </c>
      <c r="F15" s="9"/>
      <c r="G15" s="9">
        <f t="shared" si="0"/>
        <v>12.25</v>
      </c>
      <c r="H15">
        <f t="shared" si="1"/>
        <v>0.02</v>
      </c>
      <c r="I15" s="10">
        <f t="shared" si="2"/>
        <v>0</v>
      </c>
      <c r="J15">
        <f t="shared" si="3"/>
        <v>-0.44</v>
      </c>
      <c r="P15">
        <v>21.76</v>
      </c>
    </row>
    <row r="16" spans="1:16" x14ac:dyDescent="0.25">
      <c r="A16" t="s">
        <v>20</v>
      </c>
      <c r="B16" t="s">
        <v>30</v>
      </c>
      <c r="C16" s="9"/>
      <c r="D16" s="9"/>
      <c r="E16" s="9">
        <v>331.98</v>
      </c>
      <c r="F16" s="9"/>
      <c r="G16" s="9">
        <f t="shared" si="0"/>
        <v>331.98</v>
      </c>
      <c r="H16">
        <f t="shared" si="1"/>
        <v>0.67</v>
      </c>
      <c r="I16" s="10">
        <f t="shared" si="2"/>
        <v>1E-3</v>
      </c>
      <c r="J16">
        <f t="shared" si="3"/>
        <v>-0.76</v>
      </c>
      <c r="P16">
        <v>1379.88</v>
      </c>
    </row>
    <row r="17" spans="1:16" x14ac:dyDescent="0.25">
      <c r="A17" t="s">
        <v>20</v>
      </c>
      <c r="B17" t="s">
        <v>31</v>
      </c>
      <c r="C17" s="9"/>
      <c r="D17" s="9"/>
      <c r="E17" s="9">
        <v>9.23</v>
      </c>
      <c r="F17" s="9"/>
      <c r="G17" s="9">
        <f t="shared" si="0"/>
        <v>9.23</v>
      </c>
      <c r="H17">
        <f t="shared" si="1"/>
        <v>0.02</v>
      </c>
      <c r="I17" s="10">
        <f t="shared" si="2"/>
        <v>0</v>
      </c>
      <c r="J17">
        <f t="shared" si="3"/>
        <v>-0.89</v>
      </c>
      <c r="P17">
        <v>82.4</v>
      </c>
    </row>
    <row r="18" spans="1:16" x14ac:dyDescent="0.25">
      <c r="A18" t="s">
        <v>20</v>
      </c>
      <c r="B18" t="s">
        <v>33</v>
      </c>
      <c r="C18" s="9"/>
      <c r="D18" s="9"/>
      <c r="E18" s="9">
        <v>154.02000000000001</v>
      </c>
      <c r="F18" s="9"/>
      <c r="G18" s="9">
        <f t="shared" si="0"/>
        <v>154.02000000000001</v>
      </c>
      <c r="H18">
        <f t="shared" si="1"/>
        <v>0.31</v>
      </c>
      <c r="I18" s="10">
        <f t="shared" si="2"/>
        <v>1E-3</v>
      </c>
      <c r="J18">
        <f t="shared" si="3"/>
        <v>-0.64</v>
      </c>
      <c r="P18">
        <v>423.13</v>
      </c>
    </row>
    <row r="19" spans="1:16" x14ac:dyDescent="0.25">
      <c r="A19" t="s">
        <v>20</v>
      </c>
      <c r="B19" t="s">
        <v>43</v>
      </c>
      <c r="C19" s="9"/>
      <c r="D19" s="9"/>
      <c r="E19" s="9">
        <v>21.82</v>
      </c>
      <c r="F19" s="9"/>
      <c r="G19" s="9">
        <f t="shared" si="0"/>
        <v>21.82</v>
      </c>
      <c r="H19">
        <f t="shared" si="1"/>
        <v>0.04</v>
      </c>
      <c r="I19" s="10">
        <f t="shared" si="2"/>
        <v>0</v>
      </c>
      <c r="J19">
        <f t="shared" si="3"/>
        <v>-0.61</v>
      </c>
      <c r="P19">
        <v>56.22</v>
      </c>
    </row>
    <row r="20" spans="1:16" x14ac:dyDescent="0.25">
      <c r="A20" t="s">
        <v>20</v>
      </c>
      <c r="B20" t="s">
        <v>35</v>
      </c>
      <c r="C20" s="9"/>
      <c r="D20" s="9"/>
      <c r="E20" s="9">
        <v>347.5</v>
      </c>
      <c r="F20" s="9"/>
      <c r="G20" s="9">
        <f t="shared" si="0"/>
        <v>347.5</v>
      </c>
      <c r="H20">
        <f t="shared" si="1"/>
        <v>0.7</v>
      </c>
      <c r="I20" s="10">
        <f t="shared" si="2"/>
        <v>1E-3</v>
      </c>
      <c r="J20">
        <f t="shared" si="3"/>
        <v>-0.81</v>
      </c>
      <c r="P20">
        <v>1810.53</v>
      </c>
    </row>
    <row r="21" spans="1:16" x14ac:dyDescent="0.25">
      <c r="A21" t="s">
        <v>20</v>
      </c>
      <c r="B21" t="s">
        <v>36</v>
      </c>
      <c r="C21" s="9"/>
      <c r="D21" s="9"/>
      <c r="E21" s="9">
        <v>315.38</v>
      </c>
      <c r="F21" s="9"/>
      <c r="G21" s="9">
        <f t="shared" si="0"/>
        <v>315.38</v>
      </c>
      <c r="H21">
        <f t="shared" si="1"/>
        <v>0.64</v>
      </c>
      <c r="I21" s="10">
        <f t="shared" si="2"/>
        <v>1E-3</v>
      </c>
      <c r="J21">
        <f t="shared" si="3"/>
        <v>-0.87</v>
      </c>
      <c r="P21">
        <v>2495.12</v>
      </c>
    </row>
    <row r="22" spans="1:16" x14ac:dyDescent="0.25">
      <c r="A22" t="s">
        <v>20</v>
      </c>
      <c r="B22" t="s">
        <v>37</v>
      </c>
      <c r="C22" s="9"/>
      <c r="D22" s="9"/>
      <c r="E22" s="9">
        <v>6878.4</v>
      </c>
      <c r="F22" s="9"/>
      <c r="G22" s="9">
        <f t="shared" si="0"/>
        <v>6878.4</v>
      </c>
      <c r="H22">
        <f t="shared" si="1"/>
        <v>13.87</v>
      </c>
      <c r="I22" s="10">
        <f t="shared" si="2"/>
        <v>0.03</v>
      </c>
      <c r="J22">
        <f t="shared" si="3"/>
        <v>-0.55000000000000004</v>
      </c>
      <c r="P22">
        <v>15370.16</v>
      </c>
    </row>
    <row r="23" spans="1:16" x14ac:dyDescent="0.25">
      <c r="A23" t="s">
        <v>20</v>
      </c>
      <c r="B23" t="s">
        <v>38</v>
      </c>
      <c r="C23" s="9"/>
      <c r="D23" s="9"/>
      <c r="E23" s="9">
        <v>383.53</v>
      </c>
      <c r="F23" s="9"/>
      <c r="G23" s="9">
        <f t="shared" si="0"/>
        <v>383.53</v>
      </c>
      <c r="H23">
        <f t="shared" si="1"/>
        <v>0.77</v>
      </c>
      <c r="I23" s="10">
        <f t="shared" si="2"/>
        <v>2E-3</v>
      </c>
      <c r="J23">
        <f t="shared" si="3"/>
        <v>-0.66</v>
      </c>
      <c r="P23">
        <v>1119.5999999999999</v>
      </c>
    </row>
    <row r="24" spans="1:16" x14ac:dyDescent="0.25">
      <c r="A24" t="s">
        <v>20</v>
      </c>
      <c r="B24" t="s">
        <v>39</v>
      </c>
      <c r="C24" s="9"/>
      <c r="D24" s="9"/>
      <c r="E24" s="9">
        <v>1575.16</v>
      </c>
      <c r="F24" s="9"/>
      <c r="G24" s="9">
        <f t="shared" si="0"/>
        <v>1575.16</v>
      </c>
      <c r="H24">
        <f t="shared" si="1"/>
        <v>3.18</v>
      </c>
      <c r="I24" s="10">
        <f t="shared" si="2"/>
        <v>7.0000000000000001E-3</v>
      </c>
      <c r="J24">
        <f t="shared" si="3"/>
        <v>-0.68</v>
      </c>
      <c r="P24">
        <v>4851.03</v>
      </c>
    </row>
    <row r="25" spans="1:16" x14ac:dyDescent="0.25">
      <c r="A25" t="s">
        <v>20</v>
      </c>
      <c r="B25" t="s">
        <v>40</v>
      </c>
      <c r="C25" s="9"/>
      <c r="D25" s="9"/>
      <c r="E25" s="9">
        <v>589.29</v>
      </c>
      <c r="F25" s="9"/>
      <c r="G25" s="9">
        <f t="shared" si="0"/>
        <v>589.29</v>
      </c>
      <c r="H25">
        <f t="shared" si="1"/>
        <v>1.19</v>
      </c>
      <c r="I25" s="10">
        <f t="shared" si="2"/>
        <v>3.0000000000000001E-3</v>
      </c>
      <c r="J25">
        <f t="shared" si="3"/>
        <v>-0.69</v>
      </c>
      <c r="P25">
        <v>1915.15</v>
      </c>
    </row>
    <row r="26" spans="1:16" x14ac:dyDescent="0.25">
      <c r="A26" t="s">
        <v>20</v>
      </c>
      <c r="B26" t="s">
        <v>74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23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32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34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44</v>
      </c>
      <c r="B30" t="s">
        <v>45</v>
      </c>
      <c r="C30" s="9">
        <v>102040</v>
      </c>
      <c r="D30" s="9"/>
      <c r="E30" s="9"/>
      <c r="F30" s="9">
        <v>460</v>
      </c>
      <c r="G30" s="9">
        <f t="shared" si="0"/>
        <v>102500</v>
      </c>
      <c r="H30">
        <f t="shared" si="1"/>
        <v>206.65</v>
      </c>
      <c r="I30" s="10">
        <f t="shared" si="2"/>
        <v>0.442</v>
      </c>
      <c r="J30">
        <f>ROUND(G30/P30-1,2)</f>
        <v>0.33</v>
      </c>
      <c r="P30">
        <v>76910</v>
      </c>
    </row>
    <row r="31" spans="1:16" x14ac:dyDescent="0.25">
      <c r="A31" t="s">
        <v>44</v>
      </c>
      <c r="B31" t="s">
        <v>46</v>
      </c>
      <c r="C31" s="9"/>
      <c r="D31" s="9"/>
      <c r="E31" s="9">
        <v>3751.58</v>
      </c>
      <c r="F31" s="9"/>
      <c r="G31" s="9">
        <f t="shared" si="0"/>
        <v>3751.58</v>
      </c>
      <c r="H31">
        <f t="shared" si="1"/>
        <v>7.56</v>
      </c>
      <c r="I31" s="10">
        <f t="shared" si="2"/>
        <v>1.6E-2</v>
      </c>
      <c r="J31">
        <f>ROUND(G31/P31-1,2)</f>
        <v>-0.62</v>
      </c>
      <c r="P31">
        <v>9866.6</v>
      </c>
    </row>
    <row r="32" spans="1:16" x14ac:dyDescent="0.25">
      <c r="A32" t="s">
        <v>44</v>
      </c>
      <c r="B32" t="s">
        <v>47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16</v>
      </c>
      <c r="B33" t="s">
        <v>19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C34" s="9"/>
      <c r="D34" s="9"/>
      <c r="E34" s="9"/>
      <c r="F34" s="9"/>
      <c r="G34" s="9"/>
      <c r="I34" s="10"/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SUM(C8:C33)</f>
        <v>206795</v>
      </c>
      <c r="D49" s="12">
        <f t="shared" si="4"/>
        <v>0</v>
      </c>
      <c r="E49" s="12">
        <f t="shared" si="4"/>
        <v>24076.059999999998</v>
      </c>
      <c r="F49" s="12">
        <f t="shared" si="4"/>
        <v>800</v>
      </c>
      <c r="G49" s="12">
        <f t="shared" si="4"/>
        <v>231671.05999999997</v>
      </c>
      <c r="H49" s="11">
        <f t="shared" si="4"/>
        <v>467.07</v>
      </c>
      <c r="I49" s="4"/>
    </row>
    <row r="50" spans="1:10" x14ac:dyDescent="0.25">
      <c r="A50" s="11" t="s">
        <v>14</v>
      </c>
      <c r="C50" s="13">
        <f>ROUND(C49/G49,2)</f>
        <v>0.89</v>
      </c>
      <c r="D50" s="13">
        <f>ROUND(D49/G49,2)</f>
        <v>0</v>
      </c>
      <c r="E50" s="13">
        <f>ROUND(E49/G49,2)</f>
        <v>0.1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104755</v>
      </c>
      <c r="D54" s="15">
        <v>0</v>
      </c>
      <c r="E54" s="15">
        <v>20324.48</v>
      </c>
      <c r="F54" s="15">
        <v>340</v>
      </c>
      <c r="G54" s="15">
        <f>SUM(C54:F54)</f>
        <v>125419.48</v>
      </c>
      <c r="H54" s="17">
        <f>ROUND(G54/496,2)</f>
        <v>252.86</v>
      </c>
      <c r="I54" s="4"/>
      <c r="J54" s="4"/>
    </row>
    <row r="55" spans="1:10" x14ac:dyDescent="0.25">
      <c r="A55" s="33" t="s">
        <v>50</v>
      </c>
      <c r="B55" s="33"/>
      <c r="C55" s="15">
        <v>102040</v>
      </c>
      <c r="D55" s="15">
        <v>0</v>
      </c>
      <c r="E55" s="15">
        <v>3751.58</v>
      </c>
      <c r="F55" s="15">
        <v>460</v>
      </c>
      <c r="G55" s="15">
        <f>SUM(C55:F55)</f>
        <v>106251.58</v>
      </c>
      <c r="H55" s="17">
        <f>ROUND(G55/496,2)</f>
        <v>214.22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ROUND(G56/496,2)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ROUND(0.5397, 4)</f>
        <v>0.53969999999999996</v>
      </c>
      <c r="D60" s="19">
        <f>ROUND(0.6633, 4)</f>
        <v>0.6633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ROUND(0.5026, 4)</f>
        <v>0.50260000000000005</v>
      </c>
      <c r="D61" s="19">
        <f>ROUND(0.6297, 4)</f>
        <v>0.62970000000000004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205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206.65</v>
      </c>
      <c r="D64" s="17">
        <v>155.16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45.36</v>
      </c>
      <c r="D65" s="17">
        <v>56.84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252.86</v>
      </c>
      <c r="D66" s="17">
        <v>315.83999999999997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214.22</v>
      </c>
      <c r="D67" s="17">
        <v>171.96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P72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206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445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66</v>
      </c>
      <c r="C9" s="9"/>
      <c r="D9" s="9"/>
      <c r="E9" s="9"/>
      <c r="F9" s="9">
        <v>494</v>
      </c>
      <c r="G9" s="9">
        <f t="shared" ref="G9:G38" si="0">SUM(C9:F9)</f>
        <v>494</v>
      </c>
      <c r="H9">
        <f t="shared" ref="H9:H38" si="1">ROUND(G9/445,2)</f>
        <v>1.1100000000000001</v>
      </c>
      <c r="I9" s="10">
        <f t="shared" ref="I9:I38" si="2">ROUND(G9/$G$49,3)</f>
        <v>3.0000000000000001E-3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21</v>
      </c>
      <c r="C11" s="9">
        <v>13110</v>
      </c>
      <c r="D11" s="9"/>
      <c r="E11" s="9">
        <v>348.16</v>
      </c>
      <c r="F11" s="9"/>
      <c r="G11" s="9">
        <f t="shared" si="0"/>
        <v>13458.16</v>
      </c>
      <c r="H11">
        <f t="shared" si="1"/>
        <v>30.24</v>
      </c>
      <c r="I11" s="10">
        <f t="shared" si="2"/>
        <v>7.5999999999999998E-2</v>
      </c>
      <c r="J11">
        <f>ROUND(G11/P11-1,2)</f>
        <v>-0.19</v>
      </c>
      <c r="P11">
        <v>16620.53</v>
      </c>
    </row>
    <row r="12" spans="1:16" x14ac:dyDescent="0.25">
      <c r="A12" t="s">
        <v>20</v>
      </c>
      <c r="B12" t="s">
        <v>22</v>
      </c>
      <c r="C12" s="9">
        <v>17095</v>
      </c>
      <c r="D12" s="9"/>
      <c r="E12" s="9"/>
      <c r="F12" s="9"/>
      <c r="G12" s="9">
        <f t="shared" si="0"/>
        <v>17095</v>
      </c>
      <c r="H12">
        <f t="shared" si="1"/>
        <v>38.42</v>
      </c>
      <c r="I12" s="10">
        <f t="shared" si="2"/>
        <v>9.7000000000000003E-2</v>
      </c>
      <c r="J12">
        <f>ROUND(G12/P12-1,2)</f>
        <v>-0.25</v>
      </c>
      <c r="P12">
        <v>22850</v>
      </c>
    </row>
    <row r="13" spans="1:16" x14ac:dyDescent="0.25">
      <c r="A13" t="s">
        <v>20</v>
      </c>
      <c r="B13" t="s">
        <v>42</v>
      </c>
      <c r="C13" s="9"/>
      <c r="D13" s="9"/>
      <c r="E13" s="9">
        <v>35</v>
      </c>
      <c r="F13" s="9"/>
      <c r="G13" s="9">
        <f t="shared" si="0"/>
        <v>35</v>
      </c>
      <c r="H13">
        <f t="shared" si="1"/>
        <v>0.08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24</v>
      </c>
      <c r="C14" s="9"/>
      <c r="D14" s="9"/>
      <c r="E14" s="9">
        <v>39284.54</v>
      </c>
      <c r="F14" s="9"/>
      <c r="G14" s="9">
        <f t="shared" si="0"/>
        <v>39284.54</v>
      </c>
      <c r="H14">
        <f t="shared" si="1"/>
        <v>88.28</v>
      </c>
      <c r="I14" s="10">
        <f t="shared" si="2"/>
        <v>0.222</v>
      </c>
      <c r="J14">
        <f t="shared" ref="J14:J28" si="3">ROUND(G14/P14-1,2)</f>
        <v>0.63</v>
      </c>
      <c r="P14">
        <v>24072.73</v>
      </c>
    </row>
    <row r="15" spans="1:16" x14ac:dyDescent="0.25">
      <c r="A15" t="s">
        <v>20</v>
      </c>
      <c r="B15" t="s">
        <v>25</v>
      </c>
      <c r="C15" s="9">
        <v>15210</v>
      </c>
      <c r="D15" s="9"/>
      <c r="E15" s="9">
        <v>413.67</v>
      </c>
      <c r="F15" s="9"/>
      <c r="G15" s="9">
        <f t="shared" si="0"/>
        <v>15623.67</v>
      </c>
      <c r="H15">
        <f t="shared" si="1"/>
        <v>35.11</v>
      </c>
      <c r="I15" s="10">
        <f t="shared" si="2"/>
        <v>8.7999999999999995E-2</v>
      </c>
      <c r="J15">
        <f t="shared" si="3"/>
        <v>-0.04</v>
      </c>
      <c r="P15">
        <v>16310.9</v>
      </c>
    </row>
    <row r="16" spans="1:16" x14ac:dyDescent="0.25">
      <c r="A16" t="s">
        <v>20</v>
      </c>
      <c r="B16" t="s">
        <v>69</v>
      </c>
      <c r="C16" s="9"/>
      <c r="D16" s="9"/>
      <c r="E16" s="9">
        <v>1860</v>
      </c>
      <c r="F16" s="9"/>
      <c r="G16" s="9">
        <f t="shared" si="0"/>
        <v>1860</v>
      </c>
      <c r="H16">
        <f t="shared" si="1"/>
        <v>4.18</v>
      </c>
      <c r="I16" s="10">
        <f t="shared" si="2"/>
        <v>1.0999999999999999E-2</v>
      </c>
      <c r="J16">
        <f t="shared" si="3"/>
        <v>2</v>
      </c>
      <c r="P16">
        <v>620</v>
      </c>
    </row>
    <row r="17" spans="1:16" x14ac:dyDescent="0.25">
      <c r="A17" t="s">
        <v>20</v>
      </c>
      <c r="B17" t="s">
        <v>26</v>
      </c>
      <c r="C17" s="9">
        <v>16950</v>
      </c>
      <c r="D17" s="9"/>
      <c r="E17" s="9"/>
      <c r="F17" s="9"/>
      <c r="G17" s="9">
        <f t="shared" si="0"/>
        <v>16950</v>
      </c>
      <c r="H17">
        <f t="shared" si="1"/>
        <v>38.090000000000003</v>
      </c>
      <c r="I17" s="10">
        <f t="shared" si="2"/>
        <v>9.6000000000000002E-2</v>
      </c>
      <c r="J17">
        <f t="shared" si="3"/>
        <v>0.01</v>
      </c>
      <c r="P17">
        <v>16810</v>
      </c>
    </row>
    <row r="18" spans="1:16" x14ac:dyDescent="0.25">
      <c r="A18" t="s">
        <v>20</v>
      </c>
      <c r="B18" t="s">
        <v>27</v>
      </c>
      <c r="C18" s="9"/>
      <c r="D18" s="9"/>
      <c r="E18" s="9">
        <v>534</v>
      </c>
      <c r="F18" s="9"/>
      <c r="G18" s="9">
        <f t="shared" si="0"/>
        <v>534</v>
      </c>
      <c r="H18">
        <f t="shared" si="1"/>
        <v>1.2</v>
      </c>
      <c r="I18" s="10">
        <f t="shared" si="2"/>
        <v>3.0000000000000001E-3</v>
      </c>
      <c r="J18">
        <f t="shared" si="3"/>
        <v>4.34</v>
      </c>
      <c r="P18">
        <v>100</v>
      </c>
    </row>
    <row r="19" spans="1:16" x14ac:dyDescent="0.25">
      <c r="A19" t="s">
        <v>20</v>
      </c>
      <c r="B19" t="s">
        <v>28</v>
      </c>
      <c r="C19" s="9"/>
      <c r="D19" s="9"/>
      <c r="E19" s="9">
        <v>127</v>
      </c>
      <c r="F19" s="9"/>
      <c r="G19" s="9">
        <f t="shared" si="0"/>
        <v>127</v>
      </c>
      <c r="H19">
        <f t="shared" si="1"/>
        <v>0.28999999999999998</v>
      </c>
      <c r="I19" s="10">
        <f t="shared" si="2"/>
        <v>1E-3</v>
      </c>
      <c r="J19">
        <f t="shared" si="3"/>
        <v>1.1200000000000001</v>
      </c>
      <c r="P19">
        <v>60</v>
      </c>
    </row>
    <row r="20" spans="1:16" x14ac:dyDescent="0.25">
      <c r="A20" t="s">
        <v>20</v>
      </c>
      <c r="B20" t="s">
        <v>30</v>
      </c>
      <c r="C20" s="9"/>
      <c r="D20" s="9"/>
      <c r="E20" s="9">
        <v>495</v>
      </c>
      <c r="F20" s="9"/>
      <c r="G20" s="9">
        <f t="shared" si="0"/>
        <v>495</v>
      </c>
      <c r="H20">
        <f t="shared" si="1"/>
        <v>1.1100000000000001</v>
      </c>
      <c r="I20" s="10">
        <f t="shared" si="2"/>
        <v>3.0000000000000001E-3</v>
      </c>
      <c r="J20">
        <f t="shared" si="3"/>
        <v>-0.03</v>
      </c>
      <c r="P20">
        <v>510</v>
      </c>
    </row>
    <row r="21" spans="1:16" x14ac:dyDescent="0.25">
      <c r="A21" t="s">
        <v>20</v>
      </c>
      <c r="B21" t="s">
        <v>31</v>
      </c>
      <c r="C21" s="9"/>
      <c r="D21" s="9"/>
      <c r="E21" s="9">
        <v>60.65</v>
      </c>
      <c r="F21" s="9"/>
      <c r="G21" s="9">
        <f t="shared" si="0"/>
        <v>60.65</v>
      </c>
      <c r="H21">
        <f t="shared" si="1"/>
        <v>0.14000000000000001</v>
      </c>
      <c r="I21" s="10">
        <f t="shared" si="2"/>
        <v>0</v>
      </c>
      <c r="J21">
        <f t="shared" si="3"/>
        <v>2.48</v>
      </c>
      <c r="P21">
        <v>17.43</v>
      </c>
    </row>
    <row r="22" spans="1:16" x14ac:dyDescent="0.25">
      <c r="A22" t="s">
        <v>20</v>
      </c>
      <c r="B22" t="s">
        <v>35</v>
      </c>
      <c r="C22" s="9"/>
      <c r="D22" s="9"/>
      <c r="E22" s="9">
        <v>336</v>
      </c>
      <c r="F22" s="9"/>
      <c r="G22" s="9">
        <f t="shared" si="0"/>
        <v>336</v>
      </c>
      <c r="H22">
        <f t="shared" si="1"/>
        <v>0.76</v>
      </c>
      <c r="I22" s="10">
        <f t="shared" si="2"/>
        <v>2E-3</v>
      </c>
      <c r="J22">
        <f t="shared" si="3"/>
        <v>8.56</v>
      </c>
      <c r="P22">
        <v>35.130000000000003</v>
      </c>
    </row>
    <row r="23" spans="1:16" x14ac:dyDescent="0.25">
      <c r="A23" t="s">
        <v>20</v>
      </c>
      <c r="B23" t="s">
        <v>36</v>
      </c>
      <c r="C23" s="9"/>
      <c r="D23" s="9"/>
      <c r="E23" s="9">
        <v>23.21</v>
      </c>
      <c r="F23" s="9"/>
      <c r="G23" s="9">
        <f t="shared" si="0"/>
        <v>23.21</v>
      </c>
      <c r="H23">
        <f t="shared" si="1"/>
        <v>0.05</v>
      </c>
      <c r="I23" s="10">
        <f t="shared" si="2"/>
        <v>0</v>
      </c>
      <c r="J23">
        <f t="shared" si="3"/>
        <v>-0.98</v>
      </c>
      <c r="P23">
        <v>1045.08</v>
      </c>
    </row>
    <row r="24" spans="1:16" x14ac:dyDescent="0.25">
      <c r="A24" t="s">
        <v>20</v>
      </c>
      <c r="B24" t="s">
        <v>41</v>
      </c>
      <c r="C24" s="9"/>
      <c r="D24" s="9"/>
      <c r="E24" s="9">
        <v>630</v>
      </c>
      <c r="F24" s="9"/>
      <c r="G24" s="9">
        <f t="shared" si="0"/>
        <v>630</v>
      </c>
      <c r="H24">
        <f t="shared" si="1"/>
        <v>1.42</v>
      </c>
      <c r="I24" s="10">
        <f t="shared" si="2"/>
        <v>4.0000000000000001E-3</v>
      </c>
      <c r="J24">
        <f t="shared" si="3"/>
        <v>-0.52</v>
      </c>
      <c r="P24">
        <v>1320</v>
      </c>
    </row>
    <row r="25" spans="1:16" x14ac:dyDescent="0.25">
      <c r="A25" t="s">
        <v>20</v>
      </c>
      <c r="B25" t="s">
        <v>37</v>
      </c>
      <c r="C25" s="9"/>
      <c r="D25" s="9"/>
      <c r="E25" s="9">
        <v>1423.95</v>
      </c>
      <c r="F25" s="9"/>
      <c r="G25" s="9">
        <f t="shared" si="0"/>
        <v>1423.95</v>
      </c>
      <c r="H25">
        <f t="shared" si="1"/>
        <v>3.2</v>
      </c>
      <c r="I25" s="10">
        <f t="shared" si="2"/>
        <v>8.0000000000000002E-3</v>
      </c>
      <c r="J25">
        <f t="shared" si="3"/>
        <v>-0.77</v>
      </c>
      <c r="P25">
        <v>6312.61</v>
      </c>
    </row>
    <row r="26" spans="1:16" x14ac:dyDescent="0.25">
      <c r="A26" t="s">
        <v>20</v>
      </c>
      <c r="B26" t="s">
        <v>39</v>
      </c>
      <c r="C26" s="9"/>
      <c r="D26" s="9"/>
      <c r="E26" s="9">
        <v>7965.93</v>
      </c>
      <c r="F26" s="9"/>
      <c r="G26" s="9">
        <f t="shared" si="0"/>
        <v>7965.93</v>
      </c>
      <c r="H26">
        <f t="shared" si="1"/>
        <v>17.899999999999999</v>
      </c>
      <c r="I26" s="10">
        <f t="shared" si="2"/>
        <v>4.4999999999999998E-2</v>
      </c>
      <c r="J26">
        <f t="shared" si="3"/>
        <v>-0.16</v>
      </c>
      <c r="P26">
        <v>9538.2900000000009</v>
      </c>
    </row>
    <row r="27" spans="1:16" x14ac:dyDescent="0.25">
      <c r="A27" t="s">
        <v>20</v>
      </c>
      <c r="B27" t="s">
        <v>40</v>
      </c>
      <c r="C27" s="9"/>
      <c r="D27" s="9"/>
      <c r="E27" s="9">
        <v>2703.68</v>
      </c>
      <c r="F27" s="9"/>
      <c r="G27" s="9">
        <f t="shared" si="0"/>
        <v>2703.68</v>
      </c>
      <c r="H27">
        <f t="shared" si="1"/>
        <v>6.08</v>
      </c>
      <c r="I27" s="10">
        <f t="shared" si="2"/>
        <v>1.4999999999999999E-2</v>
      </c>
      <c r="J27">
        <f t="shared" si="3"/>
        <v>2.48</v>
      </c>
      <c r="P27">
        <v>776.75</v>
      </c>
    </row>
    <row r="28" spans="1:16" x14ac:dyDescent="0.25">
      <c r="A28" t="s">
        <v>20</v>
      </c>
      <c r="B28" t="s">
        <v>32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J28">
        <f t="shared" si="3"/>
        <v>-1</v>
      </c>
      <c r="P28">
        <v>145.37</v>
      </c>
    </row>
    <row r="29" spans="1:16" x14ac:dyDescent="0.25">
      <c r="A29" t="s">
        <v>20</v>
      </c>
      <c r="B29" t="s">
        <v>70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23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29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33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20</v>
      </c>
      <c r="B33" t="s">
        <v>43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20</v>
      </c>
      <c r="B34" t="s">
        <v>34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20</v>
      </c>
      <c r="B35" t="s">
        <v>38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44</v>
      </c>
      <c r="B36" t="s">
        <v>45</v>
      </c>
      <c r="C36" s="9">
        <v>34370</v>
      </c>
      <c r="D36" s="9"/>
      <c r="E36" s="9"/>
      <c r="F36" s="9">
        <v>260</v>
      </c>
      <c r="G36" s="9">
        <f t="shared" si="0"/>
        <v>34630</v>
      </c>
      <c r="H36">
        <f t="shared" si="1"/>
        <v>77.819999999999993</v>
      </c>
      <c r="I36" s="10">
        <f t="shared" si="2"/>
        <v>0.19600000000000001</v>
      </c>
      <c r="J36">
        <f>ROUND(G36/P36-1,2)</f>
        <v>7.0000000000000007E-2</v>
      </c>
      <c r="P36">
        <v>32305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>
        <v>10690</v>
      </c>
      <c r="G37" s="9">
        <f t="shared" si="0"/>
        <v>10690</v>
      </c>
      <c r="H37">
        <f t="shared" si="1"/>
        <v>24.02</v>
      </c>
      <c r="I37" s="10">
        <f t="shared" si="2"/>
        <v>0.06</v>
      </c>
      <c r="J37">
        <f>ROUND(G37/P37-1,2)</f>
        <v>-0.6</v>
      </c>
      <c r="P37">
        <v>27000</v>
      </c>
    </row>
    <row r="38" spans="1:16" x14ac:dyDescent="0.25">
      <c r="A38" t="s">
        <v>44</v>
      </c>
      <c r="B38" t="s">
        <v>46</v>
      </c>
      <c r="C38" s="9"/>
      <c r="D38" s="9"/>
      <c r="E38" s="9">
        <v>12502.34</v>
      </c>
      <c r="F38" s="9"/>
      <c r="G38" s="9">
        <f t="shared" si="0"/>
        <v>12502.34</v>
      </c>
      <c r="H38">
        <f t="shared" si="1"/>
        <v>28.1</v>
      </c>
      <c r="I38" s="10">
        <f t="shared" si="2"/>
        <v>7.0999999999999994E-2</v>
      </c>
      <c r="J38">
        <f>ROUND(G38/P38-1,2)</f>
        <v>-0.16</v>
      </c>
      <c r="P38">
        <v>14802.54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SUM(C8:C38)</f>
        <v>96735</v>
      </c>
      <c r="D49" s="12">
        <f t="shared" si="4"/>
        <v>0</v>
      </c>
      <c r="E49" s="12">
        <f t="shared" si="4"/>
        <v>68743.13</v>
      </c>
      <c r="F49" s="12">
        <f t="shared" si="4"/>
        <v>11444</v>
      </c>
      <c r="G49" s="12">
        <f t="shared" si="4"/>
        <v>176922.12999999998</v>
      </c>
      <c r="H49" s="11">
        <f t="shared" si="4"/>
        <v>397.59999999999997</v>
      </c>
      <c r="I49" s="4"/>
    </row>
    <row r="50" spans="1:10" x14ac:dyDescent="0.25">
      <c r="A50" s="11" t="s">
        <v>14</v>
      </c>
      <c r="C50" s="13">
        <f>ROUND(C49/G49,2)</f>
        <v>0.55000000000000004</v>
      </c>
      <c r="D50" s="13">
        <f>ROUND(D49/G49,2)</f>
        <v>0</v>
      </c>
      <c r="E50" s="13">
        <f>ROUND(E49/G49,2)</f>
        <v>0.39</v>
      </c>
      <c r="F50" s="13">
        <f>ROUND(F49/G49,2)</f>
        <v>0.06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62365</v>
      </c>
      <c r="D54" s="15">
        <v>0</v>
      </c>
      <c r="E54" s="15">
        <v>56240.79</v>
      </c>
      <c r="F54" s="15">
        <v>0</v>
      </c>
      <c r="G54" s="15">
        <f>SUM(C54:F54)</f>
        <v>118605.79000000001</v>
      </c>
      <c r="H54" s="17">
        <f>ROUND(G54/445,2)</f>
        <v>266.52999999999997</v>
      </c>
      <c r="I54" s="4"/>
      <c r="J54" s="4"/>
    </row>
    <row r="55" spans="1:10" x14ac:dyDescent="0.25">
      <c r="A55" s="33" t="s">
        <v>50</v>
      </c>
      <c r="B55" s="33"/>
      <c r="C55" s="15">
        <v>34370</v>
      </c>
      <c r="D55" s="15">
        <v>0</v>
      </c>
      <c r="E55" s="15">
        <v>12502.34</v>
      </c>
      <c r="F55" s="15">
        <v>10950</v>
      </c>
      <c r="G55" s="15">
        <f>SUM(C55:F55)</f>
        <v>57822.34</v>
      </c>
      <c r="H55" s="17">
        <f>ROUND(G55/445,2)</f>
        <v>129.94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494</v>
      </c>
      <c r="G56" s="15">
        <f>SUM(C56:F56)</f>
        <v>494</v>
      </c>
      <c r="H56" s="17">
        <f>ROUND(G56/445,2)</f>
        <v>1.1100000000000001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ROUND(0.7276, 4)</f>
        <v>0.72760000000000002</v>
      </c>
      <c r="D60" s="19">
        <f>ROUND(0.7745, 4)</f>
        <v>0.77449999999999997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ROUND(0.6912, 4)</f>
        <v>0.69120000000000004</v>
      </c>
      <c r="D61" s="19">
        <f>ROUND(0.7371, 4)</f>
        <v>0.73709999999999998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207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77.819999999999993</v>
      </c>
      <c r="D64" s="17">
        <v>69.36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38.090000000000003</v>
      </c>
      <c r="D65" s="17">
        <v>39.159999999999997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266.52999999999997</v>
      </c>
      <c r="D66" s="17">
        <v>245.97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129.94</v>
      </c>
      <c r="D67" s="17">
        <v>132.47999999999999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P68"/>
  <sheetViews>
    <sheetView topLeftCell="A42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34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208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4657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200</v>
      </c>
      <c r="G9" s="9">
        <f t="shared" ref="G9:G43" si="0">SUM(C9:F9)</f>
        <v>200</v>
      </c>
      <c r="H9">
        <f t="shared" ref="H9:H43" si="1">ROUND(G9/4657,2)</f>
        <v>0.04</v>
      </c>
      <c r="I9" s="10">
        <f t="shared" ref="I9:I43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160</v>
      </c>
      <c r="G10" s="9">
        <f t="shared" si="0"/>
        <v>160</v>
      </c>
      <c r="H10">
        <f t="shared" si="1"/>
        <v>0.03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45</v>
      </c>
      <c r="F13" s="9"/>
      <c r="G13" s="9">
        <f t="shared" si="0"/>
        <v>45</v>
      </c>
      <c r="H13">
        <f t="shared" si="1"/>
        <v>0.01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21</v>
      </c>
      <c r="C14" s="9">
        <v>157040</v>
      </c>
      <c r="D14" s="9"/>
      <c r="E14" s="9">
        <v>4285</v>
      </c>
      <c r="F14" s="9"/>
      <c r="G14" s="9">
        <f t="shared" si="0"/>
        <v>161325</v>
      </c>
      <c r="H14">
        <f t="shared" si="1"/>
        <v>34.64</v>
      </c>
      <c r="I14" s="10">
        <f t="shared" si="2"/>
        <v>9.1999999999999998E-2</v>
      </c>
      <c r="J14">
        <f>ROUND(G14/P14-1,2)</f>
        <v>0.09</v>
      </c>
      <c r="P14">
        <v>147665</v>
      </c>
    </row>
    <row r="15" spans="1:16" x14ac:dyDescent="0.25">
      <c r="A15" t="s">
        <v>20</v>
      </c>
      <c r="B15" t="s">
        <v>22</v>
      </c>
      <c r="C15" s="9">
        <v>187900</v>
      </c>
      <c r="D15" s="9"/>
      <c r="E15" s="9"/>
      <c r="F15" s="9"/>
      <c r="G15" s="9">
        <f t="shared" si="0"/>
        <v>187900</v>
      </c>
      <c r="H15">
        <f t="shared" si="1"/>
        <v>40.35</v>
      </c>
      <c r="I15" s="10">
        <f t="shared" si="2"/>
        <v>0.107</v>
      </c>
      <c r="J15">
        <f>ROUND(G15/P15-1,2)</f>
        <v>-0.09</v>
      </c>
      <c r="P15">
        <v>205420</v>
      </c>
    </row>
    <row r="16" spans="1:16" x14ac:dyDescent="0.25">
      <c r="A16" t="s">
        <v>20</v>
      </c>
      <c r="B16" t="s">
        <v>79</v>
      </c>
      <c r="C16" s="9"/>
      <c r="D16" s="9"/>
      <c r="E16" s="9">
        <v>63</v>
      </c>
      <c r="F16" s="9"/>
      <c r="G16" s="9">
        <f t="shared" si="0"/>
        <v>63</v>
      </c>
      <c r="H16">
        <f t="shared" si="1"/>
        <v>0.01</v>
      </c>
      <c r="I16" s="10">
        <f t="shared" si="2"/>
        <v>0</v>
      </c>
      <c r="J16">
        <f>ROUND(G16/P16-1,2)</f>
        <v>-0.05</v>
      </c>
      <c r="P16">
        <v>66</v>
      </c>
    </row>
    <row r="17" spans="1:16" x14ac:dyDescent="0.25">
      <c r="A17" t="s">
        <v>20</v>
      </c>
      <c r="B17" t="s">
        <v>42</v>
      </c>
      <c r="C17" s="9"/>
      <c r="D17" s="9"/>
      <c r="E17" s="9">
        <v>173</v>
      </c>
      <c r="F17" s="9"/>
      <c r="G17" s="9">
        <f t="shared" si="0"/>
        <v>173</v>
      </c>
      <c r="H17">
        <f t="shared" si="1"/>
        <v>0.04</v>
      </c>
      <c r="I17" s="10">
        <f t="shared" si="2"/>
        <v>0</v>
      </c>
      <c r="J17">
        <f>ROUND(G17/P17-1,2)</f>
        <v>0.02</v>
      </c>
      <c r="P17">
        <v>169</v>
      </c>
    </row>
    <row r="18" spans="1:16" x14ac:dyDescent="0.25">
      <c r="A18" t="s">
        <v>20</v>
      </c>
      <c r="B18" t="s">
        <v>23</v>
      </c>
      <c r="C18" s="9"/>
      <c r="D18" s="9"/>
      <c r="E18" s="9">
        <v>1600</v>
      </c>
      <c r="F18" s="9"/>
      <c r="G18" s="9">
        <f t="shared" si="0"/>
        <v>1600</v>
      </c>
      <c r="H18">
        <f t="shared" si="1"/>
        <v>0.34</v>
      </c>
      <c r="I18" s="10">
        <f t="shared" si="2"/>
        <v>1E-3</v>
      </c>
      <c r="J18">
        <f>ROUND(G18/P18-1,2)</f>
        <v>-0.62</v>
      </c>
      <c r="P18">
        <v>4190</v>
      </c>
    </row>
    <row r="19" spans="1:16" x14ac:dyDescent="0.25">
      <c r="A19" t="s">
        <v>20</v>
      </c>
      <c r="B19" t="s">
        <v>80</v>
      </c>
      <c r="C19" s="9"/>
      <c r="D19" s="9"/>
      <c r="E19" s="9"/>
      <c r="F19" s="9">
        <v>400</v>
      </c>
      <c r="G19" s="9">
        <f t="shared" si="0"/>
        <v>400</v>
      </c>
      <c r="H19">
        <f t="shared" si="1"/>
        <v>0.09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50760</v>
      </c>
      <c r="F20" s="9"/>
      <c r="G20" s="9">
        <f t="shared" si="0"/>
        <v>50760</v>
      </c>
      <c r="H20">
        <f t="shared" si="1"/>
        <v>10.9</v>
      </c>
      <c r="I20" s="10">
        <f t="shared" si="2"/>
        <v>2.9000000000000001E-2</v>
      </c>
      <c r="J20">
        <f t="shared" ref="J20:J43" si="3">ROUND(G20/P20-1,2)</f>
        <v>-0.35</v>
      </c>
      <c r="P20">
        <v>78660</v>
      </c>
    </row>
    <row r="21" spans="1:16" x14ac:dyDescent="0.25">
      <c r="A21" t="s">
        <v>20</v>
      </c>
      <c r="B21" t="s">
        <v>25</v>
      </c>
      <c r="C21" s="9">
        <v>233680</v>
      </c>
      <c r="D21" s="9"/>
      <c r="E21" s="9">
        <v>7710</v>
      </c>
      <c r="F21" s="9"/>
      <c r="G21" s="9">
        <f t="shared" si="0"/>
        <v>241390</v>
      </c>
      <c r="H21">
        <f t="shared" si="1"/>
        <v>51.83</v>
      </c>
      <c r="I21" s="10">
        <f t="shared" si="2"/>
        <v>0.13800000000000001</v>
      </c>
      <c r="J21">
        <f t="shared" si="3"/>
        <v>0.04</v>
      </c>
      <c r="P21">
        <v>231660</v>
      </c>
    </row>
    <row r="22" spans="1:16" x14ac:dyDescent="0.25">
      <c r="A22" t="s">
        <v>20</v>
      </c>
      <c r="B22" t="s">
        <v>69</v>
      </c>
      <c r="C22" s="9"/>
      <c r="D22" s="9"/>
      <c r="E22" s="9">
        <v>7055</v>
      </c>
      <c r="F22" s="9"/>
      <c r="G22" s="9">
        <f t="shared" si="0"/>
        <v>7055</v>
      </c>
      <c r="H22">
        <f t="shared" si="1"/>
        <v>1.51</v>
      </c>
      <c r="I22" s="10">
        <f t="shared" si="2"/>
        <v>4.0000000000000001E-3</v>
      </c>
      <c r="J22">
        <f t="shared" si="3"/>
        <v>-0.17</v>
      </c>
      <c r="P22">
        <v>8460</v>
      </c>
    </row>
    <row r="23" spans="1:16" x14ac:dyDescent="0.25">
      <c r="A23" t="s">
        <v>20</v>
      </c>
      <c r="B23" t="s">
        <v>26</v>
      </c>
      <c r="C23" s="9">
        <v>305100</v>
      </c>
      <c r="D23" s="9"/>
      <c r="E23" s="9"/>
      <c r="F23" s="9">
        <v>1310</v>
      </c>
      <c r="G23" s="9">
        <f t="shared" si="0"/>
        <v>306410</v>
      </c>
      <c r="H23">
        <f t="shared" si="1"/>
        <v>65.8</v>
      </c>
      <c r="I23" s="10">
        <f t="shared" si="2"/>
        <v>0.17499999999999999</v>
      </c>
      <c r="J23">
        <f t="shared" si="3"/>
        <v>0.05</v>
      </c>
      <c r="P23">
        <v>291050</v>
      </c>
    </row>
    <row r="24" spans="1:16" x14ac:dyDescent="0.25">
      <c r="A24" t="s">
        <v>20</v>
      </c>
      <c r="B24" t="s">
        <v>27</v>
      </c>
      <c r="C24" s="9"/>
      <c r="D24" s="9"/>
      <c r="E24" s="9">
        <v>3842</v>
      </c>
      <c r="F24" s="9"/>
      <c r="G24" s="9">
        <f t="shared" si="0"/>
        <v>3842</v>
      </c>
      <c r="H24">
        <f t="shared" si="1"/>
        <v>0.82</v>
      </c>
      <c r="I24" s="10">
        <f t="shared" si="2"/>
        <v>2E-3</v>
      </c>
      <c r="J24">
        <f t="shared" si="3"/>
        <v>-0.35</v>
      </c>
      <c r="P24">
        <v>5932</v>
      </c>
    </row>
    <row r="25" spans="1:16" x14ac:dyDescent="0.25">
      <c r="A25" t="s">
        <v>20</v>
      </c>
      <c r="B25" t="s">
        <v>28</v>
      </c>
      <c r="C25" s="9"/>
      <c r="D25" s="9"/>
      <c r="E25" s="9">
        <v>535</v>
      </c>
      <c r="F25" s="9"/>
      <c r="G25" s="9">
        <f t="shared" si="0"/>
        <v>535</v>
      </c>
      <c r="H25">
        <f t="shared" si="1"/>
        <v>0.11</v>
      </c>
      <c r="I25" s="10">
        <f t="shared" si="2"/>
        <v>0</v>
      </c>
      <c r="J25">
        <f t="shared" si="3"/>
        <v>3.12</v>
      </c>
      <c r="P25">
        <v>130</v>
      </c>
    </row>
    <row r="26" spans="1:16" x14ac:dyDescent="0.25">
      <c r="A26" t="s">
        <v>20</v>
      </c>
      <c r="B26" t="s">
        <v>29</v>
      </c>
      <c r="C26" s="9"/>
      <c r="D26" s="9"/>
      <c r="E26" s="9">
        <v>143</v>
      </c>
      <c r="F26" s="9"/>
      <c r="G26" s="9">
        <f t="shared" si="0"/>
        <v>143</v>
      </c>
      <c r="H26">
        <f t="shared" si="1"/>
        <v>0.03</v>
      </c>
      <c r="I26" s="10">
        <f t="shared" si="2"/>
        <v>0</v>
      </c>
      <c r="J26">
        <f t="shared" si="3"/>
        <v>7.0000000000000007E-2</v>
      </c>
      <c r="P26">
        <v>134</v>
      </c>
    </row>
    <row r="27" spans="1:16" x14ac:dyDescent="0.25">
      <c r="A27" t="s">
        <v>20</v>
      </c>
      <c r="B27" t="s">
        <v>30</v>
      </c>
      <c r="C27" s="9"/>
      <c r="D27" s="9"/>
      <c r="E27" s="9">
        <v>5770</v>
      </c>
      <c r="F27" s="9"/>
      <c r="G27" s="9">
        <f t="shared" si="0"/>
        <v>5770</v>
      </c>
      <c r="H27">
        <f t="shared" si="1"/>
        <v>1.24</v>
      </c>
      <c r="I27" s="10">
        <f t="shared" si="2"/>
        <v>3.0000000000000001E-3</v>
      </c>
      <c r="J27">
        <f t="shared" si="3"/>
        <v>2.0699999999999998</v>
      </c>
      <c r="P27">
        <v>1880</v>
      </c>
    </row>
    <row r="28" spans="1:16" x14ac:dyDescent="0.25">
      <c r="A28" t="s">
        <v>20</v>
      </c>
      <c r="B28" t="s">
        <v>31</v>
      </c>
      <c r="C28" s="9"/>
      <c r="D28" s="9"/>
      <c r="E28" s="9">
        <v>1120</v>
      </c>
      <c r="F28" s="9"/>
      <c r="G28" s="9">
        <f t="shared" si="0"/>
        <v>1120</v>
      </c>
      <c r="H28">
        <f t="shared" si="1"/>
        <v>0.24</v>
      </c>
      <c r="I28" s="10">
        <f t="shared" si="2"/>
        <v>1E-3</v>
      </c>
      <c r="J28">
        <f t="shared" si="3"/>
        <v>-0.19</v>
      </c>
      <c r="P28">
        <v>1390</v>
      </c>
    </row>
    <row r="29" spans="1:16" x14ac:dyDescent="0.25">
      <c r="A29" t="s">
        <v>20</v>
      </c>
      <c r="B29" t="s">
        <v>32</v>
      </c>
      <c r="C29" s="9"/>
      <c r="D29" s="9"/>
      <c r="E29" s="9">
        <v>440</v>
      </c>
      <c r="F29" s="9"/>
      <c r="G29" s="9">
        <f t="shared" si="0"/>
        <v>440</v>
      </c>
      <c r="H29">
        <f t="shared" si="1"/>
        <v>0.09</v>
      </c>
      <c r="I29" s="10">
        <f t="shared" si="2"/>
        <v>0</v>
      </c>
      <c r="J29">
        <f t="shared" si="3"/>
        <v>-0.27</v>
      </c>
      <c r="P29">
        <v>600</v>
      </c>
    </row>
    <row r="30" spans="1:16" x14ac:dyDescent="0.25">
      <c r="A30" t="s">
        <v>20</v>
      </c>
      <c r="B30" t="s">
        <v>33</v>
      </c>
      <c r="C30" s="9"/>
      <c r="D30" s="9"/>
      <c r="E30" s="9">
        <v>2210</v>
      </c>
      <c r="F30" s="9"/>
      <c r="G30" s="9">
        <f t="shared" si="0"/>
        <v>2210</v>
      </c>
      <c r="H30">
        <f t="shared" si="1"/>
        <v>0.47</v>
      </c>
      <c r="I30" s="10">
        <f t="shared" si="2"/>
        <v>1E-3</v>
      </c>
      <c r="J30">
        <f t="shared" si="3"/>
        <v>0.17</v>
      </c>
      <c r="P30">
        <v>1890</v>
      </c>
    </row>
    <row r="31" spans="1:16" x14ac:dyDescent="0.25">
      <c r="A31" t="s">
        <v>20</v>
      </c>
      <c r="B31" t="s">
        <v>43</v>
      </c>
      <c r="C31" s="9"/>
      <c r="D31" s="9">
        <v>508</v>
      </c>
      <c r="E31" s="9"/>
      <c r="F31" s="9"/>
      <c r="G31" s="9">
        <f t="shared" si="0"/>
        <v>508</v>
      </c>
      <c r="H31">
        <f t="shared" si="1"/>
        <v>0.11</v>
      </c>
      <c r="I31" s="10">
        <f t="shared" si="2"/>
        <v>0</v>
      </c>
      <c r="J31">
        <f t="shared" si="3"/>
        <v>-0.12</v>
      </c>
      <c r="P31">
        <v>578</v>
      </c>
    </row>
    <row r="32" spans="1:16" x14ac:dyDescent="0.25">
      <c r="A32" t="s">
        <v>20</v>
      </c>
      <c r="B32" t="s">
        <v>70</v>
      </c>
      <c r="C32" s="9"/>
      <c r="D32" s="9"/>
      <c r="E32" s="9">
        <v>2110</v>
      </c>
      <c r="F32" s="9"/>
      <c r="G32" s="9">
        <f t="shared" si="0"/>
        <v>2110</v>
      </c>
      <c r="H32">
        <f t="shared" si="1"/>
        <v>0.45</v>
      </c>
      <c r="I32" s="10">
        <f t="shared" si="2"/>
        <v>1E-3</v>
      </c>
      <c r="J32">
        <f t="shared" si="3"/>
        <v>-0.41</v>
      </c>
      <c r="P32">
        <v>3570</v>
      </c>
    </row>
    <row r="33" spans="1:16" x14ac:dyDescent="0.25">
      <c r="A33" t="s">
        <v>20</v>
      </c>
      <c r="B33" t="s">
        <v>34</v>
      </c>
      <c r="C33" s="9"/>
      <c r="D33" s="9"/>
      <c r="E33" s="9">
        <v>728</v>
      </c>
      <c r="F33" s="9"/>
      <c r="G33" s="9">
        <f t="shared" si="0"/>
        <v>728</v>
      </c>
      <c r="H33">
        <f t="shared" si="1"/>
        <v>0.16</v>
      </c>
      <c r="I33" s="10">
        <f t="shared" si="2"/>
        <v>0</v>
      </c>
      <c r="J33">
        <f t="shared" si="3"/>
        <v>0.5</v>
      </c>
      <c r="P33">
        <v>486</v>
      </c>
    </row>
    <row r="34" spans="1:16" x14ac:dyDescent="0.25">
      <c r="A34" t="s">
        <v>20</v>
      </c>
      <c r="B34" t="s">
        <v>35</v>
      </c>
      <c r="C34" s="9"/>
      <c r="D34" s="9"/>
      <c r="E34" s="9">
        <v>3780</v>
      </c>
      <c r="F34" s="9"/>
      <c r="G34" s="9">
        <f t="shared" si="0"/>
        <v>3780</v>
      </c>
      <c r="H34">
        <f t="shared" si="1"/>
        <v>0.81</v>
      </c>
      <c r="I34" s="10">
        <f t="shared" si="2"/>
        <v>2E-3</v>
      </c>
      <c r="J34">
        <f t="shared" si="3"/>
        <v>0.82</v>
      </c>
      <c r="P34">
        <v>2074</v>
      </c>
    </row>
    <row r="35" spans="1:16" x14ac:dyDescent="0.25">
      <c r="A35" t="s">
        <v>20</v>
      </c>
      <c r="B35" t="s">
        <v>36</v>
      </c>
      <c r="C35" s="9"/>
      <c r="D35" s="9"/>
      <c r="E35" s="9">
        <v>3728</v>
      </c>
      <c r="F35" s="9"/>
      <c r="G35" s="9">
        <f t="shared" si="0"/>
        <v>3728</v>
      </c>
      <c r="H35">
        <f t="shared" si="1"/>
        <v>0.8</v>
      </c>
      <c r="I35" s="10">
        <f t="shared" si="2"/>
        <v>2E-3</v>
      </c>
      <c r="J35">
        <f t="shared" si="3"/>
        <v>-0.56000000000000005</v>
      </c>
      <c r="P35">
        <v>8460</v>
      </c>
    </row>
    <row r="36" spans="1:16" x14ac:dyDescent="0.25">
      <c r="A36" t="s">
        <v>20</v>
      </c>
      <c r="B36" t="s">
        <v>41</v>
      </c>
      <c r="C36" s="9"/>
      <c r="D36" s="9"/>
      <c r="E36" s="9">
        <v>6699</v>
      </c>
      <c r="F36" s="9"/>
      <c r="G36" s="9">
        <f t="shared" si="0"/>
        <v>6699</v>
      </c>
      <c r="H36">
        <f t="shared" si="1"/>
        <v>1.44</v>
      </c>
      <c r="I36" s="10">
        <f t="shared" si="2"/>
        <v>4.0000000000000001E-3</v>
      </c>
      <c r="J36">
        <f t="shared" si="3"/>
        <v>-0.28000000000000003</v>
      </c>
      <c r="P36">
        <v>9339</v>
      </c>
    </row>
    <row r="37" spans="1:16" x14ac:dyDescent="0.25">
      <c r="A37" t="s">
        <v>20</v>
      </c>
      <c r="B37" t="s">
        <v>37</v>
      </c>
      <c r="C37" s="9"/>
      <c r="D37" s="9"/>
      <c r="E37" s="9">
        <v>86730</v>
      </c>
      <c r="F37" s="9">
        <v>35</v>
      </c>
      <c r="G37" s="9">
        <f t="shared" si="0"/>
        <v>86765</v>
      </c>
      <c r="H37">
        <f t="shared" si="1"/>
        <v>18.63</v>
      </c>
      <c r="I37" s="10">
        <f t="shared" si="2"/>
        <v>0.05</v>
      </c>
      <c r="J37">
        <f t="shared" si="3"/>
        <v>-0.2</v>
      </c>
      <c r="P37">
        <v>108500</v>
      </c>
    </row>
    <row r="38" spans="1:16" x14ac:dyDescent="0.25">
      <c r="A38" t="s">
        <v>20</v>
      </c>
      <c r="B38" t="s">
        <v>38</v>
      </c>
      <c r="C38" s="9"/>
      <c r="D38" s="9"/>
      <c r="E38" s="9">
        <v>8570</v>
      </c>
      <c r="F38" s="9"/>
      <c r="G38" s="9">
        <f t="shared" si="0"/>
        <v>8570</v>
      </c>
      <c r="H38">
        <f t="shared" si="1"/>
        <v>1.84</v>
      </c>
      <c r="I38" s="10">
        <f t="shared" si="2"/>
        <v>5.0000000000000001E-3</v>
      </c>
      <c r="J38">
        <f t="shared" si="3"/>
        <v>0.03</v>
      </c>
      <c r="P38">
        <v>8290</v>
      </c>
    </row>
    <row r="39" spans="1:16" x14ac:dyDescent="0.25">
      <c r="A39" t="s">
        <v>20</v>
      </c>
      <c r="B39" t="s">
        <v>39</v>
      </c>
      <c r="C39" s="9"/>
      <c r="D39" s="9"/>
      <c r="E39" s="9">
        <v>26130</v>
      </c>
      <c r="F39" s="9"/>
      <c r="G39" s="9">
        <f t="shared" si="0"/>
        <v>26130</v>
      </c>
      <c r="H39">
        <f t="shared" si="1"/>
        <v>5.61</v>
      </c>
      <c r="I39" s="10">
        <f t="shared" si="2"/>
        <v>1.4999999999999999E-2</v>
      </c>
      <c r="J39">
        <f t="shared" si="3"/>
        <v>-0.09</v>
      </c>
      <c r="P39">
        <v>28850</v>
      </c>
    </row>
    <row r="40" spans="1:16" x14ac:dyDescent="0.25">
      <c r="A40" t="s">
        <v>20</v>
      </c>
      <c r="B40" t="s">
        <v>40</v>
      </c>
      <c r="C40" s="9"/>
      <c r="D40" s="9"/>
      <c r="E40" s="9">
        <v>234130</v>
      </c>
      <c r="F40" s="9"/>
      <c r="G40" s="9">
        <f t="shared" si="0"/>
        <v>234130</v>
      </c>
      <c r="H40">
        <f t="shared" si="1"/>
        <v>50.27</v>
      </c>
      <c r="I40" s="10">
        <f t="shared" si="2"/>
        <v>0.13400000000000001</v>
      </c>
      <c r="J40">
        <f t="shared" si="3"/>
        <v>-0.28000000000000003</v>
      </c>
      <c r="P40">
        <v>326270</v>
      </c>
    </row>
    <row r="41" spans="1:16" x14ac:dyDescent="0.25">
      <c r="A41" t="s">
        <v>44</v>
      </c>
      <c r="B41" t="s">
        <v>45</v>
      </c>
      <c r="C41" s="9">
        <v>260860</v>
      </c>
      <c r="D41" s="9"/>
      <c r="E41" s="9"/>
      <c r="F41" s="9">
        <v>100</v>
      </c>
      <c r="G41" s="9">
        <f t="shared" si="0"/>
        <v>260960</v>
      </c>
      <c r="H41">
        <f t="shared" si="1"/>
        <v>56.04</v>
      </c>
      <c r="I41" s="10">
        <f t="shared" si="2"/>
        <v>0.14899999999999999</v>
      </c>
      <c r="J41">
        <f t="shared" si="3"/>
        <v>-0.39</v>
      </c>
      <c r="P41">
        <v>430120</v>
      </c>
    </row>
    <row r="42" spans="1:16" x14ac:dyDescent="0.25">
      <c r="A42" t="s">
        <v>44</v>
      </c>
      <c r="B42" t="s">
        <v>47</v>
      </c>
      <c r="C42" s="9"/>
      <c r="D42" s="9"/>
      <c r="E42" s="9"/>
      <c r="F42" s="9">
        <v>79940</v>
      </c>
      <c r="G42" s="9">
        <f t="shared" si="0"/>
        <v>79940</v>
      </c>
      <c r="H42">
        <f t="shared" si="1"/>
        <v>17.170000000000002</v>
      </c>
      <c r="I42" s="10">
        <f t="shared" si="2"/>
        <v>4.5999999999999999E-2</v>
      </c>
      <c r="J42">
        <f t="shared" si="3"/>
        <v>1.1200000000000001</v>
      </c>
      <c r="P42">
        <v>37760</v>
      </c>
    </row>
    <row r="43" spans="1:16" x14ac:dyDescent="0.25">
      <c r="A43" t="s">
        <v>44</v>
      </c>
      <c r="B43" t="s">
        <v>46</v>
      </c>
      <c r="C43" s="9"/>
      <c r="D43" s="9"/>
      <c r="E43" s="9">
        <v>64840</v>
      </c>
      <c r="F43" s="9"/>
      <c r="G43" s="9">
        <f t="shared" si="0"/>
        <v>64840</v>
      </c>
      <c r="H43">
        <f t="shared" si="1"/>
        <v>13.92</v>
      </c>
      <c r="I43" s="10">
        <f t="shared" si="2"/>
        <v>3.6999999999999998E-2</v>
      </c>
      <c r="J43">
        <f t="shared" si="3"/>
        <v>-0.24</v>
      </c>
      <c r="P43">
        <v>84950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SUM(C8:C43)</f>
        <v>1144580</v>
      </c>
      <c r="D49" s="12">
        <f t="shared" si="4"/>
        <v>508</v>
      </c>
      <c r="E49" s="12">
        <f t="shared" si="4"/>
        <v>523196</v>
      </c>
      <c r="F49" s="12">
        <f t="shared" si="4"/>
        <v>82145</v>
      </c>
      <c r="G49" s="12">
        <f t="shared" si="4"/>
        <v>1750429</v>
      </c>
      <c r="H49" s="11">
        <f t="shared" si="4"/>
        <v>375.84000000000015</v>
      </c>
      <c r="I49" s="4"/>
    </row>
    <row r="50" spans="1:10" x14ac:dyDescent="0.25">
      <c r="A50" s="11" t="s">
        <v>14</v>
      </c>
      <c r="C50" s="13">
        <f>ROUND(C49/G49,2)</f>
        <v>0.65</v>
      </c>
      <c r="D50" s="13">
        <f>ROUND(D49/G49,2)</f>
        <v>0</v>
      </c>
      <c r="E50" s="13">
        <f>ROUND(E49/G49,2)</f>
        <v>0.3</v>
      </c>
      <c r="F50" s="13">
        <f>ROUND(F49/G49,2)</f>
        <v>0.05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883720</v>
      </c>
      <c r="D54" s="15">
        <v>508</v>
      </c>
      <c r="E54" s="15">
        <v>458356</v>
      </c>
      <c r="F54" s="15">
        <v>1745</v>
      </c>
      <c r="G54" s="15">
        <f>SUM(C54:F54)</f>
        <v>1344329</v>
      </c>
      <c r="H54" s="17">
        <f>ROUND(G54/4657,2)</f>
        <v>288.67</v>
      </c>
      <c r="I54" s="4"/>
      <c r="J54" s="4"/>
    </row>
    <row r="55" spans="1:10" x14ac:dyDescent="0.25">
      <c r="A55" s="33" t="s">
        <v>50</v>
      </c>
      <c r="B55" s="33"/>
      <c r="C55" s="15">
        <v>260860</v>
      </c>
      <c r="D55" s="15">
        <v>0</v>
      </c>
      <c r="E55" s="15">
        <v>64840</v>
      </c>
      <c r="F55" s="15">
        <v>80040</v>
      </c>
      <c r="G55" s="15">
        <f>SUM(C55:F55)</f>
        <v>405740</v>
      </c>
      <c r="H55" s="17">
        <f>ROUND(G55/4657,2)</f>
        <v>87.12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360</v>
      </c>
      <c r="G56" s="15">
        <f>SUM(C56:F56)</f>
        <v>360</v>
      </c>
      <c r="H56" s="17">
        <f>ROUND(G56/4657,2)</f>
        <v>0.08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ROUND(0.8355, 4)</f>
        <v>0.83550000000000002</v>
      </c>
      <c r="D60" s="19">
        <f>ROUND(0.7715, 4)</f>
        <v>0.77149999999999996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ROUND(0.8233, 4)</f>
        <v>0.82330000000000003</v>
      </c>
      <c r="D61" s="19">
        <f>ROUND(0.7617, 4)</f>
        <v>0.76170000000000004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209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56.04</v>
      </c>
      <c r="D64" s="17">
        <v>84.58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65.8</v>
      </c>
      <c r="D65" s="17">
        <v>65.06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288.67</v>
      </c>
      <c r="D66" s="17">
        <v>308.2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87.12</v>
      </c>
      <c r="D67" s="17">
        <v>113.08</v>
      </c>
      <c r="E67" s="17">
        <v>115.16</v>
      </c>
      <c r="F67" s="17">
        <v>80.39</v>
      </c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P67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7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210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6006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635</v>
      </c>
      <c r="G9" s="9">
        <f t="shared" ref="G9:G44" si="0">SUM(C9:F9)</f>
        <v>635</v>
      </c>
      <c r="H9">
        <f t="shared" ref="H9:H44" si="1">ROUND(G9/6006,2)</f>
        <v>0.11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17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201</v>
      </c>
      <c r="F13" s="9"/>
      <c r="G13" s="9">
        <f t="shared" si="0"/>
        <v>201</v>
      </c>
      <c r="H13">
        <f t="shared" si="1"/>
        <v>0.03</v>
      </c>
      <c r="I13" s="10">
        <f t="shared" si="2"/>
        <v>0</v>
      </c>
      <c r="J13">
        <f t="shared" ref="J13:J18" si="3">ROUND(G13/P13-1,2)</f>
        <v>1.01</v>
      </c>
      <c r="P13">
        <v>100</v>
      </c>
    </row>
    <row r="14" spans="1:16" x14ac:dyDescent="0.25">
      <c r="A14" t="s">
        <v>20</v>
      </c>
      <c r="B14" t="s">
        <v>21</v>
      </c>
      <c r="C14" s="9">
        <v>210125</v>
      </c>
      <c r="D14" s="9"/>
      <c r="E14" s="9">
        <v>6010</v>
      </c>
      <c r="F14" s="9">
        <v>5275</v>
      </c>
      <c r="G14" s="9">
        <f t="shared" si="0"/>
        <v>221410</v>
      </c>
      <c r="H14">
        <f t="shared" si="1"/>
        <v>36.86</v>
      </c>
      <c r="I14" s="10">
        <f t="shared" si="2"/>
        <v>9.7000000000000003E-2</v>
      </c>
      <c r="J14">
        <f t="shared" si="3"/>
        <v>0.12</v>
      </c>
      <c r="P14">
        <v>197940</v>
      </c>
    </row>
    <row r="15" spans="1:16" x14ac:dyDescent="0.25">
      <c r="A15" t="s">
        <v>20</v>
      </c>
      <c r="B15" t="s">
        <v>22</v>
      </c>
      <c r="C15" s="9">
        <v>238760</v>
      </c>
      <c r="D15" s="9"/>
      <c r="E15" s="9"/>
      <c r="F15" s="9"/>
      <c r="G15" s="9">
        <f t="shared" si="0"/>
        <v>238760</v>
      </c>
      <c r="H15">
        <f t="shared" si="1"/>
        <v>39.75</v>
      </c>
      <c r="I15" s="10">
        <f t="shared" si="2"/>
        <v>0.104</v>
      </c>
      <c r="J15">
        <f t="shared" si="3"/>
        <v>-7.0000000000000007E-2</v>
      </c>
      <c r="P15">
        <v>257760</v>
      </c>
    </row>
    <row r="16" spans="1:16" x14ac:dyDescent="0.25">
      <c r="A16" t="s">
        <v>20</v>
      </c>
      <c r="B16" t="s">
        <v>79</v>
      </c>
      <c r="C16" s="9"/>
      <c r="D16" s="9"/>
      <c r="E16" s="9">
        <v>211</v>
      </c>
      <c r="F16" s="9"/>
      <c r="G16" s="9">
        <f t="shared" si="0"/>
        <v>211</v>
      </c>
      <c r="H16">
        <f t="shared" si="1"/>
        <v>0.04</v>
      </c>
      <c r="I16" s="10">
        <f t="shared" si="2"/>
        <v>0</v>
      </c>
      <c r="J16">
        <f t="shared" si="3"/>
        <v>0.11</v>
      </c>
      <c r="P16">
        <v>190</v>
      </c>
    </row>
    <row r="17" spans="1:16" x14ac:dyDescent="0.25">
      <c r="A17" t="s">
        <v>20</v>
      </c>
      <c r="B17" t="s">
        <v>42</v>
      </c>
      <c r="C17" s="9"/>
      <c r="D17" s="9"/>
      <c r="E17" s="9">
        <v>323</v>
      </c>
      <c r="F17" s="9"/>
      <c r="G17" s="9">
        <f t="shared" si="0"/>
        <v>323</v>
      </c>
      <c r="H17">
        <f t="shared" si="1"/>
        <v>0.05</v>
      </c>
      <c r="I17" s="10">
        <f t="shared" si="2"/>
        <v>0</v>
      </c>
      <c r="J17">
        <f t="shared" si="3"/>
        <v>0.08</v>
      </c>
      <c r="P17">
        <v>300</v>
      </c>
    </row>
    <row r="18" spans="1:16" x14ac:dyDescent="0.25">
      <c r="A18" t="s">
        <v>20</v>
      </c>
      <c r="B18" t="s">
        <v>23</v>
      </c>
      <c r="C18" s="9"/>
      <c r="D18" s="9"/>
      <c r="E18" s="9">
        <v>5400</v>
      </c>
      <c r="F18" s="9"/>
      <c r="G18" s="9">
        <f t="shared" si="0"/>
        <v>5400</v>
      </c>
      <c r="H18">
        <f t="shared" si="1"/>
        <v>0.9</v>
      </c>
      <c r="I18" s="10">
        <f t="shared" si="2"/>
        <v>2E-3</v>
      </c>
      <c r="J18">
        <f t="shared" si="3"/>
        <v>0.81</v>
      </c>
      <c r="P18">
        <v>2990</v>
      </c>
    </row>
    <row r="19" spans="1:16" x14ac:dyDescent="0.25">
      <c r="A19" t="s">
        <v>20</v>
      </c>
      <c r="B19" t="s">
        <v>80</v>
      </c>
      <c r="C19" s="9"/>
      <c r="D19" s="9"/>
      <c r="E19" s="9"/>
      <c r="F19" s="9">
        <v>380</v>
      </c>
      <c r="G19" s="9">
        <f t="shared" si="0"/>
        <v>380</v>
      </c>
      <c r="H19">
        <f t="shared" si="1"/>
        <v>0.06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57700</v>
      </c>
      <c r="F20" s="9"/>
      <c r="G20" s="9">
        <f t="shared" si="0"/>
        <v>57700</v>
      </c>
      <c r="H20">
        <f t="shared" si="1"/>
        <v>9.61</v>
      </c>
      <c r="I20" s="10">
        <f t="shared" si="2"/>
        <v>2.5000000000000001E-2</v>
      </c>
      <c r="J20">
        <f t="shared" ref="J20:J25" si="4">ROUND(G20/P20-1,2)</f>
        <v>7.0000000000000007E-2</v>
      </c>
      <c r="P20">
        <v>54120</v>
      </c>
    </row>
    <row r="21" spans="1:16" x14ac:dyDescent="0.25">
      <c r="A21" t="s">
        <v>20</v>
      </c>
      <c r="B21" t="s">
        <v>25</v>
      </c>
      <c r="C21" s="9">
        <v>345840</v>
      </c>
      <c r="D21" s="9"/>
      <c r="E21" s="9">
        <v>26190</v>
      </c>
      <c r="F21" s="9">
        <v>10680</v>
      </c>
      <c r="G21" s="9">
        <f t="shared" si="0"/>
        <v>382710</v>
      </c>
      <c r="H21">
        <f t="shared" si="1"/>
        <v>63.72</v>
      </c>
      <c r="I21" s="10">
        <f t="shared" si="2"/>
        <v>0.16700000000000001</v>
      </c>
      <c r="J21">
        <f t="shared" si="4"/>
        <v>0.03</v>
      </c>
      <c r="P21">
        <v>373240</v>
      </c>
    </row>
    <row r="22" spans="1:16" x14ac:dyDescent="0.25">
      <c r="A22" t="s">
        <v>20</v>
      </c>
      <c r="B22" t="s">
        <v>69</v>
      </c>
      <c r="C22" s="9"/>
      <c r="D22" s="9"/>
      <c r="E22" s="9">
        <v>9875</v>
      </c>
      <c r="F22" s="9"/>
      <c r="G22" s="9">
        <f t="shared" si="0"/>
        <v>9875</v>
      </c>
      <c r="H22">
        <f t="shared" si="1"/>
        <v>1.64</v>
      </c>
      <c r="I22" s="10">
        <f t="shared" si="2"/>
        <v>4.0000000000000001E-3</v>
      </c>
      <c r="J22">
        <f t="shared" si="4"/>
        <v>-0.21</v>
      </c>
      <c r="P22">
        <v>12430</v>
      </c>
    </row>
    <row r="23" spans="1:16" x14ac:dyDescent="0.25">
      <c r="A23" t="s">
        <v>20</v>
      </c>
      <c r="B23" t="s">
        <v>26</v>
      </c>
      <c r="C23" s="9">
        <v>422120</v>
      </c>
      <c r="D23" s="9"/>
      <c r="E23" s="9"/>
      <c r="F23" s="9">
        <v>840</v>
      </c>
      <c r="G23" s="9">
        <f t="shared" si="0"/>
        <v>422960</v>
      </c>
      <c r="H23">
        <f t="shared" si="1"/>
        <v>70.42</v>
      </c>
      <c r="I23" s="10">
        <f t="shared" si="2"/>
        <v>0.184</v>
      </c>
      <c r="J23">
        <f t="shared" si="4"/>
        <v>0.15</v>
      </c>
      <c r="P23">
        <v>368460</v>
      </c>
    </row>
    <row r="24" spans="1:16" x14ac:dyDescent="0.25">
      <c r="A24" t="s">
        <v>20</v>
      </c>
      <c r="B24" t="s">
        <v>27</v>
      </c>
      <c r="C24" s="9"/>
      <c r="D24" s="9"/>
      <c r="E24" s="9">
        <v>2866</v>
      </c>
      <c r="F24" s="9"/>
      <c r="G24" s="9">
        <f t="shared" si="0"/>
        <v>2866</v>
      </c>
      <c r="H24">
        <f t="shared" si="1"/>
        <v>0.48</v>
      </c>
      <c r="I24" s="10">
        <f t="shared" si="2"/>
        <v>1E-3</v>
      </c>
      <c r="J24">
        <f t="shared" si="4"/>
        <v>0.23</v>
      </c>
      <c r="P24">
        <v>2325</v>
      </c>
    </row>
    <row r="25" spans="1:16" x14ac:dyDescent="0.25">
      <c r="A25" t="s">
        <v>20</v>
      </c>
      <c r="B25" t="s">
        <v>28</v>
      </c>
      <c r="C25" s="9"/>
      <c r="D25" s="9"/>
      <c r="E25" s="9">
        <v>1845</v>
      </c>
      <c r="F25" s="9"/>
      <c r="G25" s="9">
        <f t="shared" si="0"/>
        <v>1845</v>
      </c>
      <c r="H25">
        <f t="shared" si="1"/>
        <v>0.31</v>
      </c>
      <c r="I25" s="10">
        <f t="shared" si="2"/>
        <v>1E-3</v>
      </c>
      <c r="J25">
        <f t="shared" si="4"/>
        <v>0.91</v>
      </c>
      <c r="P25">
        <v>964</v>
      </c>
    </row>
    <row r="26" spans="1:16" x14ac:dyDescent="0.25">
      <c r="A26" t="s">
        <v>20</v>
      </c>
      <c r="B26" t="s">
        <v>29</v>
      </c>
      <c r="C26" s="9"/>
      <c r="D26" s="9"/>
      <c r="E26" s="9">
        <v>373</v>
      </c>
      <c r="F26" s="9"/>
      <c r="G26" s="9">
        <f t="shared" si="0"/>
        <v>373</v>
      </c>
      <c r="H26">
        <f t="shared" si="1"/>
        <v>0.06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30</v>
      </c>
      <c r="C27" s="9"/>
      <c r="D27" s="9"/>
      <c r="E27" s="9">
        <v>7820</v>
      </c>
      <c r="F27" s="9"/>
      <c r="G27" s="9">
        <f t="shared" si="0"/>
        <v>7820</v>
      </c>
      <c r="H27">
        <f t="shared" si="1"/>
        <v>1.3</v>
      </c>
      <c r="I27" s="10">
        <f t="shared" si="2"/>
        <v>3.0000000000000001E-3</v>
      </c>
      <c r="J27">
        <f t="shared" ref="J27:J40" si="5">ROUND(G27/P27-1,2)</f>
        <v>-0.12</v>
      </c>
      <c r="P27">
        <v>8840</v>
      </c>
    </row>
    <row r="28" spans="1:16" x14ac:dyDescent="0.25">
      <c r="A28" t="s">
        <v>20</v>
      </c>
      <c r="B28" t="s">
        <v>31</v>
      </c>
      <c r="C28" s="9"/>
      <c r="D28" s="9"/>
      <c r="E28" s="9">
        <v>2000</v>
      </c>
      <c r="F28" s="9"/>
      <c r="G28" s="9">
        <f t="shared" si="0"/>
        <v>2000</v>
      </c>
      <c r="H28">
        <f t="shared" si="1"/>
        <v>0.33</v>
      </c>
      <c r="I28" s="10">
        <f t="shared" si="2"/>
        <v>1E-3</v>
      </c>
      <c r="J28">
        <f t="shared" si="5"/>
        <v>0.06</v>
      </c>
      <c r="P28">
        <v>1880</v>
      </c>
    </row>
    <row r="29" spans="1:16" x14ac:dyDescent="0.25">
      <c r="A29" t="s">
        <v>20</v>
      </c>
      <c r="B29" t="s">
        <v>32</v>
      </c>
      <c r="C29" s="9"/>
      <c r="D29" s="9"/>
      <c r="E29" s="9">
        <v>800</v>
      </c>
      <c r="F29" s="9"/>
      <c r="G29" s="9">
        <f t="shared" si="0"/>
        <v>800</v>
      </c>
      <c r="H29">
        <f t="shared" si="1"/>
        <v>0.13</v>
      </c>
      <c r="I29" s="10">
        <f t="shared" si="2"/>
        <v>0</v>
      </c>
      <c r="J29">
        <f t="shared" si="5"/>
        <v>0.38</v>
      </c>
      <c r="P29">
        <v>580</v>
      </c>
    </row>
    <row r="30" spans="1:16" x14ac:dyDescent="0.25">
      <c r="A30" t="s">
        <v>20</v>
      </c>
      <c r="B30" t="s">
        <v>33</v>
      </c>
      <c r="C30" s="9"/>
      <c r="D30" s="9"/>
      <c r="E30" s="9">
        <v>3185</v>
      </c>
      <c r="F30" s="9"/>
      <c r="G30" s="9">
        <f t="shared" si="0"/>
        <v>3185</v>
      </c>
      <c r="H30">
        <f t="shared" si="1"/>
        <v>0.53</v>
      </c>
      <c r="I30" s="10">
        <f t="shared" si="2"/>
        <v>1E-3</v>
      </c>
      <c r="J30">
        <f t="shared" si="5"/>
        <v>0.11</v>
      </c>
      <c r="P30">
        <v>2880</v>
      </c>
    </row>
    <row r="31" spans="1:16" x14ac:dyDescent="0.25">
      <c r="A31" t="s">
        <v>20</v>
      </c>
      <c r="B31" t="s">
        <v>43</v>
      </c>
      <c r="C31" s="9"/>
      <c r="D31" s="9">
        <v>494</v>
      </c>
      <c r="E31" s="9"/>
      <c r="F31" s="9"/>
      <c r="G31" s="9">
        <f t="shared" si="0"/>
        <v>494</v>
      </c>
      <c r="H31">
        <f t="shared" si="1"/>
        <v>0.08</v>
      </c>
      <c r="I31" s="10">
        <f t="shared" si="2"/>
        <v>0</v>
      </c>
      <c r="J31">
        <f t="shared" si="5"/>
        <v>-0.09</v>
      </c>
      <c r="P31">
        <v>545</v>
      </c>
    </row>
    <row r="32" spans="1:16" x14ac:dyDescent="0.25">
      <c r="A32" t="s">
        <v>20</v>
      </c>
      <c r="B32" t="s">
        <v>70</v>
      </c>
      <c r="C32" s="9"/>
      <c r="D32" s="9"/>
      <c r="E32" s="9">
        <v>2050</v>
      </c>
      <c r="F32" s="9"/>
      <c r="G32" s="9">
        <f t="shared" si="0"/>
        <v>2050</v>
      </c>
      <c r="H32">
        <f t="shared" si="1"/>
        <v>0.34</v>
      </c>
      <c r="I32" s="10">
        <f t="shared" si="2"/>
        <v>1E-3</v>
      </c>
      <c r="J32">
        <f t="shared" si="5"/>
        <v>-0.35</v>
      </c>
      <c r="P32">
        <v>3170</v>
      </c>
    </row>
    <row r="33" spans="1:16" x14ac:dyDescent="0.25">
      <c r="A33" t="s">
        <v>20</v>
      </c>
      <c r="B33" t="s">
        <v>34</v>
      </c>
      <c r="C33" s="9"/>
      <c r="D33" s="9"/>
      <c r="E33" s="9">
        <v>569</v>
      </c>
      <c r="F33" s="9"/>
      <c r="G33" s="9">
        <f t="shared" si="0"/>
        <v>569</v>
      </c>
      <c r="H33">
        <f t="shared" si="1"/>
        <v>0.09</v>
      </c>
      <c r="I33" s="10">
        <f t="shared" si="2"/>
        <v>0</v>
      </c>
      <c r="J33">
        <f t="shared" si="5"/>
        <v>-0.1</v>
      </c>
      <c r="P33">
        <v>633</v>
      </c>
    </row>
    <row r="34" spans="1:16" x14ac:dyDescent="0.25">
      <c r="A34" t="s">
        <v>20</v>
      </c>
      <c r="B34" t="s">
        <v>35</v>
      </c>
      <c r="C34" s="9"/>
      <c r="D34" s="9"/>
      <c r="E34" s="9">
        <v>4972</v>
      </c>
      <c r="F34" s="9"/>
      <c r="G34" s="9">
        <f t="shared" si="0"/>
        <v>4972</v>
      </c>
      <c r="H34">
        <f t="shared" si="1"/>
        <v>0.83</v>
      </c>
      <c r="I34" s="10">
        <f t="shared" si="2"/>
        <v>2E-3</v>
      </c>
      <c r="J34">
        <f t="shared" si="5"/>
        <v>-0.13</v>
      </c>
      <c r="P34">
        <v>5697</v>
      </c>
    </row>
    <row r="35" spans="1:16" x14ac:dyDescent="0.25">
      <c r="A35" t="s">
        <v>20</v>
      </c>
      <c r="B35" t="s">
        <v>41</v>
      </c>
      <c r="C35" s="9"/>
      <c r="D35" s="9"/>
      <c r="E35" s="9">
        <v>17845</v>
      </c>
      <c r="F35" s="9"/>
      <c r="G35" s="9">
        <f t="shared" si="0"/>
        <v>17845</v>
      </c>
      <c r="H35">
        <f t="shared" si="1"/>
        <v>2.97</v>
      </c>
      <c r="I35" s="10">
        <f t="shared" si="2"/>
        <v>8.0000000000000002E-3</v>
      </c>
      <c r="J35">
        <f t="shared" si="5"/>
        <v>-0.05</v>
      </c>
      <c r="P35">
        <v>18766</v>
      </c>
    </row>
    <row r="36" spans="1:16" x14ac:dyDescent="0.25">
      <c r="A36" t="s">
        <v>20</v>
      </c>
      <c r="B36" t="s">
        <v>36</v>
      </c>
      <c r="C36" s="9"/>
      <c r="D36" s="9"/>
      <c r="E36" s="9">
        <v>6320</v>
      </c>
      <c r="F36" s="9"/>
      <c r="G36" s="9">
        <f t="shared" si="0"/>
        <v>6320</v>
      </c>
      <c r="H36">
        <f t="shared" si="1"/>
        <v>1.05</v>
      </c>
      <c r="I36" s="10">
        <f t="shared" si="2"/>
        <v>3.0000000000000001E-3</v>
      </c>
      <c r="J36">
        <f t="shared" si="5"/>
        <v>-0.56000000000000005</v>
      </c>
      <c r="P36">
        <v>14360</v>
      </c>
    </row>
    <row r="37" spans="1:16" x14ac:dyDescent="0.25">
      <c r="A37" t="s">
        <v>20</v>
      </c>
      <c r="B37" t="s">
        <v>37</v>
      </c>
      <c r="C37" s="9"/>
      <c r="D37" s="9"/>
      <c r="E37" s="9">
        <v>161750</v>
      </c>
      <c r="F37" s="9"/>
      <c r="G37" s="9">
        <f t="shared" si="0"/>
        <v>161750</v>
      </c>
      <c r="H37">
        <f t="shared" si="1"/>
        <v>26.93</v>
      </c>
      <c r="I37" s="10">
        <f t="shared" si="2"/>
        <v>7.0999999999999994E-2</v>
      </c>
      <c r="J37">
        <f t="shared" si="5"/>
        <v>0.19</v>
      </c>
      <c r="P37">
        <v>135850</v>
      </c>
    </row>
    <row r="38" spans="1:16" x14ac:dyDescent="0.25">
      <c r="A38" t="s">
        <v>20</v>
      </c>
      <c r="B38" t="s">
        <v>38</v>
      </c>
      <c r="C38" s="9"/>
      <c r="D38" s="9"/>
      <c r="E38" s="9">
        <v>6420</v>
      </c>
      <c r="F38" s="9"/>
      <c r="G38" s="9">
        <f t="shared" si="0"/>
        <v>6420</v>
      </c>
      <c r="H38">
        <f t="shared" si="1"/>
        <v>1.07</v>
      </c>
      <c r="I38" s="10">
        <f t="shared" si="2"/>
        <v>3.0000000000000001E-3</v>
      </c>
      <c r="J38">
        <f t="shared" si="5"/>
        <v>-0.1</v>
      </c>
      <c r="P38">
        <v>7160</v>
      </c>
    </row>
    <row r="39" spans="1:16" x14ac:dyDescent="0.25">
      <c r="A39" t="s">
        <v>20</v>
      </c>
      <c r="B39" t="s">
        <v>39</v>
      </c>
      <c r="C39" s="9"/>
      <c r="D39" s="9"/>
      <c r="E39" s="9">
        <v>32980</v>
      </c>
      <c r="F39" s="9"/>
      <c r="G39" s="9">
        <f t="shared" si="0"/>
        <v>32980</v>
      </c>
      <c r="H39">
        <f t="shared" si="1"/>
        <v>5.49</v>
      </c>
      <c r="I39" s="10">
        <f t="shared" si="2"/>
        <v>1.4E-2</v>
      </c>
      <c r="J39">
        <f t="shared" si="5"/>
        <v>0.18</v>
      </c>
      <c r="P39">
        <v>27940</v>
      </c>
    </row>
    <row r="40" spans="1:16" x14ac:dyDescent="0.25">
      <c r="A40" t="s">
        <v>20</v>
      </c>
      <c r="B40" t="s">
        <v>40</v>
      </c>
      <c r="C40" s="9"/>
      <c r="D40" s="9"/>
      <c r="E40" s="9">
        <v>205890</v>
      </c>
      <c r="F40" s="9">
        <v>1500</v>
      </c>
      <c r="G40" s="9">
        <f t="shared" si="0"/>
        <v>207390</v>
      </c>
      <c r="H40">
        <f t="shared" si="1"/>
        <v>34.53</v>
      </c>
      <c r="I40" s="10">
        <f t="shared" si="2"/>
        <v>0.09</v>
      </c>
      <c r="J40">
        <f t="shared" si="5"/>
        <v>-0.16</v>
      </c>
      <c r="P40">
        <v>247400</v>
      </c>
    </row>
    <row r="41" spans="1:16" x14ac:dyDescent="0.25">
      <c r="A41" t="s">
        <v>20</v>
      </c>
      <c r="B41" t="s">
        <v>74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A42" t="s">
        <v>44</v>
      </c>
      <c r="B42" t="s">
        <v>45</v>
      </c>
      <c r="C42" s="9">
        <v>346665</v>
      </c>
      <c r="D42" s="9"/>
      <c r="E42" s="9"/>
      <c r="F42" s="9"/>
      <c r="G42" s="9">
        <f t="shared" si="0"/>
        <v>346665</v>
      </c>
      <c r="H42">
        <f t="shared" si="1"/>
        <v>57.72</v>
      </c>
      <c r="I42" s="10">
        <f t="shared" si="2"/>
        <v>0.151</v>
      </c>
      <c r="J42">
        <f>ROUND(G42/P42-1,2)</f>
        <v>-0.34</v>
      </c>
      <c r="P42">
        <v>524570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53300</v>
      </c>
      <c r="G43" s="9">
        <f t="shared" si="0"/>
        <v>53300</v>
      </c>
      <c r="H43">
        <f t="shared" si="1"/>
        <v>8.8699999999999992</v>
      </c>
      <c r="I43" s="10">
        <f t="shared" si="2"/>
        <v>2.3E-2</v>
      </c>
      <c r="J43">
        <f>ROUND(G43/P43-1,2)</f>
        <v>0.45</v>
      </c>
      <c r="P43">
        <v>36720</v>
      </c>
    </row>
    <row r="44" spans="1:16" x14ac:dyDescent="0.25">
      <c r="A44" t="s">
        <v>44</v>
      </c>
      <c r="B44" t="s">
        <v>46</v>
      </c>
      <c r="C44" s="9"/>
      <c r="D44" s="9"/>
      <c r="E44" s="9">
        <v>93090</v>
      </c>
      <c r="F44" s="9"/>
      <c r="G44" s="9">
        <f t="shared" si="0"/>
        <v>93090</v>
      </c>
      <c r="H44">
        <f t="shared" si="1"/>
        <v>15.5</v>
      </c>
      <c r="I44" s="10">
        <f t="shared" si="2"/>
        <v>4.1000000000000002E-2</v>
      </c>
      <c r="J44">
        <f>ROUND(G44/P44-1,2)</f>
        <v>0.06</v>
      </c>
      <c r="P44">
        <v>88080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6">SUM(C8:C44)</f>
        <v>1563510</v>
      </c>
      <c r="D49" s="12">
        <f t="shared" si="6"/>
        <v>494</v>
      </c>
      <c r="E49" s="12">
        <f t="shared" si="6"/>
        <v>656685</v>
      </c>
      <c r="F49" s="12">
        <f t="shared" si="6"/>
        <v>72610</v>
      </c>
      <c r="G49" s="12">
        <f t="shared" si="6"/>
        <v>2293299</v>
      </c>
      <c r="H49" s="11">
        <f t="shared" si="6"/>
        <v>381.80000000000007</v>
      </c>
      <c r="I49" s="4"/>
    </row>
    <row r="50" spans="1:10" x14ac:dyDescent="0.25">
      <c r="A50" s="11" t="s">
        <v>14</v>
      </c>
      <c r="C50" s="13">
        <f>ROUND(C49/G49,2)</f>
        <v>0.68</v>
      </c>
      <c r="D50" s="13">
        <f>ROUND(D49/G49,2)</f>
        <v>0</v>
      </c>
      <c r="E50" s="13">
        <f>ROUND(E49/G49,2)</f>
        <v>0.28999999999999998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4">
        <v>1216845</v>
      </c>
      <c r="D54" s="14">
        <v>494</v>
      </c>
      <c r="E54" s="14">
        <v>563595</v>
      </c>
      <c r="F54" s="14">
        <v>18675</v>
      </c>
      <c r="G54" s="14">
        <f>SUM(C54:F54)</f>
        <v>1799609</v>
      </c>
      <c r="H54" s="16">
        <f>ROUND(G54/6006,2)</f>
        <v>299.64</v>
      </c>
    </row>
    <row r="55" spans="1:10" x14ac:dyDescent="0.25">
      <c r="A55" s="33" t="s">
        <v>50</v>
      </c>
      <c r="B55" s="33"/>
      <c r="C55" s="14">
        <v>346665</v>
      </c>
      <c r="D55" s="14">
        <v>0</v>
      </c>
      <c r="E55" s="14">
        <v>93090</v>
      </c>
      <c r="F55" s="14">
        <v>53300</v>
      </c>
      <c r="G55" s="14">
        <f>SUM(C55:F55)</f>
        <v>493055</v>
      </c>
      <c r="H55" s="16">
        <f>ROUND(G55/6006,2)</f>
        <v>82.09</v>
      </c>
    </row>
    <row r="56" spans="1:10" x14ac:dyDescent="0.25">
      <c r="A56" s="33" t="s">
        <v>51</v>
      </c>
      <c r="B56" s="33"/>
      <c r="C56" s="14">
        <v>0</v>
      </c>
      <c r="D56" s="14">
        <v>0</v>
      </c>
      <c r="E56" s="14">
        <v>0</v>
      </c>
      <c r="F56" s="14">
        <v>635</v>
      </c>
      <c r="G56" s="14">
        <f>SUM(C56:F56)</f>
        <v>635</v>
      </c>
      <c r="H56" s="16">
        <f>ROUND(G56/6006,2)</f>
        <v>0.11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ROUND(0.8366, 4)</f>
        <v>0.83660000000000001</v>
      </c>
      <c r="D60" s="18">
        <f>ROUND(0.7694, 4)</f>
        <v>0.76939999999999997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ROUND(0.8238, 4)</f>
        <v>0.82379999999999998</v>
      </c>
      <c r="D61" s="18">
        <f>ROUND(0.7585, 4)</f>
        <v>0.75849999999999995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211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57.72</v>
      </c>
      <c r="D64" s="16">
        <v>82.72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70.42</v>
      </c>
      <c r="D65" s="16">
        <v>62.18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299.64</v>
      </c>
      <c r="D66" s="16">
        <v>295.45999999999998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82.09</v>
      </c>
      <c r="D67" s="16">
        <v>103.84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P73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212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266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10710</v>
      </c>
      <c r="D9" s="9"/>
      <c r="E9" s="9"/>
      <c r="F9" s="9"/>
      <c r="G9" s="9">
        <f t="shared" ref="G9:G26" si="0">SUM(C9:F9)</f>
        <v>10710</v>
      </c>
      <c r="H9">
        <f t="shared" ref="H9:H26" si="1">ROUND(G9/266,2)</f>
        <v>40.26</v>
      </c>
      <c r="I9" s="10">
        <f t="shared" ref="I9:I26" si="2">ROUND(G9/$G$49,3)</f>
        <v>7.5999999999999998E-2</v>
      </c>
      <c r="J9">
        <f>ROUND(G9/P9-1,2)</f>
        <v>-0.1</v>
      </c>
      <c r="P9">
        <v>11840</v>
      </c>
    </row>
    <row r="10" spans="1:16" x14ac:dyDescent="0.25">
      <c r="A10" t="s">
        <v>20</v>
      </c>
      <c r="B10" t="s">
        <v>22</v>
      </c>
      <c r="C10" s="9">
        <v>17695</v>
      </c>
      <c r="D10" s="9">
        <v>140</v>
      </c>
      <c r="E10" s="9"/>
      <c r="F10" s="9"/>
      <c r="G10" s="9">
        <f t="shared" si="0"/>
        <v>17835</v>
      </c>
      <c r="H10">
        <f t="shared" si="1"/>
        <v>67.05</v>
      </c>
      <c r="I10" s="10">
        <f t="shared" si="2"/>
        <v>0.127</v>
      </c>
      <c r="J10">
        <f>ROUND(G10/P10-1,2)</f>
        <v>-0.03</v>
      </c>
      <c r="P10">
        <v>18350</v>
      </c>
    </row>
    <row r="11" spans="1:16" x14ac:dyDescent="0.25">
      <c r="A11" t="s">
        <v>20</v>
      </c>
      <c r="B11" t="s">
        <v>25</v>
      </c>
      <c r="C11" s="9">
        <v>17670</v>
      </c>
      <c r="D11" s="9"/>
      <c r="E11" s="9">
        <v>2260</v>
      </c>
      <c r="F11" s="9">
        <v>1680</v>
      </c>
      <c r="G11" s="9">
        <f t="shared" si="0"/>
        <v>21610</v>
      </c>
      <c r="H11">
        <f t="shared" si="1"/>
        <v>81.239999999999995</v>
      </c>
      <c r="I11" s="10">
        <f t="shared" si="2"/>
        <v>0.154</v>
      </c>
      <c r="J11">
        <f>ROUND(G11/P11-1,2)</f>
        <v>7.0000000000000007E-2</v>
      </c>
      <c r="P11">
        <v>20215</v>
      </c>
    </row>
    <row r="12" spans="1:16" x14ac:dyDescent="0.25">
      <c r="A12" t="s">
        <v>20</v>
      </c>
      <c r="B12" t="s">
        <v>26</v>
      </c>
      <c r="C12" s="9">
        <v>27100</v>
      </c>
      <c r="D12" s="9"/>
      <c r="E12" s="9"/>
      <c r="F12" s="9">
        <v>80</v>
      </c>
      <c r="G12" s="9">
        <f t="shared" si="0"/>
        <v>27180</v>
      </c>
      <c r="H12">
        <f t="shared" si="1"/>
        <v>102.18</v>
      </c>
      <c r="I12" s="10">
        <f t="shared" si="2"/>
        <v>0.193</v>
      </c>
      <c r="J12">
        <f>ROUND(G12/P12-1,2)</f>
        <v>-0.08</v>
      </c>
      <c r="P12">
        <v>29570</v>
      </c>
    </row>
    <row r="13" spans="1:16" x14ac:dyDescent="0.25">
      <c r="A13" t="s">
        <v>20</v>
      </c>
      <c r="B13" t="s">
        <v>30</v>
      </c>
      <c r="C13" s="9"/>
      <c r="D13" s="9"/>
      <c r="E13" s="9">
        <v>420</v>
      </c>
      <c r="F13" s="9"/>
      <c r="G13" s="9">
        <f t="shared" si="0"/>
        <v>420</v>
      </c>
      <c r="H13">
        <f t="shared" si="1"/>
        <v>1.58</v>
      </c>
      <c r="I13" s="10">
        <f t="shared" si="2"/>
        <v>3.0000000000000001E-3</v>
      </c>
      <c r="P13">
        <v>0</v>
      </c>
    </row>
    <row r="14" spans="1:16" x14ac:dyDescent="0.25">
      <c r="A14" t="s">
        <v>20</v>
      </c>
      <c r="B14" t="s">
        <v>31</v>
      </c>
      <c r="C14" s="9"/>
      <c r="D14" s="9"/>
      <c r="E14" s="9">
        <v>180</v>
      </c>
      <c r="F14" s="9"/>
      <c r="G14" s="9">
        <f t="shared" si="0"/>
        <v>180</v>
      </c>
      <c r="H14">
        <f t="shared" si="1"/>
        <v>0.68</v>
      </c>
      <c r="I14" s="10">
        <f t="shared" si="2"/>
        <v>1E-3</v>
      </c>
      <c r="J14">
        <f t="shared" ref="J14:J19" si="3">ROUND(G14/P14-1,2)</f>
        <v>-0.05</v>
      </c>
      <c r="P14">
        <v>190</v>
      </c>
    </row>
    <row r="15" spans="1:16" x14ac:dyDescent="0.25">
      <c r="A15" t="s">
        <v>20</v>
      </c>
      <c r="B15" t="s">
        <v>43</v>
      </c>
      <c r="C15" s="9"/>
      <c r="D15" s="9">
        <v>88</v>
      </c>
      <c r="E15" s="9"/>
      <c r="F15" s="9"/>
      <c r="G15" s="9">
        <f t="shared" si="0"/>
        <v>88</v>
      </c>
      <c r="H15">
        <f t="shared" si="1"/>
        <v>0.33</v>
      </c>
      <c r="I15" s="10">
        <f t="shared" si="2"/>
        <v>1E-3</v>
      </c>
      <c r="J15">
        <f t="shared" si="3"/>
        <v>0.26</v>
      </c>
      <c r="P15">
        <v>70</v>
      </c>
    </row>
    <row r="16" spans="1:16" x14ac:dyDescent="0.25">
      <c r="A16" t="s">
        <v>20</v>
      </c>
      <c r="B16" t="s">
        <v>35</v>
      </c>
      <c r="C16" s="9"/>
      <c r="D16" s="9"/>
      <c r="E16" s="9">
        <v>359</v>
      </c>
      <c r="F16" s="9"/>
      <c r="G16" s="9">
        <f t="shared" si="0"/>
        <v>359</v>
      </c>
      <c r="H16">
        <f t="shared" si="1"/>
        <v>1.35</v>
      </c>
      <c r="I16" s="10">
        <f t="shared" si="2"/>
        <v>3.0000000000000001E-3</v>
      </c>
      <c r="J16">
        <f t="shared" si="3"/>
        <v>-0.37</v>
      </c>
      <c r="P16">
        <v>570</v>
      </c>
    </row>
    <row r="17" spans="1:16" x14ac:dyDescent="0.25">
      <c r="A17" t="s">
        <v>20</v>
      </c>
      <c r="B17" t="s">
        <v>36</v>
      </c>
      <c r="C17" s="9"/>
      <c r="D17" s="9"/>
      <c r="E17" s="9">
        <v>320</v>
      </c>
      <c r="F17" s="9"/>
      <c r="G17" s="9">
        <f t="shared" si="0"/>
        <v>320</v>
      </c>
      <c r="H17">
        <f t="shared" si="1"/>
        <v>1.2</v>
      </c>
      <c r="I17" s="10">
        <f t="shared" si="2"/>
        <v>2E-3</v>
      </c>
      <c r="J17">
        <f t="shared" si="3"/>
        <v>-0.45</v>
      </c>
      <c r="P17">
        <v>580</v>
      </c>
    </row>
    <row r="18" spans="1:16" x14ac:dyDescent="0.25">
      <c r="A18" t="s">
        <v>20</v>
      </c>
      <c r="B18" t="s">
        <v>37</v>
      </c>
      <c r="C18" s="9"/>
      <c r="D18" s="9"/>
      <c r="E18" s="9">
        <v>5705</v>
      </c>
      <c r="F18" s="9"/>
      <c r="G18" s="9">
        <f t="shared" si="0"/>
        <v>5705</v>
      </c>
      <c r="H18">
        <f t="shared" si="1"/>
        <v>21.45</v>
      </c>
      <c r="I18" s="10">
        <f t="shared" si="2"/>
        <v>4.1000000000000002E-2</v>
      </c>
      <c r="J18">
        <f t="shared" si="3"/>
        <v>-0.42</v>
      </c>
      <c r="P18">
        <v>9895</v>
      </c>
    </row>
    <row r="19" spans="1:16" x14ac:dyDescent="0.25">
      <c r="A19" t="s">
        <v>20</v>
      </c>
      <c r="B19" t="s">
        <v>39</v>
      </c>
      <c r="C19" s="9"/>
      <c r="D19" s="9"/>
      <c r="E19" s="9">
        <v>1720</v>
      </c>
      <c r="F19" s="9"/>
      <c r="G19" s="9">
        <f t="shared" si="0"/>
        <v>1720</v>
      </c>
      <c r="H19">
        <f t="shared" si="1"/>
        <v>6.47</v>
      </c>
      <c r="I19" s="10">
        <f t="shared" si="2"/>
        <v>1.2E-2</v>
      </c>
      <c r="J19">
        <f t="shared" si="3"/>
        <v>-0.46</v>
      </c>
      <c r="P19">
        <v>3200</v>
      </c>
    </row>
    <row r="20" spans="1:16" x14ac:dyDescent="0.25">
      <c r="A20" t="s">
        <v>20</v>
      </c>
      <c r="B20" t="s">
        <v>23</v>
      </c>
      <c r="C20" s="9"/>
      <c r="D20" s="9"/>
      <c r="E20" s="9"/>
      <c r="F20" s="9"/>
      <c r="G20" s="9">
        <f t="shared" si="0"/>
        <v>0</v>
      </c>
      <c r="H20">
        <f t="shared" si="1"/>
        <v>0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/>
      <c r="F21" s="9"/>
      <c r="G21" s="9">
        <f t="shared" si="0"/>
        <v>0</v>
      </c>
      <c r="H21">
        <f t="shared" si="1"/>
        <v>0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69</v>
      </c>
      <c r="C22" s="9"/>
      <c r="D22" s="9"/>
      <c r="E22" s="9"/>
      <c r="F22" s="9"/>
      <c r="G22" s="9">
        <f t="shared" si="0"/>
        <v>0</v>
      </c>
      <c r="H22">
        <f t="shared" si="1"/>
        <v>0</v>
      </c>
      <c r="I22" s="10">
        <f t="shared" si="2"/>
        <v>0</v>
      </c>
      <c r="J22">
        <f>ROUND(G22/P22-1,2)</f>
        <v>-1</v>
      </c>
      <c r="P22">
        <v>4460</v>
      </c>
    </row>
    <row r="23" spans="1:16" x14ac:dyDescent="0.25">
      <c r="A23" t="s">
        <v>20</v>
      </c>
      <c r="B23" t="s">
        <v>41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J23">
        <f>ROUND(G23/P23-1,2)</f>
        <v>-1</v>
      </c>
      <c r="P23">
        <v>669</v>
      </c>
    </row>
    <row r="24" spans="1:16" x14ac:dyDescent="0.25">
      <c r="A24" t="s">
        <v>20</v>
      </c>
      <c r="B24" t="s">
        <v>34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P24">
        <v>0</v>
      </c>
    </row>
    <row r="25" spans="1:16" x14ac:dyDescent="0.25">
      <c r="A25" t="s">
        <v>44</v>
      </c>
      <c r="B25" t="s">
        <v>45</v>
      </c>
      <c r="C25" s="9">
        <v>41520</v>
      </c>
      <c r="D25" s="9">
        <v>145</v>
      </c>
      <c r="E25" s="9"/>
      <c r="F25" s="9"/>
      <c r="G25" s="9">
        <f t="shared" si="0"/>
        <v>41665</v>
      </c>
      <c r="H25">
        <f t="shared" si="1"/>
        <v>156.63999999999999</v>
      </c>
      <c r="I25" s="10">
        <f t="shared" si="2"/>
        <v>0.29599999999999999</v>
      </c>
      <c r="J25">
        <f>ROUND(G25/P25-1,2)</f>
        <v>0.02</v>
      </c>
      <c r="P25">
        <v>41030</v>
      </c>
    </row>
    <row r="26" spans="1:16" x14ac:dyDescent="0.25">
      <c r="A26" t="s">
        <v>44</v>
      </c>
      <c r="B26" t="s">
        <v>46</v>
      </c>
      <c r="C26" s="9"/>
      <c r="D26" s="9"/>
      <c r="E26" s="9">
        <v>12740</v>
      </c>
      <c r="F26" s="9"/>
      <c r="G26" s="9">
        <f t="shared" si="0"/>
        <v>12740</v>
      </c>
      <c r="H26">
        <f t="shared" si="1"/>
        <v>47.89</v>
      </c>
      <c r="I26" s="10">
        <f t="shared" si="2"/>
        <v>9.0999999999999998E-2</v>
      </c>
      <c r="J26">
        <f>ROUND(G26/P26-1,2)</f>
        <v>-0.27</v>
      </c>
      <c r="P26">
        <v>17510</v>
      </c>
    </row>
    <row r="27" spans="1:16" x14ac:dyDescent="0.25">
      <c r="C27" s="9"/>
      <c r="D27" s="9"/>
      <c r="E27" s="9"/>
      <c r="F27" s="9"/>
      <c r="G27" s="9"/>
      <c r="I27" s="10"/>
    </row>
    <row r="28" spans="1:16" x14ac:dyDescent="0.25">
      <c r="C28" s="9"/>
      <c r="D28" s="9"/>
      <c r="E28" s="9"/>
      <c r="F28" s="9"/>
      <c r="G28" s="9"/>
      <c r="I28" s="10"/>
    </row>
    <row r="29" spans="1:16" x14ac:dyDescent="0.25">
      <c r="C29" s="9"/>
      <c r="D29" s="9"/>
      <c r="E29" s="9"/>
      <c r="F29" s="9"/>
      <c r="G29" s="9"/>
      <c r="I29" s="10"/>
    </row>
    <row r="30" spans="1:16" x14ac:dyDescent="0.25">
      <c r="C30" s="9"/>
      <c r="D30" s="9"/>
      <c r="E30" s="9"/>
      <c r="F30" s="9"/>
      <c r="G30" s="9"/>
      <c r="I30" s="10"/>
    </row>
    <row r="31" spans="1:16" x14ac:dyDescent="0.25">
      <c r="C31" s="9"/>
      <c r="D31" s="9"/>
      <c r="E31" s="9"/>
      <c r="F31" s="9"/>
      <c r="G31" s="9"/>
      <c r="I31" s="10"/>
    </row>
    <row r="32" spans="1:16" x14ac:dyDescent="0.25">
      <c r="C32" s="9"/>
      <c r="D32" s="9"/>
      <c r="E32" s="9"/>
      <c r="F32" s="9"/>
      <c r="G32" s="9"/>
      <c r="I32" s="10"/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SUM(C8:C26)</f>
        <v>114695</v>
      </c>
      <c r="D49" s="12">
        <f t="shared" si="4"/>
        <v>373</v>
      </c>
      <c r="E49" s="12">
        <f t="shared" si="4"/>
        <v>23704</v>
      </c>
      <c r="F49" s="12">
        <f t="shared" si="4"/>
        <v>1760</v>
      </c>
      <c r="G49" s="12">
        <f t="shared" si="4"/>
        <v>140532</v>
      </c>
      <c r="H49" s="11">
        <f t="shared" si="4"/>
        <v>528.32000000000005</v>
      </c>
      <c r="I49" s="4"/>
    </row>
    <row r="50" spans="1:10" x14ac:dyDescent="0.25">
      <c r="A50" s="11" t="s">
        <v>14</v>
      </c>
      <c r="C50" s="13">
        <f>ROUND(C49/G49,2)</f>
        <v>0.82</v>
      </c>
      <c r="D50" s="13">
        <f>ROUND(D49/G49,2)</f>
        <v>0</v>
      </c>
      <c r="E50" s="13">
        <f>ROUND(E49/G49,2)</f>
        <v>0.17</v>
      </c>
      <c r="F50" s="13">
        <f>ROUND(F49/G49,2)</f>
        <v>0.01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73175</v>
      </c>
      <c r="D54" s="15">
        <v>228</v>
      </c>
      <c r="E54" s="15">
        <v>10964</v>
      </c>
      <c r="F54" s="15">
        <v>1760</v>
      </c>
      <c r="G54" s="15">
        <f>SUM(C54:F54)</f>
        <v>86127</v>
      </c>
      <c r="H54" s="17">
        <f>ROUND(G54/266,2)</f>
        <v>323.79000000000002</v>
      </c>
      <c r="I54" s="4"/>
      <c r="J54" s="4"/>
    </row>
    <row r="55" spans="1:10" x14ac:dyDescent="0.25">
      <c r="A55" s="33" t="s">
        <v>50</v>
      </c>
      <c r="B55" s="33"/>
      <c r="C55" s="15">
        <v>41520</v>
      </c>
      <c r="D55" s="15">
        <v>145</v>
      </c>
      <c r="E55" s="15">
        <v>12740</v>
      </c>
      <c r="F55" s="15">
        <v>0</v>
      </c>
      <c r="G55" s="15">
        <f>SUM(C55:F55)</f>
        <v>54405</v>
      </c>
      <c r="H55" s="17">
        <f>ROUND(G55/266,2)</f>
        <v>204.53</v>
      </c>
      <c r="I55" s="4"/>
      <c r="J55" s="4"/>
    </row>
    <row r="56" spans="1:10" x14ac:dyDescent="0.25">
      <c r="A56" s="33" t="s">
        <v>51</v>
      </c>
      <c r="B56" s="33"/>
      <c r="C56" s="15"/>
      <c r="D56" s="15"/>
      <c r="E56" s="15"/>
      <c r="F56" s="15"/>
      <c r="G56" s="15">
        <f>SUM(C56:F56)</f>
        <v>0</v>
      </c>
      <c r="H56" s="17">
        <f>ROUND(G56/266,2)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ROUND(0.6937, 4)</f>
        <v>0.69369999999999998</v>
      </c>
      <c r="D60" s="19">
        <f>ROUND(0.7286, 4)</f>
        <v>0.72860000000000003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ROUND(0.6839, 4)</f>
        <v>0.68389999999999995</v>
      </c>
      <c r="D61" s="19">
        <f>ROUND(0.719, 4)</f>
        <v>0.71899999999999997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213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156.63999999999999</v>
      </c>
      <c r="D64" s="17">
        <v>152.06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102.18</v>
      </c>
      <c r="D65" s="17">
        <v>112.62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323.79000000000002</v>
      </c>
      <c r="D66" s="17">
        <v>346.53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204.53</v>
      </c>
      <c r="D67" s="17">
        <v>217.08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71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214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361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16530</v>
      </c>
      <c r="D9" s="9"/>
      <c r="E9" s="9">
        <v>816.93</v>
      </c>
      <c r="F9" s="9"/>
      <c r="G9" s="9">
        <f t="shared" ref="G9:G32" si="0">SUM(C9:F9)</f>
        <v>17346.93</v>
      </c>
      <c r="H9">
        <f t="shared" ref="H9:H32" si="1">ROUND(G9/361,2)</f>
        <v>48.05</v>
      </c>
      <c r="I9" s="10">
        <f t="shared" ref="I9:I32" si="2">ROUND(G9/$G$49,3)</f>
        <v>8.5999999999999993E-2</v>
      </c>
      <c r="J9">
        <f t="shared" ref="J9:J15" si="3">ROUND(G9/P9-1,2)</f>
        <v>0.11</v>
      </c>
      <c r="P9">
        <v>15583.15</v>
      </c>
    </row>
    <row r="10" spans="1:16" x14ac:dyDescent="0.25">
      <c r="A10" t="s">
        <v>20</v>
      </c>
      <c r="B10" t="s">
        <v>22</v>
      </c>
      <c r="C10" s="9">
        <v>31115</v>
      </c>
      <c r="D10" s="9"/>
      <c r="E10" s="9"/>
      <c r="F10" s="9"/>
      <c r="G10" s="9">
        <f t="shared" si="0"/>
        <v>31115</v>
      </c>
      <c r="H10">
        <f t="shared" si="1"/>
        <v>86.19</v>
      </c>
      <c r="I10" s="10">
        <f t="shared" si="2"/>
        <v>0.154</v>
      </c>
      <c r="J10">
        <f t="shared" si="3"/>
        <v>0.14000000000000001</v>
      </c>
      <c r="P10">
        <v>27290</v>
      </c>
    </row>
    <row r="11" spans="1:16" x14ac:dyDescent="0.25">
      <c r="A11" t="s">
        <v>20</v>
      </c>
      <c r="B11" t="s">
        <v>24</v>
      </c>
      <c r="C11" s="9"/>
      <c r="D11" s="9"/>
      <c r="E11" s="9">
        <v>8485.7000000000007</v>
      </c>
      <c r="F11" s="9"/>
      <c r="G11" s="9">
        <f t="shared" si="0"/>
        <v>8485.7000000000007</v>
      </c>
      <c r="H11">
        <f t="shared" si="1"/>
        <v>23.51</v>
      </c>
      <c r="I11" s="10">
        <f t="shared" si="2"/>
        <v>4.2000000000000003E-2</v>
      </c>
      <c r="J11">
        <f t="shared" si="3"/>
        <v>-0.81</v>
      </c>
      <c r="P11">
        <v>43981.93</v>
      </c>
    </row>
    <row r="12" spans="1:16" x14ac:dyDescent="0.25">
      <c r="A12" t="s">
        <v>20</v>
      </c>
      <c r="B12" t="s">
        <v>25</v>
      </c>
      <c r="C12" s="9">
        <v>21400</v>
      </c>
      <c r="D12" s="9"/>
      <c r="E12" s="9">
        <v>1002.61</v>
      </c>
      <c r="F12" s="9"/>
      <c r="G12" s="9">
        <f t="shared" si="0"/>
        <v>22402.61</v>
      </c>
      <c r="H12">
        <f t="shared" si="1"/>
        <v>62.06</v>
      </c>
      <c r="I12" s="10">
        <f t="shared" si="2"/>
        <v>0.111</v>
      </c>
      <c r="J12">
        <f t="shared" si="3"/>
        <v>0.01</v>
      </c>
      <c r="P12">
        <v>22145.06</v>
      </c>
    </row>
    <row r="13" spans="1:16" x14ac:dyDescent="0.25">
      <c r="A13" t="s">
        <v>20</v>
      </c>
      <c r="B13" t="s">
        <v>26</v>
      </c>
      <c r="C13" s="9">
        <v>22670</v>
      </c>
      <c r="D13" s="9"/>
      <c r="E13" s="9"/>
      <c r="F13" s="9"/>
      <c r="G13" s="9">
        <f t="shared" si="0"/>
        <v>22670</v>
      </c>
      <c r="H13">
        <f t="shared" si="1"/>
        <v>62.8</v>
      </c>
      <c r="I13" s="10">
        <f t="shared" si="2"/>
        <v>0.112</v>
      </c>
      <c r="J13">
        <f t="shared" si="3"/>
        <v>-7.0000000000000007E-2</v>
      </c>
      <c r="P13">
        <v>24300</v>
      </c>
    </row>
    <row r="14" spans="1:16" x14ac:dyDescent="0.25">
      <c r="A14" t="s">
        <v>20</v>
      </c>
      <c r="B14" t="s">
        <v>30</v>
      </c>
      <c r="C14" s="9"/>
      <c r="D14" s="9"/>
      <c r="E14" s="9">
        <v>411.39</v>
      </c>
      <c r="F14" s="9"/>
      <c r="G14" s="9">
        <f t="shared" si="0"/>
        <v>411.39</v>
      </c>
      <c r="H14">
        <f t="shared" si="1"/>
        <v>1.1399999999999999</v>
      </c>
      <c r="I14" s="10">
        <f t="shared" si="2"/>
        <v>2E-3</v>
      </c>
      <c r="J14">
        <f t="shared" si="3"/>
        <v>-0.2</v>
      </c>
      <c r="P14">
        <v>514.64</v>
      </c>
    </row>
    <row r="15" spans="1:16" x14ac:dyDescent="0.25">
      <c r="A15" t="s">
        <v>20</v>
      </c>
      <c r="B15" t="s">
        <v>31</v>
      </c>
      <c r="C15" s="9"/>
      <c r="D15" s="9"/>
      <c r="E15" s="9">
        <v>21.01</v>
      </c>
      <c r="F15" s="9"/>
      <c r="G15" s="9">
        <f t="shared" si="0"/>
        <v>21.01</v>
      </c>
      <c r="H15">
        <f t="shared" si="1"/>
        <v>0.06</v>
      </c>
      <c r="I15" s="10">
        <f t="shared" si="2"/>
        <v>0</v>
      </c>
      <c r="J15">
        <f t="shared" si="3"/>
        <v>-0.87</v>
      </c>
      <c r="P15">
        <v>159.57</v>
      </c>
    </row>
    <row r="16" spans="1:16" x14ac:dyDescent="0.25">
      <c r="A16" t="s">
        <v>20</v>
      </c>
      <c r="B16" t="s">
        <v>34</v>
      </c>
      <c r="C16" s="9"/>
      <c r="D16" s="9"/>
      <c r="E16" s="9">
        <v>37.67</v>
      </c>
      <c r="F16" s="9"/>
      <c r="G16" s="9">
        <f t="shared" si="0"/>
        <v>37.67</v>
      </c>
      <c r="H16">
        <f t="shared" si="1"/>
        <v>0.1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35</v>
      </c>
      <c r="C17" s="9"/>
      <c r="D17" s="9"/>
      <c r="E17" s="9">
        <v>105.14</v>
      </c>
      <c r="F17" s="9"/>
      <c r="G17" s="9">
        <f t="shared" si="0"/>
        <v>105.14</v>
      </c>
      <c r="H17">
        <f t="shared" si="1"/>
        <v>0.28999999999999998</v>
      </c>
      <c r="I17" s="10">
        <f t="shared" si="2"/>
        <v>1E-3</v>
      </c>
      <c r="J17">
        <f>ROUND(G17/P17-1,2)</f>
        <v>-0.9</v>
      </c>
      <c r="P17">
        <v>1071.6199999999999</v>
      </c>
    </row>
    <row r="18" spans="1:16" x14ac:dyDescent="0.25">
      <c r="A18" t="s">
        <v>20</v>
      </c>
      <c r="B18" t="s">
        <v>36</v>
      </c>
      <c r="C18" s="9"/>
      <c r="D18" s="9"/>
      <c r="E18" s="9">
        <v>141.94</v>
      </c>
      <c r="F18" s="9"/>
      <c r="G18" s="9">
        <f t="shared" si="0"/>
        <v>141.94</v>
      </c>
      <c r="H18">
        <f t="shared" si="1"/>
        <v>0.39</v>
      </c>
      <c r="I18" s="10">
        <f t="shared" si="2"/>
        <v>1E-3</v>
      </c>
      <c r="J18">
        <f>ROUND(G18/P18-1,2)</f>
        <v>-0.92</v>
      </c>
      <c r="P18">
        <v>1883.59</v>
      </c>
    </row>
    <row r="19" spans="1:16" x14ac:dyDescent="0.25">
      <c r="A19" t="s">
        <v>20</v>
      </c>
      <c r="B19" t="s">
        <v>37</v>
      </c>
      <c r="C19" s="9"/>
      <c r="D19" s="9"/>
      <c r="E19" s="9">
        <v>5385.3</v>
      </c>
      <c r="F19" s="9"/>
      <c r="G19" s="9">
        <f t="shared" si="0"/>
        <v>5385.3</v>
      </c>
      <c r="H19">
        <f t="shared" si="1"/>
        <v>14.92</v>
      </c>
      <c r="I19" s="10">
        <f t="shared" si="2"/>
        <v>2.7E-2</v>
      </c>
      <c r="J19">
        <f>ROUND(G19/P19-1,2)</f>
        <v>-0.59</v>
      </c>
      <c r="P19">
        <v>13057.46</v>
      </c>
    </row>
    <row r="20" spans="1:16" x14ac:dyDescent="0.25">
      <c r="A20" t="s">
        <v>20</v>
      </c>
      <c r="B20" t="s">
        <v>39</v>
      </c>
      <c r="C20" s="9"/>
      <c r="D20" s="9"/>
      <c r="E20" s="9">
        <v>2787.58</v>
      </c>
      <c r="F20" s="9"/>
      <c r="G20" s="9">
        <f t="shared" si="0"/>
        <v>2787.58</v>
      </c>
      <c r="H20">
        <f t="shared" si="1"/>
        <v>7.72</v>
      </c>
      <c r="I20" s="10">
        <f t="shared" si="2"/>
        <v>1.4E-2</v>
      </c>
      <c r="J20">
        <f>ROUND(G20/P20-1,2)</f>
        <v>-0.44</v>
      </c>
      <c r="P20">
        <v>4988.0200000000004</v>
      </c>
    </row>
    <row r="21" spans="1:16" x14ac:dyDescent="0.25">
      <c r="A21" t="s">
        <v>20</v>
      </c>
      <c r="B21" t="s">
        <v>40</v>
      </c>
      <c r="C21" s="9"/>
      <c r="D21" s="9"/>
      <c r="E21" s="9">
        <v>608.05999999999995</v>
      </c>
      <c r="F21" s="9"/>
      <c r="G21" s="9">
        <f t="shared" si="0"/>
        <v>608.05999999999995</v>
      </c>
      <c r="H21">
        <f t="shared" si="1"/>
        <v>1.68</v>
      </c>
      <c r="I21" s="10">
        <f t="shared" si="2"/>
        <v>3.0000000000000001E-3</v>
      </c>
      <c r="J21">
        <f>ROUND(G21/P21-1,2)</f>
        <v>-0.8</v>
      </c>
      <c r="P21">
        <v>3033.73</v>
      </c>
    </row>
    <row r="22" spans="1:16" x14ac:dyDescent="0.25">
      <c r="A22" t="s">
        <v>20</v>
      </c>
      <c r="B22" t="s">
        <v>42</v>
      </c>
      <c r="C22" s="9"/>
      <c r="D22" s="9"/>
      <c r="E22" s="9"/>
      <c r="F22" s="9"/>
      <c r="G22" s="9">
        <f t="shared" si="0"/>
        <v>0</v>
      </c>
      <c r="H22">
        <f t="shared" si="1"/>
        <v>0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23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29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32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33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43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63770</v>
      </c>
      <c r="D29" s="9"/>
      <c r="E29" s="9"/>
      <c r="F29" s="9">
        <v>420</v>
      </c>
      <c r="G29" s="9">
        <f t="shared" si="0"/>
        <v>64190</v>
      </c>
      <c r="H29">
        <f t="shared" si="1"/>
        <v>177.81</v>
      </c>
      <c r="I29" s="10">
        <f t="shared" si="2"/>
        <v>0.317</v>
      </c>
      <c r="J29">
        <f>ROUND(G29/P29-1,2)</f>
        <v>0.24</v>
      </c>
      <c r="P29">
        <v>51655</v>
      </c>
    </row>
    <row r="30" spans="1:16" x14ac:dyDescent="0.25">
      <c r="A30" t="s">
        <v>44</v>
      </c>
      <c r="B30" t="s">
        <v>47</v>
      </c>
      <c r="C30" s="9"/>
      <c r="D30" s="9"/>
      <c r="E30" s="9"/>
      <c r="F30" s="9">
        <v>22965</v>
      </c>
      <c r="G30" s="9">
        <f t="shared" si="0"/>
        <v>22965</v>
      </c>
      <c r="H30">
        <f t="shared" si="1"/>
        <v>63.61</v>
      </c>
      <c r="I30" s="10">
        <f t="shared" si="2"/>
        <v>0.113</v>
      </c>
      <c r="P30">
        <v>0</v>
      </c>
    </row>
    <row r="31" spans="1:16" x14ac:dyDescent="0.25">
      <c r="A31" t="s">
        <v>44</v>
      </c>
      <c r="B31" t="s">
        <v>46</v>
      </c>
      <c r="C31" s="9"/>
      <c r="D31" s="9"/>
      <c r="E31" s="9">
        <v>3685.01</v>
      </c>
      <c r="F31" s="9"/>
      <c r="G31" s="9">
        <f t="shared" si="0"/>
        <v>3685.01</v>
      </c>
      <c r="H31">
        <f t="shared" si="1"/>
        <v>10.210000000000001</v>
      </c>
      <c r="I31" s="10">
        <f t="shared" si="2"/>
        <v>1.7999999999999999E-2</v>
      </c>
      <c r="J31">
        <f>ROUND(G31/P31-1,2)</f>
        <v>-0.59</v>
      </c>
      <c r="P31">
        <v>8913.15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155485</v>
      </c>
      <c r="D49" s="12">
        <f t="shared" si="4"/>
        <v>0</v>
      </c>
      <c r="E49" s="12">
        <f t="shared" si="4"/>
        <v>23488.340000000004</v>
      </c>
      <c r="F49" s="12">
        <f t="shared" si="4"/>
        <v>23385</v>
      </c>
      <c r="G49" s="12">
        <f t="shared" si="4"/>
        <v>202358.34000000003</v>
      </c>
      <c r="H49" s="11">
        <f t="shared" si="4"/>
        <v>560.54000000000008</v>
      </c>
      <c r="I49" s="4"/>
    </row>
    <row r="50" spans="1:10" x14ac:dyDescent="0.25">
      <c r="A50" s="11" t="s">
        <v>14</v>
      </c>
      <c r="C50" s="13">
        <f>ROUND(C49/G49,2)</f>
        <v>0.77</v>
      </c>
      <c r="D50" s="13">
        <f>ROUND(D49/G49,2)</f>
        <v>0</v>
      </c>
      <c r="E50" s="13">
        <f>ROUND(E49/G49,2)</f>
        <v>0.12</v>
      </c>
      <c r="F50" s="13">
        <f>ROUND(F49/G49,2)</f>
        <v>0.12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91715</v>
      </c>
      <c r="D54" s="15">
        <v>0</v>
      </c>
      <c r="E54" s="15">
        <v>19803.330000000002</v>
      </c>
      <c r="F54" s="15">
        <v>0</v>
      </c>
      <c r="G54" s="15">
        <f>SUM(C54:F54)</f>
        <v>111518.33</v>
      </c>
      <c r="H54" s="17">
        <f>ROUND(G54/361,2)</f>
        <v>308.92</v>
      </c>
      <c r="I54" s="4"/>
      <c r="J54" s="4"/>
    </row>
    <row r="55" spans="1:10" x14ac:dyDescent="0.25">
      <c r="A55" s="33" t="s">
        <v>50</v>
      </c>
      <c r="B55" s="33"/>
      <c r="C55" s="15">
        <v>63770</v>
      </c>
      <c r="D55" s="15">
        <v>0</v>
      </c>
      <c r="E55" s="15">
        <v>3685.01</v>
      </c>
      <c r="F55" s="15">
        <v>23385</v>
      </c>
      <c r="G55" s="15">
        <f>SUM(C55:F55)</f>
        <v>90840.01</v>
      </c>
      <c r="H55" s="17">
        <f>ROUND(G55/361,2)</f>
        <v>251.63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ROUND(G56/361,2)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ROUND(0.65, 4)</f>
        <v>0.65</v>
      </c>
      <c r="D60" s="19">
        <f>ROUND(0.6993, 4)</f>
        <v>0.69930000000000003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ROUND(0.6168, 4)</f>
        <v>0.61680000000000001</v>
      </c>
      <c r="D61" s="19">
        <f>ROUND(0.6652, 4)</f>
        <v>0.66520000000000001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215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177.81</v>
      </c>
      <c r="D64" s="17">
        <v>125.04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62.8</v>
      </c>
      <c r="D65" s="17">
        <v>55.13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308.92</v>
      </c>
      <c r="D66" s="17">
        <v>321.99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251.63</v>
      </c>
      <c r="D67" s="17">
        <v>187.36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77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5209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360</v>
      </c>
      <c r="G9" s="9">
        <f t="shared" ref="G9:G46" si="0">SUM(C9:F9)</f>
        <v>360</v>
      </c>
      <c r="H9">
        <f t="shared" ref="H9:H46" si="1">ROUND(G9/5209,2)</f>
        <v>7.0000000000000007E-2</v>
      </c>
      <c r="I9" s="10">
        <f t="shared" ref="I9:I46" si="2">ROUND(G9/$G$49,3)</f>
        <v>0</v>
      </c>
      <c r="J9">
        <f>ROUND(G9/P9-1,2)</f>
        <v>-0.22</v>
      </c>
      <c r="P9">
        <v>460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66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17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J12">
        <f>ROUND(G12/P12-1,2)</f>
        <v>-1</v>
      </c>
      <c r="P12">
        <v>40</v>
      </c>
    </row>
    <row r="13" spans="1:16" x14ac:dyDescent="0.25">
      <c r="A13" t="s">
        <v>16</v>
      </c>
      <c r="B13" t="s">
        <v>78</v>
      </c>
      <c r="C13" s="9"/>
      <c r="D13" s="9"/>
      <c r="E13" s="9"/>
      <c r="F13" s="9"/>
      <c r="G13" s="9">
        <f t="shared" si="0"/>
        <v>0</v>
      </c>
      <c r="H13">
        <f t="shared" si="1"/>
        <v>0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67</v>
      </c>
      <c r="C14" s="9"/>
      <c r="D14" s="9"/>
      <c r="E14" s="9">
        <v>174</v>
      </c>
      <c r="F14" s="9"/>
      <c r="G14" s="9">
        <f t="shared" si="0"/>
        <v>174</v>
      </c>
      <c r="H14">
        <f t="shared" si="1"/>
        <v>0.03</v>
      </c>
      <c r="I14" s="10">
        <f t="shared" si="2"/>
        <v>0</v>
      </c>
      <c r="J14">
        <f t="shared" ref="J14:J19" si="3">ROUND(G14/P14-1,2)</f>
        <v>0.09</v>
      </c>
      <c r="P14">
        <v>159</v>
      </c>
    </row>
    <row r="15" spans="1:16" x14ac:dyDescent="0.25">
      <c r="A15" t="s">
        <v>20</v>
      </c>
      <c r="B15" t="s">
        <v>21</v>
      </c>
      <c r="C15" s="9">
        <v>145290</v>
      </c>
      <c r="D15" s="9"/>
      <c r="E15" s="9">
        <v>13780</v>
      </c>
      <c r="F15" s="9">
        <v>710</v>
      </c>
      <c r="G15" s="9">
        <f t="shared" si="0"/>
        <v>159780</v>
      </c>
      <c r="H15">
        <f t="shared" si="1"/>
        <v>30.67</v>
      </c>
      <c r="I15" s="10">
        <f t="shared" si="2"/>
        <v>7.0000000000000007E-2</v>
      </c>
      <c r="J15">
        <f t="shared" si="3"/>
        <v>0.01</v>
      </c>
      <c r="P15">
        <v>157600</v>
      </c>
    </row>
    <row r="16" spans="1:16" x14ac:dyDescent="0.25">
      <c r="A16" t="s">
        <v>20</v>
      </c>
      <c r="B16" t="s">
        <v>22</v>
      </c>
      <c r="C16" s="9">
        <v>229470</v>
      </c>
      <c r="D16" s="9"/>
      <c r="E16" s="9"/>
      <c r="F16" s="9"/>
      <c r="G16" s="9">
        <f t="shared" si="0"/>
        <v>229470</v>
      </c>
      <c r="H16">
        <f t="shared" si="1"/>
        <v>44.05</v>
      </c>
      <c r="I16" s="10">
        <f t="shared" si="2"/>
        <v>0.1</v>
      </c>
      <c r="J16">
        <f t="shared" si="3"/>
        <v>0.01</v>
      </c>
      <c r="P16">
        <v>227150</v>
      </c>
    </row>
    <row r="17" spans="1:16" x14ac:dyDescent="0.25">
      <c r="A17" t="s">
        <v>20</v>
      </c>
      <c r="B17" t="s">
        <v>79</v>
      </c>
      <c r="C17" s="9"/>
      <c r="D17" s="9"/>
      <c r="E17" s="9">
        <v>335</v>
      </c>
      <c r="F17" s="9"/>
      <c r="G17" s="9">
        <f t="shared" si="0"/>
        <v>335</v>
      </c>
      <c r="H17">
        <f t="shared" si="1"/>
        <v>0.06</v>
      </c>
      <c r="I17" s="10">
        <f t="shared" si="2"/>
        <v>0</v>
      </c>
      <c r="J17">
        <f t="shared" si="3"/>
        <v>0.21</v>
      </c>
      <c r="P17">
        <v>276</v>
      </c>
    </row>
    <row r="18" spans="1:16" x14ac:dyDescent="0.25">
      <c r="A18" t="s">
        <v>20</v>
      </c>
      <c r="B18" t="s">
        <v>42</v>
      </c>
      <c r="C18" s="9"/>
      <c r="D18" s="9"/>
      <c r="E18" s="9">
        <v>575</v>
      </c>
      <c r="F18" s="9"/>
      <c r="G18" s="9">
        <f t="shared" si="0"/>
        <v>575</v>
      </c>
      <c r="H18">
        <f t="shared" si="1"/>
        <v>0.11</v>
      </c>
      <c r="I18" s="10">
        <f t="shared" si="2"/>
        <v>0</v>
      </c>
      <c r="J18">
        <f t="shared" si="3"/>
        <v>0.12</v>
      </c>
      <c r="P18">
        <v>514</v>
      </c>
    </row>
    <row r="19" spans="1:16" x14ac:dyDescent="0.25">
      <c r="A19" t="s">
        <v>20</v>
      </c>
      <c r="B19" t="s">
        <v>23</v>
      </c>
      <c r="C19" s="9"/>
      <c r="D19" s="9"/>
      <c r="E19" s="9">
        <v>4300</v>
      </c>
      <c r="F19" s="9"/>
      <c r="G19" s="9">
        <f t="shared" si="0"/>
        <v>4300</v>
      </c>
      <c r="H19">
        <f t="shared" si="1"/>
        <v>0.83</v>
      </c>
      <c r="I19" s="10">
        <f t="shared" si="2"/>
        <v>2E-3</v>
      </c>
      <c r="J19">
        <f t="shared" si="3"/>
        <v>-0.95</v>
      </c>
      <c r="P19">
        <v>78870</v>
      </c>
    </row>
    <row r="20" spans="1:16" x14ac:dyDescent="0.25">
      <c r="A20" t="s">
        <v>20</v>
      </c>
      <c r="B20" t="s">
        <v>80</v>
      </c>
      <c r="C20" s="9"/>
      <c r="D20" s="9"/>
      <c r="E20" s="9"/>
      <c r="F20" s="9">
        <v>215</v>
      </c>
      <c r="G20" s="9">
        <f t="shared" si="0"/>
        <v>215</v>
      </c>
      <c r="H20">
        <f t="shared" si="1"/>
        <v>0.04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288020</v>
      </c>
      <c r="F21" s="9">
        <v>323</v>
      </c>
      <c r="G21" s="9">
        <f t="shared" si="0"/>
        <v>288343</v>
      </c>
      <c r="H21">
        <f t="shared" si="1"/>
        <v>55.35</v>
      </c>
      <c r="I21" s="10">
        <f t="shared" si="2"/>
        <v>0.126</v>
      </c>
      <c r="J21">
        <f t="shared" ref="J21:J41" si="4">ROUND(G21/P21-1,2)</f>
        <v>0.45</v>
      </c>
      <c r="P21">
        <v>199200</v>
      </c>
    </row>
    <row r="22" spans="1:16" x14ac:dyDescent="0.25">
      <c r="A22" t="s">
        <v>20</v>
      </c>
      <c r="B22" t="s">
        <v>25</v>
      </c>
      <c r="C22" s="9">
        <v>192570</v>
      </c>
      <c r="D22" s="9"/>
      <c r="E22" s="9">
        <v>24620</v>
      </c>
      <c r="F22" s="9">
        <v>680</v>
      </c>
      <c r="G22" s="9">
        <f t="shared" si="0"/>
        <v>217870</v>
      </c>
      <c r="H22">
        <f t="shared" si="1"/>
        <v>41.83</v>
      </c>
      <c r="I22" s="10">
        <f t="shared" si="2"/>
        <v>9.5000000000000001E-2</v>
      </c>
      <c r="J22">
        <f t="shared" si="4"/>
        <v>0.04</v>
      </c>
      <c r="P22">
        <v>210000</v>
      </c>
    </row>
    <row r="23" spans="1:16" x14ac:dyDescent="0.25">
      <c r="A23" t="s">
        <v>20</v>
      </c>
      <c r="B23" t="s">
        <v>69</v>
      </c>
      <c r="C23" s="9"/>
      <c r="D23" s="9"/>
      <c r="E23" s="9">
        <v>13430</v>
      </c>
      <c r="F23" s="9"/>
      <c r="G23" s="9">
        <f t="shared" si="0"/>
        <v>13430</v>
      </c>
      <c r="H23">
        <f t="shared" si="1"/>
        <v>2.58</v>
      </c>
      <c r="I23" s="10">
        <f t="shared" si="2"/>
        <v>6.0000000000000001E-3</v>
      </c>
      <c r="J23">
        <f t="shared" si="4"/>
        <v>0.21</v>
      </c>
      <c r="P23">
        <v>11110</v>
      </c>
    </row>
    <row r="24" spans="1:16" x14ac:dyDescent="0.25">
      <c r="A24" t="s">
        <v>20</v>
      </c>
      <c r="B24" t="s">
        <v>26</v>
      </c>
      <c r="C24" s="9">
        <v>252220</v>
      </c>
      <c r="D24" s="9"/>
      <c r="E24" s="9"/>
      <c r="F24" s="9">
        <v>990</v>
      </c>
      <c r="G24" s="9">
        <f t="shared" si="0"/>
        <v>253210</v>
      </c>
      <c r="H24">
        <f t="shared" si="1"/>
        <v>48.61</v>
      </c>
      <c r="I24" s="10">
        <f t="shared" si="2"/>
        <v>0.111</v>
      </c>
      <c r="J24">
        <f t="shared" si="4"/>
        <v>-0.03</v>
      </c>
      <c r="P24">
        <v>262330</v>
      </c>
    </row>
    <row r="25" spans="1:16" x14ac:dyDescent="0.25">
      <c r="A25" t="s">
        <v>20</v>
      </c>
      <c r="B25" t="s">
        <v>27</v>
      </c>
      <c r="C25" s="9"/>
      <c r="D25" s="9"/>
      <c r="E25" s="9">
        <v>2801</v>
      </c>
      <c r="F25" s="9"/>
      <c r="G25" s="9">
        <f t="shared" si="0"/>
        <v>2801</v>
      </c>
      <c r="H25">
        <f t="shared" si="1"/>
        <v>0.54</v>
      </c>
      <c r="I25" s="10">
        <f t="shared" si="2"/>
        <v>1E-3</v>
      </c>
      <c r="J25">
        <f t="shared" si="4"/>
        <v>-0.18</v>
      </c>
      <c r="P25">
        <v>3411</v>
      </c>
    </row>
    <row r="26" spans="1:16" x14ac:dyDescent="0.25">
      <c r="A26" t="s">
        <v>20</v>
      </c>
      <c r="B26" t="s">
        <v>28</v>
      </c>
      <c r="C26" s="9"/>
      <c r="D26" s="9"/>
      <c r="E26" s="9">
        <v>2112</v>
      </c>
      <c r="F26" s="9"/>
      <c r="G26" s="9">
        <f t="shared" si="0"/>
        <v>2112</v>
      </c>
      <c r="H26">
        <f t="shared" si="1"/>
        <v>0.41</v>
      </c>
      <c r="I26" s="10">
        <f t="shared" si="2"/>
        <v>1E-3</v>
      </c>
      <c r="J26">
        <f t="shared" si="4"/>
        <v>1.78</v>
      </c>
      <c r="P26">
        <v>760</v>
      </c>
    </row>
    <row r="27" spans="1:16" x14ac:dyDescent="0.25">
      <c r="A27" t="s">
        <v>20</v>
      </c>
      <c r="B27" t="s">
        <v>29</v>
      </c>
      <c r="C27" s="9"/>
      <c r="D27" s="9"/>
      <c r="E27" s="9">
        <v>357</v>
      </c>
      <c r="F27" s="9"/>
      <c r="G27" s="9">
        <f t="shared" si="0"/>
        <v>357</v>
      </c>
      <c r="H27">
        <f t="shared" si="1"/>
        <v>7.0000000000000007E-2</v>
      </c>
      <c r="I27" s="10">
        <f t="shared" si="2"/>
        <v>0</v>
      </c>
      <c r="J27">
        <f t="shared" si="4"/>
        <v>0.49</v>
      </c>
      <c r="P27">
        <v>239</v>
      </c>
    </row>
    <row r="28" spans="1:16" x14ac:dyDescent="0.25">
      <c r="A28" t="s">
        <v>20</v>
      </c>
      <c r="B28" t="s">
        <v>30</v>
      </c>
      <c r="C28" s="9"/>
      <c r="D28" s="9"/>
      <c r="E28" s="9">
        <v>13510</v>
      </c>
      <c r="F28" s="9"/>
      <c r="G28" s="9">
        <f t="shared" si="0"/>
        <v>13510</v>
      </c>
      <c r="H28">
        <f t="shared" si="1"/>
        <v>2.59</v>
      </c>
      <c r="I28" s="10">
        <f t="shared" si="2"/>
        <v>6.0000000000000001E-3</v>
      </c>
      <c r="J28">
        <f t="shared" si="4"/>
        <v>0.28999999999999998</v>
      </c>
      <c r="P28">
        <v>10490</v>
      </c>
    </row>
    <row r="29" spans="1:16" x14ac:dyDescent="0.25">
      <c r="A29" t="s">
        <v>20</v>
      </c>
      <c r="B29" t="s">
        <v>31</v>
      </c>
      <c r="C29" s="9"/>
      <c r="D29" s="9"/>
      <c r="E29" s="9">
        <v>2230</v>
      </c>
      <c r="F29" s="9"/>
      <c r="G29" s="9">
        <f t="shared" si="0"/>
        <v>2230</v>
      </c>
      <c r="H29">
        <f t="shared" si="1"/>
        <v>0.43</v>
      </c>
      <c r="I29" s="10">
        <f t="shared" si="2"/>
        <v>1E-3</v>
      </c>
      <c r="J29">
        <f t="shared" si="4"/>
        <v>0.06</v>
      </c>
      <c r="P29">
        <v>2110</v>
      </c>
    </row>
    <row r="30" spans="1:16" x14ac:dyDescent="0.25">
      <c r="A30" t="s">
        <v>20</v>
      </c>
      <c r="B30" t="s">
        <v>32</v>
      </c>
      <c r="C30" s="9"/>
      <c r="D30" s="9"/>
      <c r="E30" s="9">
        <v>2230</v>
      </c>
      <c r="F30" s="9"/>
      <c r="G30" s="9">
        <f t="shared" si="0"/>
        <v>2230</v>
      </c>
      <c r="H30">
        <f t="shared" si="1"/>
        <v>0.43</v>
      </c>
      <c r="I30" s="10">
        <f t="shared" si="2"/>
        <v>1E-3</v>
      </c>
      <c r="J30">
        <f t="shared" si="4"/>
        <v>0.25</v>
      </c>
      <c r="P30">
        <v>1790</v>
      </c>
    </row>
    <row r="31" spans="1:16" x14ac:dyDescent="0.25">
      <c r="A31" t="s">
        <v>20</v>
      </c>
      <c r="B31" t="s">
        <v>33</v>
      </c>
      <c r="C31" s="9"/>
      <c r="D31" s="9"/>
      <c r="E31" s="9">
        <v>3905</v>
      </c>
      <c r="F31" s="9"/>
      <c r="G31" s="9">
        <f t="shared" si="0"/>
        <v>3905</v>
      </c>
      <c r="H31">
        <f t="shared" si="1"/>
        <v>0.75</v>
      </c>
      <c r="I31" s="10">
        <f t="shared" si="2"/>
        <v>2E-3</v>
      </c>
      <c r="J31">
        <f t="shared" si="4"/>
        <v>0.06</v>
      </c>
      <c r="P31">
        <v>3675</v>
      </c>
    </row>
    <row r="32" spans="1:16" x14ac:dyDescent="0.25">
      <c r="A32" t="s">
        <v>20</v>
      </c>
      <c r="B32" t="s">
        <v>43</v>
      </c>
      <c r="C32" s="9"/>
      <c r="D32" s="9">
        <v>448</v>
      </c>
      <c r="E32" s="9"/>
      <c r="F32" s="9"/>
      <c r="G32" s="9">
        <f t="shared" si="0"/>
        <v>448</v>
      </c>
      <c r="H32">
        <f t="shared" si="1"/>
        <v>0.09</v>
      </c>
      <c r="I32" s="10">
        <f t="shared" si="2"/>
        <v>0</v>
      </c>
      <c r="J32">
        <f t="shared" si="4"/>
        <v>-0.03</v>
      </c>
      <c r="P32">
        <v>464</v>
      </c>
    </row>
    <row r="33" spans="1:16" x14ac:dyDescent="0.25">
      <c r="A33" t="s">
        <v>20</v>
      </c>
      <c r="B33" t="s">
        <v>70</v>
      </c>
      <c r="C33" s="9"/>
      <c r="D33" s="9"/>
      <c r="E33" s="9">
        <v>600</v>
      </c>
      <c r="F33" s="9"/>
      <c r="G33" s="9">
        <f t="shared" si="0"/>
        <v>600</v>
      </c>
      <c r="H33">
        <f t="shared" si="1"/>
        <v>0.12</v>
      </c>
      <c r="I33" s="10">
        <f t="shared" si="2"/>
        <v>0</v>
      </c>
      <c r="J33">
        <f t="shared" si="4"/>
        <v>0.94</v>
      </c>
      <c r="P33">
        <v>310</v>
      </c>
    </row>
    <row r="34" spans="1:16" x14ac:dyDescent="0.25">
      <c r="A34" t="s">
        <v>20</v>
      </c>
      <c r="B34" t="s">
        <v>34</v>
      </c>
      <c r="C34" s="9"/>
      <c r="D34" s="9"/>
      <c r="E34" s="9">
        <v>1553</v>
      </c>
      <c r="F34" s="9"/>
      <c r="G34" s="9">
        <f t="shared" si="0"/>
        <v>1553</v>
      </c>
      <c r="H34">
        <f t="shared" si="1"/>
        <v>0.3</v>
      </c>
      <c r="I34" s="10">
        <f t="shared" si="2"/>
        <v>1E-3</v>
      </c>
      <c r="J34">
        <f t="shared" si="4"/>
        <v>1.65</v>
      </c>
      <c r="P34">
        <v>585</v>
      </c>
    </row>
    <row r="35" spans="1:16" x14ac:dyDescent="0.25">
      <c r="A35" t="s">
        <v>20</v>
      </c>
      <c r="B35" t="s">
        <v>35</v>
      </c>
      <c r="C35" s="9"/>
      <c r="D35" s="9"/>
      <c r="E35" s="9">
        <v>6669</v>
      </c>
      <c r="F35" s="9"/>
      <c r="G35" s="9">
        <f t="shared" si="0"/>
        <v>6669</v>
      </c>
      <c r="H35">
        <f t="shared" si="1"/>
        <v>1.28</v>
      </c>
      <c r="I35" s="10">
        <f t="shared" si="2"/>
        <v>3.0000000000000001E-3</v>
      </c>
      <c r="J35">
        <f t="shared" si="4"/>
        <v>0.16</v>
      </c>
      <c r="P35">
        <v>5773</v>
      </c>
    </row>
    <row r="36" spans="1:16" x14ac:dyDescent="0.25">
      <c r="A36" t="s">
        <v>20</v>
      </c>
      <c r="B36" t="s">
        <v>41</v>
      </c>
      <c r="C36" s="9"/>
      <c r="D36" s="9"/>
      <c r="E36" s="9">
        <v>18240</v>
      </c>
      <c r="F36" s="9"/>
      <c r="G36" s="9">
        <f t="shared" si="0"/>
        <v>18240</v>
      </c>
      <c r="H36">
        <f t="shared" si="1"/>
        <v>3.5</v>
      </c>
      <c r="I36" s="10">
        <f t="shared" si="2"/>
        <v>8.0000000000000002E-3</v>
      </c>
      <c r="J36">
        <f t="shared" si="4"/>
        <v>0.37</v>
      </c>
      <c r="P36">
        <v>13328</v>
      </c>
    </row>
    <row r="37" spans="1:16" x14ac:dyDescent="0.25">
      <c r="A37" t="s">
        <v>20</v>
      </c>
      <c r="B37" t="s">
        <v>36</v>
      </c>
      <c r="C37" s="9"/>
      <c r="D37" s="9"/>
      <c r="E37" s="9">
        <v>10210</v>
      </c>
      <c r="F37" s="9"/>
      <c r="G37" s="9">
        <f t="shared" si="0"/>
        <v>10210</v>
      </c>
      <c r="H37">
        <f t="shared" si="1"/>
        <v>1.96</v>
      </c>
      <c r="I37" s="10">
        <f t="shared" si="2"/>
        <v>4.0000000000000001E-3</v>
      </c>
      <c r="J37">
        <f t="shared" si="4"/>
        <v>-0.36</v>
      </c>
      <c r="P37">
        <v>15830</v>
      </c>
    </row>
    <row r="38" spans="1:16" x14ac:dyDescent="0.25">
      <c r="A38" t="s">
        <v>20</v>
      </c>
      <c r="B38" t="s">
        <v>37</v>
      </c>
      <c r="C38" s="9"/>
      <c r="D38" s="9"/>
      <c r="E38" s="9">
        <v>202310</v>
      </c>
      <c r="F38" s="9"/>
      <c r="G38" s="9">
        <f t="shared" si="0"/>
        <v>202310</v>
      </c>
      <c r="H38">
        <f t="shared" si="1"/>
        <v>38.840000000000003</v>
      </c>
      <c r="I38" s="10">
        <f t="shared" si="2"/>
        <v>8.8999999999999996E-2</v>
      </c>
      <c r="J38">
        <f t="shared" si="4"/>
        <v>0.13</v>
      </c>
      <c r="P38">
        <v>178560</v>
      </c>
    </row>
    <row r="39" spans="1:16" x14ac:dyDescent="0.25">
      <c r="A39" t="s">
        <v>20</v>
      </c>
      <c r="B39" t="s">
        <v>38</v>
      </c>
      <c r="C39" s="9"/>
      <c r="D39" s="9"/>
      <c r="E39" s="9">
        <v>16835</v>
      </c>
      <c r="F39" s="9"/>
      <c r="G39" s="9">
        <f t="shared" si="0"/>
        <v>16835</v>
      </c>
      <c r="H39">
        <f t="shared" si="1"/>
        <v>3.23</v>
      </c>
      <c r="I39" s="10">
        <f t="shared" si="2"/>
        <v>7.0000000000000001E-3</v>
      </c>
      <c r="J39">
        <f t="shared" si="4"/>
        <v>0.6</v>
      </c>
      <c r="P39">
        <v>10530</v>
      </c>
    </row>
    <row r="40" spans="1:16" x14ac:dyDescent="0.25">
      <c r="A40" t="s">
        <v>20</v>
      </c>
      <c r="B40" t="s">
        <v>39</v>
      </c>
      <c r="C40" s="9"/>
      <c r="D40" s="9"/>
      <c r="E40" s="9">
        <v>35040</v>
      </c>
      <c r="F40" s="9"/>
      <c r="G40" s="9">
        <f t="shared" si="0"/>
        <v>35040</v>
      </c>
      <c r="H40">
        <f t="shared" si="1"/>
        <v>6.73</v>
      </c>
      <c r="I40" s="10">
        <f t="shared" si="2"/>
        <v>1.4999999999999999E-2</v>
      </c>
      <c r="J40">
        <f t="shared" si="4"/>
        <v>-7.0000000000000007E-2</v>
      </c>
      <c r="P40">
        <v>37800</v>
      </c>
    </row>
    <row r="41" spans="1:16" x14ac:dyDescent="0.25">
      <c r="A41" t="s">
        <v>20</v>
      </c>
      <c r="B41" t="s">
        <v>40</v>
      </c>
      <c r="C41" s="9"/>
      <c r="D41" s="9"/>
      <c r="E41" s="9">
        <v>320380</v>
      </c>
      <c r="F41" s="9">
        <v>420</v>
      </c>
      <c r="G41" s="9">
        <f t="shared" si="0"/>
        <v>320800</v>
      </c>
      <c r="H41">
        <f t="shared" si="1"/>
        <v>61.59</v>
      </c>
      <c r="I41" s="10">
        <f t="shared" si="2"/>
        <v>0.14000000000000001</v>
      </c>
      <c r="J41">
        <f t="shared" si="4"/>
        <v>0.43</v>
      </c>
      <c r="P41">
        <v>223600</v>
      </c>
    </row>
    <row r="42" spans="1:16" x14ac:dyDescent="0.25">
      <c r="A42" t="s">
        <v>20</v>
      </c>
      <c r="B42" t="s">
        <v>81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20</v>
      </c>
      <c r="B43" t="s">
        <v>82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44</v>
      </c>
      <c r="B44" t="s">
        <v>45</v>
      </c>
      <c r="C44" s="9">
        <v>273250</v>
      </c>
      <c r="D44" s="9"/>
      <c r="E44" s="9"/>
      <c r="F44" s="9">
        <v>2280</v>
      </c>
      <c r="G44" s="9">
        <f t="shared" si="0"/>
        <v>275530</v>
      </c>
      <c r="H44">
        <f t="shared" si="1"/>
        <v>52.89</v>
      </c>
      <c r="I44" s="10">
        <f t="shared" si="2"/>
        <v>0.121</v>
      </c>
      <c r="J44">
        <f>ROUND(G44/P44-1,2)</f>
        <v>7.0000000000000007E-2</v>
      </c>
      <c r="P44">
        <v>258320</v>
      </c>
    </row>
    <row r="45" spans="1:16" x14ac:dyDescent="0.25">
      <c r="A45" t="s">
        <v>44</v>
      </c>
      <c r="B45" t="s">
        <v>47</v>
      </c>
      <c r="C45" s="9"/>
      <c r="D45" s="9"/>
      <c r="E45" s="9"/>
      <c r="F45" s="9">
        <v>67300</v>
      </c>
      <c r="G45" s="9">
        <f t="shared" si="0"/>
        <v>67300</v>
      </c>
      <c r="H45">
        <f t="shared" si="1"/>
        <v>12.92</v>
      </c>
      <c r="I45" s="10">
        <f t="shared" si="2"/>
        <v>2.9000000000000001E-2</v>
      </c>
      <c r="J45">
        <f>ROUND(G45/P45-1,2)</f>
        <v>0.12</v>
      </c>
      <c r="P45">
        <v>60200</v>
      </c>
    </row>
    <row r="46" spans="1:16" x14ac:dyDescent="0.25">
      <c r="A46" t="s">
        <v>44</v>
      </c>
      <c r="B46" t="s">
        <v>46</v>
      </c>
      <c r="C46" s="9"/>
      <c r="D46" s="9"/>
      <c r="E46" s="9">
        <v>134760</v>
      </c>
      <c r="F46" s="9"/>
      <c r="G46" s="9">
        <f t="shared" si="0"/>
        <v>134760</v>
      </c>
      <c r="H46">
        <f t="shared" si="1"/>
        <v>25.87</v>
      </c>
      <c r="I46" s="10">
        <f t="shared" si="2"/>
        <v>5.8999999999999997E-2</v>
      </c>
      <c r="J46">
        <f>ROUND(G46/P46-1,2)</f>
        <v>0.14000000000000001</v>
      </c>
      <c r="P46">
        <v>117960</v>
      </c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SUM(C8:C46)</f>
        <v>1092800</v>
      </c>
      <c r="D49" s="12">
        <f t="shared" si="5"/>
        <v>448</v>
      </c>
      <c r="E49" s="12">
        <f t="shared" si="5"/>
        <v>1118976</v>
      </c>
      <c r="F49" s="12">
        <f t="shared" si="5"/>
        <v>73278</v>
      </c>
      <c r="G49" s="12">
        <f t="shared" si="5"/>
        <v>2285502</v>
      </c>
      <c r="H49" s="11">
        <f t="shared" si="5"/>
        <v>438.77000000000015</v>
      </c>
      <c r="I49" s="4"/>
    </row>
    <row r="50" spans="1:10" x14ac:dyDescent="0.25">
      <c r="A50" s="11" t="s">
        <v>14</v>
      </c>
      <c r="C50" s="13">
        <f>ROUND(C49/G49,2)</f>
        <v>0.48</v>
      </c>
      <c r="D50" s="13">
        <f>ROUND(D49/G49,2)</f>
        <v>0</v>
      </c>
      <c r="E50" s="13">
        <f>ROUND(E49/G49,2)</f>
        <v>0.49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819550</v>
      </c>
      <c r="D54" s="15">
        <v>448</v>
      </c>
      <c r="E54" s="15">
        <v>984216</v>
      </c>
      <c r="F54" s="15">
        <v>3338</v>
      </c>
      <c r="G54" s="15">
        <f>SUM(C54:F54)</f>
        <v>1807552</v>
      </c>
      <c r="H54" s="17">
        <f>ROUND(G54/5209,2)</f>
        <v>347.01</v>
      </c>
      <c r="I54" s="4"/>
      <c r="J54" s="4"/>
    </row>
    <row r="55" spans="1:10" x14ac:dyDescent="0.25">
      <c r="A55" s="33" t="s">
        <v>50</v>
      </c>
      <c r="B55" s="33"/>
      <c r="C55" s="15">
        <v>273250</v>
      </c>
      <c r="D55" s="15">
        <v>0</v>
      </c>
      <c r="E55" s="15">
        <v>134760</v>
      </c>
      <c r="F55" s="15">
        <v>69580</v>
      </c>
      <c r="G55" s="15">
        <f>SUM(C55:F55)</f>
        <v>477590</v>
      </c>
      <c r="H55" s="17">
        <f>ROUND(G55/5209,2)</f>
        <v>91.69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360</v>
      </c>
      <c r="G56" s="15">
        <f>SUM(C56:F56)</f>
        <v>360</v>
      </c>
      <c r="H56" s="17">
        <f>ROUND(G56/5209,2)</f>
        <v>7.0000000000000007E-2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ROUND(0.8501, 4)</f>
        <v>0.85009999999999997</v>
      </c>
      <c r="D60" s="19">
        <f>ROUND(0.8459, 4)</f>
        <v>0.84589999999999999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ROUND(0.8399, 4)</f>
        <v>0.83989999999999998</v>
      </c>
      <c r="D61" s="19">
        <f>ROUND(0.8348, 4)</f>
        <v>0.83479999999999999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83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52.89</v>
      </c>
      <c r="D64" s="16">
        <v>49.71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48.61</v>
      </c>
      <c r="D65" s="16">
        <v>48.62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348.34</v>
      </c>
      <c r="D66" s="16">
        <v>325.92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91.69</v>
      </c>
      <c r="D67" s="16">
        <v>86.29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P75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216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2346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15</v>
      </c>
      <c r="F9" s="9"/>
      <c r="G9" s="9">
        <f t="shared" ref="G9:G36" si="0">SUM(C9:F9)</f>
        <v>15</v>
      </c>
      <c r="H9">
        <f t="shared" ref="H9:H36" si="1">ROUND(G9/2346,2)</f>
        <v>0.01</v>
      </c>
      <c r="I9" s="10">
        <f t="shared" ref="I9:I36" si="2">ROUND(G9/$G$49,3)</f>
        <v>0</v>
      </c>
      <c r="P9">
        <v>0</v>
      </c>
    </row>
    <row r="10" spans="1:16" x14ac:dyDescent="0.25">
      <c r="A10" t="s">
        <v>20</v>
      </c>
      <c r="B10" t="s">
        <v>21</v>
      </c>
      <c r="C10" s="9">
        <v>71760</v>
      </c>
      <c r="D10" s="9"/>
      <c r="E10" s="9"/>
      <c r="F10" s="9"/>
      <c r="G10" s="9">
        <f t="shared" si="0"/>
        <v>71760</v>
      </c>
      <c r="H10">
        <f t="shared" si="1"/>
        <v>30.59</v>
      </c>
      <c r="I10" s="10">
        <f t="shared" si="2"/>
        <v>9.1999999999999998E-2</v>
      </c>
      <c r="J10">
        <f>ROUND(G10/P10-1,2)</f>
        <v>-0.02</v>
      </c>
      <c r="P10">
        <v>73240</v>
      </c>
    </row>
    <row r="11" spans="1:16" x14ac:dyDescent="0.25">
      <c r="A11" t="s">
        <v>20</v>
      </c>
      <c r="B11" t="s">
        <v>22</v>
      </c>
      <c r="C11" s="9">
        <v>93890</v>
      </c>
      <c r="D11" s="9"/>
      <c r="E11" s="9"/>
      <c r="F11" s="9"/>
      <c r="G11" s="9">
        <f t="shared" si="0"/>
        <v>93890</v>
      </c>
      <c r="H11">
        <f t="shared" si="1"/>
        <v>40.020000000000003</v>
      </c>
      <c r="I11" s="10">
        <f t="shared" si="2"/>
        <v>0.12</v>
      </c>
      <c r="J11">
        <f>ROUND(G11/P11-1,2)</f>
        <v>-0.09</v>
      </c>
      <c r="P11">
        <v>103300</v>
      </c>
    </row>
    <row r="12" spans="1:16" x14ac:dyDescent="0.25">
      <c r="A12" t="s">
        <v>20</v>
      </c>
      <c r="B12" t="s">
        <v>79</v>
      </c>
      <c r="C12" s="9"/>
      <c r="D12" s="9"/>
      <c r="E12" s="9">
        <v>86</v>
      </c>
      <c r="F12" s="9"/>
      <c r="G12" s="9">
        <f t="shared" si="0"/>
        <v>86</v>
      </c>
      <c r="H12">
        <f t="shared" si="1"/>
        <v>0.04</v>
      </c>
      <c r="I12" s="10">
        <f t="shared" si="2"/>
        <v>0</v>
      </c>
      <c r="J12">
        <f>ROUND(G12/P12-1,2)</f>
        <v>-0.56999999999999995</v>
      </c>
      <c r="P12">
        <v>201</v>
      </c>
    </row>
    <row r="13" spans="1:16" x14ac:dyDescent="0.25">
      <c r="A13" t="s">
        <v>20</v>
      </c>
      <c r="B13" t="s">
        <v>42</v>
      </c>
      <c r="C13" s="9"/>
      <c r="D13" s="9"/>
      <c r="E13" s="9">
        <v>303</v>
      </c>
      <c r="F13" s="9"/>
      <c r="G13" s="9">
        <f t="shared" si="0"/>
        <v>303</v>
      </c>
      <c r="H13">
        <f t="shared" si="1"/>
        <v>0.13</v>
      </c>
      <c r="I13" s="10">
        <f t="shared" si="2"/>
        <v>0</v>
      </c>
      <c r="J13">
        <f>ROUND(G13/P13-1,2)</f>
        <v>0.18</v>
      </c>
      <c r="P13">
        <v>257</v>
      </c>
    </row>
    <row r="14" spans="1:16" x14ac:dyDescent="0.25">
      <c r="A14" t="s">
        <v>20</v>
      </c>
      <c r="B14" t="s">
        <v>80</v>
      </c>
      <c r="C14" s="9"/>
      <c r="D14" s="9"/>
      <c r="E14" s="9"/>
      <c r="F14" s="9">
        <v>62</v>
      </c>
      <c r="G14" s="9">
        <f t="shared" si="0"/>
        <v>62</v>
      </c>
      <c r="H14">
        <f t="shared" si="1"/>
        <v>0.03</v>
      </c>
      <c r="I14" s="10">
        <f t="shared" si="2"/>
        <v>0</v>
      </c>
      <c r="P14">
        <v>0</v>
      </c>
    </row>
    <row r="15" spans="1:16" x14ac:dyDescent="0.25">
      <c r="A15" t="s">
        <v>20</v>
      </c>
      <c r="B15" t="s">
        <v>24</v>
      </c>
      <c r="C15" s="9"/>
      <c r="D15" s="9"/>
      <c r="E15" s="9">
        <v>29160</v>
      </c>
      <c r="F15" s="9"/>
      <c r="G15" s="9">
        <f t="shared" si="0"/>
        <v>29160</v>
      </c>
      <c r="H15">
        <f t="shared" si="1"/>
        <v>12.43</v>
      </c>
      <c r="I15" s="10">
        <f t="shared" si="2"/>
        <v>3.6999999999999998E-2</v>
      </c>
      <c r="J15">
        <f>ROUND(G15/P15-1,2)</f>
        <v>-0.2</v>
      </c>
      <c r="P15">
        <v>36560</v>
      </c>
    </row>
    <row r="16" spans="1:16" x14ac:dyDescent="0.25">
      <c r="A16" t="s">
        <v>20</v>
      </c>
      <c r="B16" t="s">
        <v>25</v>
      </c>
      <c r="C16" s="9">
        <v>99540</v>
      </c>
      <c r="D16" s="9"/>
      <c r="E16" s="9"/>
      <c r="F16" s="9"/>
      <c r="G16" s="9">
        <f t="shared" si="0"/>
        <v>99540</v>
      </c>
      <c r="H16">
        <f t="shared" si="1"/>
        <v>42.43</v>
      </c>
      <c r="I16" s="10">
        <f t="shared" si="2"/>
        <v>0.127</v>
      </c>
      <c r="J16">
        <f>ROUND(G16/P16-1,2)</f>
        <v>-0.03</v>
      </c>
      <c r="P16">
        <v>102480</v>
      </c>
    </row>
    <row r="17" spans="1:16" x14ac:dyDescent="0.25">
      <c r="A17" t="s">
        <v>20</v>
      </c>
      <c r="B17" t="s">
        <v>69</v>
      </c>
      <c r="C17" s="9"/>
      <c r="D17" s="9"/>
      <c r="E17" s="9">
        <v>3455</v>
      </c>
      <c r="F17" s="9"/>
      <c r="G17" s="9">
        <f t="shared" si="0"/>
        <v>3455</v>
      </c>
      <c r="H17">
        <f t="shared" si="1"/>
        <v>1.47</v>
      </c>
      <c r="I17" s="10">
        <f t="shared" si="2"/>
        <v>4.0000000000000001E-3</v>
      </c>
      <c r="J17">
        <f>ROUND(G17/P17-1,2)</f>
        <v>0.03</v>
      </c>
      <c r="P17">
        <v>3370</v>
      </c>
    </row>
    <row r="18" spans="1:16" x14ac:dyDescent="0.25">
      <c r="A18" t="s">
        <v>20</v>
      </c>
      <c r="B18" t="s">
        <v>26</v>
      </c>
      <c r="C18" s="9">
        <v>152040</v>
      </c>
      <c r="D18" s="9"/>
      <c r="E18" s="9"/>
      <c r="F18" s="9"/>
      <c r="G18" s="9">
        <f t="shared" si="0"/>
        <v>152040</v>
      </c>
      <c r="H18">
        <f t="shared" si="1"/>
        <v>64.81</v>
      </c>
      <c r="I18" s="10">
        <f t="shared" si="2"/>
        <v>0.19400000000000001</v>
      </c>
      <c r="J18">
        <f>ROUND(G18/P18-1,2)</f>
        <v>0.05</v>
      </c>
      <c r="P18">
        <v>144540</v>
      </c>
    </row>
    <row r="19" spans="1:16" x14ac:dyDescent="0.25">
      <c r="A19" t="s">
        <v>20</v>
      </c>
      <c r="B19" t="s">
        <v>29</v>
      </c>
      <c r="C19" s="9"/>
      <c r="D19" s="9"/>
      <c r="E19" s="9">
        <v>168</v>
      </c>
      <c r="F19" s="9"/>
      <c r="G19" s="9">
        <f t="shared" si="0"/>
        <v>168</v>
      </c>
      <c r="H19">
        <f t="shared" si="1"/>
        <v>7.0000000000000007E-2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30</v>
      </c>
      <c r="C20" s="9"/>
      <c r="D20" s="9"/>
      <c r="E20" s="9">
        <v>3155</v>
      </c>
      <c r="F20" s="9"/>
      <c r="G20" s="9">
        <f t="shared" si="0"/>
        <v>3155</v>
      </c>
      <c r="H20">
        <f t="shared" si="1"/>
        <v>1.34</v>
      </c>
      <c r="I20" s="10">
        <f t="shared" si="2"/>
        <v>4.0000000000000001E-3</v>
      </c>
      <c r="J20">
        <f>ROUND(G20/P20-1,2)</f>
        <v>-0.27</v>
      </c>
      <c r="P20">
        <v>4300</v>
      </c>
    </row>
    <row r="21" spans="1:16" x14ac:dyDescent="0.25">
      <c r="A21" t="s">
        <v>20</v>
      </c>
      <c r="B21" t="s">
        <v>31</v>
      </c>
      <c r="C21" s="9"/>
      <c r="D21" s="9"/>
      <c r="E21" s="9">
        <v>340</v>
      </c>
      <c r="F21" s="9"/>
      <c r="G21" s="9">
        <f t="shared" si="0"/>
        <v>340</v>
      </c>
      <c r="H21">
        <f t="shared" si="1"/>
        <v>0.14000000000000001</v>
      </c>
      <c r="I21" s="10">
        <f t="shared" si="2"/>
        <v>0</v>
      </c>
      <c r="J21">
        <f>ROUND(G21/P21-1,2)</f>
        <v>-0.56999999999999995</v>
      </c>
      <c r="P21">
        <v>790</v>
      </c>
    </row>
    <row r="22" spans="1:16" x14ac:dyDescent="0.25">
      <c r="A22" t="s">
        <v>20</v>
      </c>
      <c r="B22" t="s">
        <v>33</v>
      </c>
      <c r="C22" s="9"/>
      <c r="D22" s="9"/>
      <c r="E22" s="9">
        <v>820</v>
      </c>
      <c r="F22" s="9"/>
      <c r="G22" s="9">
        <f t="shared" si="0"/>
        <v>820</v>
      </c>
      <c r="H22">
        <f t="shared" si="1"/>
        <v>0.35</v>
      </c>
      <c r="I22" s="10">
        <f t="shared" si="2"/>
        <v>1E-3</v>
      </c>
      <c r="J22">
        <f>ROUND(G22/P22-1,2)</f>
        <v>-7.0000000000000007E-2</v>
      </c>
      <c r="P22">
        <v>885</v>
      </c>
    </row>
    <row r="23" spans="1:16" x14ac:dyDescent="0.25">
      <c r="A23" t="s">
        <v>20</v>
      </c>
      <c r="B23" t="s">
        <v>43</v>
      </c>
      <c r="C23" s="9"/>
      <c r="D23" s="9">
        <v>248</v>
      </c>
      <c r="E23" s="9"/>
      <c r="F23" s="9"/>
      <c r="G23" s="9">
        <f t="shared" si="0"/>
        <v>248</v>
      </c>
      <c r="H23">
        <f t="shared" si="1"/>
        <v>0.11</v>
      </c>
      <c r="I23" s="10">
        <f t="shared" si="2"/>
        <v>0</v>
      </c>
      <c r="J23">
        <f>ROUND(G23/P23-1,2)</f>
        <v>-0.05</v>
      </c>
      <c r="P23">
        <v>262</v>
      </c>
    </row>
    <row r="24" spans="1:16" x14ac:dyDescent="0.25">
      <c r="A24" t="s">
        <v>20</v>
      </c>
      <c r="B24" t="s">
        <v>34</v>
      </c>
      <c r="C24" s="9"/>
      <c r="D24" s="9">
        <v>395</v>
      </c>
      <c r="E24" s="9">
        <v>108</v>
      </c>
      <c r="F24" s="9"/>
      <c r="G24" s="9">
        <f t="shared" si="0"/>
        <v>503</v>
      </c>
      <c r="H24">
        <f t="shared" si="1"/>
        <v>0.21</v>
      </c>
      <c r="I24" s="10">
        <f t="shared" si="2"/>
        <v>1E-3</v>
      </c>
      <c r="J24">
        <f>ROUND(G24/P24-1,2)</f>
        <v>0</v>
      </c>
      <c r="P24">
        <v>501</v>
      </c>
    </row>
    <row r="25" spans="1:16" x14ac:dyDescent="0.25">
      <c r="A25" t="s">
        <v>20</v>
      </c>
      <c r="B25" t="s">
        <v>70</v>
      </c>
      <c r="C25" s="9"/>
      <c r="D25" s="9"/>
      <c r="E25" s="9">
        <v>670</v>
      </c>
      <c r="F25" s="9"/>
      <c r="G25" s="9">
        <f t="shared" si="0"/>
        <v>670</v>
      </c>
      <c r="H25">
        <f t="shared" si="1"/>
        <v>0.28999999999999998</v>
      </c>
      <c r="I25" s="10">
        <f t="shared" si="2"/>
        <v>1E-3</v>
      </c>
      <c r="P25">
        <v>0</v>
      </c>
    </row>
    <row r="26" spans="1:16" x14ac:dyDescent="0.25">
      <c r="A26" t="s">
        <v>20</v>
      </c>
      <c r="B26" t="s">
        <v>35</v>
      </c>
      <c r="C26" s="9"/>
      <c r="D26" s="9"/>
      <c r="E26" s="9">
        <v>2167</v>
      </c>
      <c r="F26" s="9"/>
      <c r="G26" s="9">
        <f t="shared" si="0"/>
        <v>2167</v>
      </c>
      <c r="H26">
        <f t="shared" si="1"/>
        <v>0.92</v>
      </c>
      <c r="I26" s="10">
        <f t="shared" si="2"/>
        <v>3.0000000000000001E-3</v>
      </c>
      <c r="J26">
        <f t="shared" ref="J26:J34" si="3">ROUND(G26/P26-1,2)</f>
        <v>0.03</v>
      </c>
      <c r="P26">
        <v>2114</v>
      </c>
    </row>
    <row r="27" spans="1:16" x14ac:dyDescent="0.25">
      <c r="A27" t="s">
        <v>20</v>
      </c>
      <c r="B27" t="s">
        <v>41</v>
      </c>
      <c r="C27" s="9"/>
      <c r="D27" s="9"/>
      <c r="E27" s="9">
        <v>2856</v>
      </c>
      <c r="F27" s="9"/>
      <c r="G27" s="9">
        <f t="shared" si="0"/>
        <v>2856</v>
      </c>
      <c r="H27">
        <f t="shared" si="1"/>
        <v>1.22</v>
      </c>
      <c r="I27" s="10">
        <f t="shared" si="2"/>
        <v>4.0000000000000001E-3</v>
      </c>
      <c r="J27">
        <f t="shared" si="3"/>
        <v>-0.35</v>
      </c>
      <c r="P27">
        <v>4363</v>
      </c>
    </row>
    <row r="28" spans="1:16" x14ac:dyDescent="0.25">
      <c r="A28" t="s">
        <v>20</v>
      </c>
      <c r="B28" t="s">
        <v>36</v>
      </c>
      <c r="C28" s="9"/>
      <c r="D28" s="9"/>
      <c r="E28" s="9">
        <v>4714</v>
      </c>
      <c r="F28" s="9"/>
      <c r="G28" s="9">
        <f t="shared" si="0"/>
        <v>4714</v>
      </c>
      <c r="H28">
        <f t="shared" si="1"/>
        <v>2.0099999999999998</v>
      </c>
      <c r="I28" s="10">
        <f t="shared" si="2"/>
        <v>6.0000000000000001E-3</v>
      </c>
      <c r="J28">
        <f t="shared" si="3"/>
        <v>-0.3</v>
      </c>
      <c r="P28">
        <v>6720</v>
      </c>
    </row>
    <row r="29" spans="1:16" x14ac:dyDescent="0.25">
      <c r="A29" t="s">
        <v>20</v>
      </c>
      <c r="B29" t="s">
        <v>37</v>
      </c>
      <c r="C29" s="9"/>
      <c r="D29" s="9"/>
      <c r="E29" s="9">
        <v>46465</v>
      </c>
      <c r="F29" s="9"/>
      <c r="G29" s="9">
        <f t="shared" si="0"/>
        <v>46465</v>
      </c>
      <c r="H29">
        <f t="shared" si="1"/>
        <v>19.809999999999999</v>
      </c>
      <c r="I29" s="10">
        <f t="shared" si="2"/>
        <v>5.8999999999999997E-2</v>
      </c>
      <c r="J29">
        <f t="shared" si="3"/>
        <v>0.04</v>
      </c>
      <c r="P29">
        <v>44780</v>
      </c>
    </row>
    <row r="30" spans="1:16" x14ac:dyDescent="0.25">
      <c r="A30" t="s">
        <v>20</v>
      </c>
      <c r="B30" t="s">
        <v>39</v>
      </c>
      <c r="C30" s="9"/>
      <c r="D30" s="9"/>
      <c r="E30" s="9">
        <v>15460</v>
      </c>
      <c r="F30" s="9"/>
      <c r="G30" s="9">
        <f t="shared" si="0"/>
        <v>15460</v>
      </c>
      <c r="H30">
        <f t="shared" si="1"/>
        <v>6.59</v>
      </c>
      <c r="I30" s="10">
        <f t="shared" si="2"/>
        <v>0.02</v>
      </c>
      <c r="J30">
        <f t="shared" si="3"/>
        <v>0.04</v>
      </c>
      <c r="P30">
        <v>14870</v>
      </c>
    </row>
    <row r="31" spans="1:16" x14ac:dyDescent="0.25">
      <c r="A31" t="s">
        <v>20</v>
      </c>
      <c r="B31" t="s">
        <v>40</v>
      </c>
      <c r="C31" s="9"/>
      <c r="D31" s="9"/>
      <c r="E31" s="9">
        <v>67940</v>
      </c>
      <c r="F31" s="9"/>
      <c r="G31" s="9">
        <f t="shared" si="0"/>
        <v>67940</v>
      </c>
      <c r="H31">
        <f t="shared" si="1"/>
        <v>28.96</v>
      </c>
      <c r="I31" s="10">
        <f t="shared" si="2"/>
        <v>8.6999999999999994E-2</v>
      </c>
      <c r="J31">
        <f t="shared" si="3"/>
        <v>0.35</v>
      </c>
      <c r="P31">
        <v>50150</v>
      </c>
    </row>
    <row r="32" spans="1:16" x14ac:dyDescent="0.25">
      <c r="A32" t="s">
        <v>20</v>
      </c>
      <c r="B32" t="s">
        <v>23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 t="shared" si="3"/>
        <v>-1</v>
      </c>
      <c r="P32">
        <v>410</v>
      </c>
    </row>
    <row r="33" spans="1:16" x14ac:dyDescent="0.25">
      <c r="A33" t="s">
        <v>44</v>
      </c>
      <c r="B33" t="s">
        <v>45</v>
      </c>
      <c r="C33" s="9">
        <v>154980</v>
      </c>
      <c r="D33" s="9"/>
      <c r="E33" s="9"/>
      <c r="F33" s="9"/>
      <c r="G33" s="9">
        <f t="shared" si="0"/>
        <v>154980</v>
      </c>
      <c r="H33">
        <f t="shared" si="1"/>
        <v>66.06</v>
      </c>
      <c r="I33" s="10">
        <f t="shared" si="2"/>
        <v>0.19800000000000001</v>
      </c>
      <c r="J33">
        <f t="shared" si="3"/>
        <v>0.01</v>
      </c>
      <c r="P33">
        <v>153460</v>
      </c>
    </row>
    <row r="34" spans="1:16" x14ac:dyDescent="0.25">
      <c r="A34" t="s">
        <v>44</v>
      </c>
      <c r="B34" t="s">
        <v>46</v>
      </c>
      <c r="C34" s="9"/>
      <c r="D34" s="9"/>
      <c r="E34" s="9">
        <v>33420</v>
      </c>
      <c r="F34" s="9"/>
      <c r="G34" s="9">
        <f t="shared" si="0"/>
        <v>33420</v>
      </c>
      <c r="H34">
        <f t="shared" si="1"/>
        <v>14.25</v>
      </c>
      <c r="I34" s="10">
        <f t="shared" si="2"/>
        <v>4.2999999999999997E-2</v>
      </c>
      <c r="J34">
        <f t="shared" si="3"/>
        <v>-0.21</v>
      </c>
      <c r="P34">
        <v>42105</v>
      </c>
    </row>
    <row r="35" spans="1:16" x14ac:dyDescent="0.25">
      <c r="A35" t="s">
        <v>44</v>
      </c>
      <c r="B35" t="s">
        <v>47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16</v>
      </c>
      <c r="B36" t="s">
        <v>19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572210</v>
      </c>
      <c r="D49" s="12">
        <f t="shared" si="4"/>
        <v>643</v>
      </c>
      <c r="E49" s="12">
        <f t="shared" si="4"/>
        <v>211302</v>
      </c>
      <c r="F49" s="12">
        <f t="shared" si="4"/>
        <v>62</v>
      </c>
      <c r="G49" s="12">
        <f t="shared" si="4"/>
        <v>784217</v>
      </c>
      <c r="H49" s="11">
        <f t="shared" si="4"/>
        <v>334.28999999999996</v>
      </c>
      <c r="I49" s="4"/>
    </row>
    <row r="50" spans="1:10" x14ac:dyDescent="0.25">
      <c r="A50" s="11" t="s">
        <v>14</v>
      </c>
      <c r="C50" s="13">
        <f>ROUND(C49/G49,2)</f>
        <v>0.73</v>
      </c>
      <c r="D50" s="13">
        <f>ROUND(D49/G49,2)</f>
        <v>0</v>
      </c>
      <c r="E50" s="13">
        <f>ROUND(E49/G49,2)</f>
        <v>0.27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417230</v>
      </c>
      <c r="D54" s="15">
        <v>643</v>
      </c>
      <c r="E54" s="15">
        <v>177882</v>
      </c>
      <c r="F54" s="15">
        <v>62</v>
      </c>
      <c r="G54" s="15">
        <f>SUM(C54:F54)</f>
        <v>595817</v>
      </c>
      <c r="H54" s="17">
        <f>ROUND(G54/2346,2)</f>
        <v>253.97</v>
      </c>
      <c r="I54" s="4"/>
      <c r="J54" s="4"/>
    </row>
    <row r="55" spans="1:10" x14ac:dyDescent="0.25">
      <c r="A55" s="33" t="s">
        <v>50</v>
      </c>
      <c r="B55" s="33"/>
      <c r="C55" s="15">
        <v>154980</v>
      </c>
      <c r="D55" s="15">
        <v>0</v>
      </c>
      <c r="E55" s="15">
        <v>33420</v>
      </c>
      <c r="F55" s="15">
        <v>0</v>
      </c>
      <c r="G55" s="15">
        <f>SUM(C55:F55)</f>
        <v>188400</v>
      </c>
      <c r="H55" s="17">
        <f>ROUND(G55/2346,2)</f>
        <v>80.31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ROUND(G56/2346,2)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ROUND(0.79, 4)</f>
        <v>0.79</v>
      </c>
      <c r="D60" s="19">
        <f>ROUND(0.7901, 4)</f>
        <v>0.79010000000000002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ROUND(0.7778, 4)</f>
        <v>0.77780000000000005</v>
      </c>
      <c r="D61" s="19">
        <f>ROUND(0.7776, 4)</f>
        <v>0.77759999999999996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217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66.06</v>
      </c>
      <c r="D64" s="17">
        <v>66.569999999999993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64.81</v>
      </c>
      <c r="D65" s="17">
        <v>62.62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253.97</v>
      </c>
      <c r="D66" s="17">
        <v>257.19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80.31</v>
      </c>
      <c r="D67" s="17">
        <v>83.41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1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218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4439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321</v>
      </c>
      <c r="F9" s="9"/>
      <c r="G9" s="9">
        <f t="shared" ref="G9:G44" si="0">SUM(C9:F9)</f>
        <v>321</v>
      </c>
      <c r="H9">
        <f t="shared" ref="H9:H44" si="1">ROUND(G9/4439,2)</f>
        <v>7.0000000000000007E-2</v>
      </c>
      <c r="I9" s="10">
        <f t="shared" ref="I9:I44" si="2">ROUND(G9/$G$49,3)</f>
        <v>0</v>
      </c>
      <c r="J9">
        <f t="shared" ref="J9:J26" si="3">ROUND(G9/P9-1,2)</f>
        <v>2.21</v>
      </c>
      <c r="P9">
        <v>100</v>
      </c>
    </row>
    <row r="10" spans="1:16" x14ac:dyDescent="0.25">
      <c r="A10" t="s">
        <v>20</v>
      </c>
      <c r="B10" t="s">
        <v>21</v>
      </c>
      <c r="C10" s="9">
        <v>133150</v>
      </c>
      <c r="D10" s="9"/>
      <c r="E10" s="9"/>
      <c r="F10" s="9"/>
      <c r="G10" s="9">
        <f t="shared" si="0"/>
        <v>133150</v>
      </c>
      <c r="H10">
        <f t="shared" si="1"/>
        <v>30</v>
      </c>
      <c r="I10" s="10">
        <f t="shared" si="2"/>
        <v>5.2999999999999999E-2</v>
      </c>
      <c r="J10">
        <f t="shared" si="3"/>
        <v>0.03</v>
      </c>
      <c r="P10">
        <v>129550</v>
      </c>
    </row>
    <row r="11" spans="1:16" x14ac:dyDescent="0.25">
      <c r="A11" t="s">
        <v>20</v>
      </c>
      <c r="B11" t="s">
        <v>22</v>
      </c>
      <c r="C11" s="9">
        <v>192830</v>
      </c>
      <c r="D11" s="9"/>
      <c r="E11" s="9"/>
      <c r="F11" s="9"/>
      <c r="G11" s="9">
        <f t="shared" si="0"/>
        <v>192830</v>
      </c>
      <c r="H11">
        <f t="shared" si="1"/>
        <v>43.44</v>
      </c>
      <c r="I11" s="10">
        <f t="shared" si="2"/>
        <v>7.5999999999999998E-2</v>
      </c>
      <c r="J11">
        <f t="shared" si="3"/>
        <v>-0.06</v>
      </c>
      <c r="P11">
        <v>204840</v>
      </c>
    </row>
    <row r="12" spans="1:16" x14ac:dyDescent="0.25">
      <c r="A12" t="s">
        <v>20</v>
      </c>
      <c r="B12" t="s">
        <v>79</v>
      </c>
      <c r="C12" s="9"/>
      <c r="D12" s="9"/>
      <c r="E12" s="9">
        <v>293</v>
      </c>
      <c r="F12" s="9"/>
      <c r="G12" s="9">
        <f t="shared" si="0"/>
        <v>293</v>
      </c>
      <c r="H12">
        <f t="shared" si="1"/>
        <v>7.0000000000000007E-2</v>
      </c>
      <c r="I12" s="10">
        <f t="shared" si="2"/>
        <v>0</v>
      </c>
      <c r="J12">
        <f t="shared" si="3"/>
        <v>-0.2</v>
      </c>
      <c r="P12">
        <v>366</v>
      </c>
    </row>
    <row r="13" spans="1:16" x14ac:dyDescent="0.25">
      <c r="A13" t="s">
        <v>20</v>
      </c>
      <c r="B13" t="s">
        <v>42</v>
      </c>
      <c r="C13" s="9"/>
      <c r="D13" s="9"/>
      <c r="E13" s="9">
        <v>377</v>
      </c>
      <c r="F13" s="9"/>
      <c r="G13" s="9">
        <f t="shared" si="0"/>
        <v>377</v>
      </c>
      <c r="H13">
        <f t="shared" si="1"/>
        <v>0.08</v>
      </c>
      <c r="I13" s="10">
        <f t="shared" si="2"/>
        <v>0</v>
      </c>
      <c r="J13">
        <f t="shared" si="3"/>
        <v>0.24</v>
      </c>
      <c r="P13">
        <v>305</v>
      </c>
    </row>
    <row r="14" spans="1:16" x14ac:dyDescent="0.25">
      <c r="A14" t="s">
        <v>20</v>
      </c>
      <c r="B14" t="s">
        <v>23</v>
      </c>
      <c r="C14" s="9"/>
      <c r="D14" s="9"/>
      <c r="E14" s="9">
        <v>4100</v>
      </c>
      <c r="F14" s="9"/>
      <c r="G14" s="9">
        <f t="shared" si="0"/>
        <v>4100</v>
      </c>
      <c r="H14">
        <f t="shared" si="1"/>
        <v>0.92</v>
      </c>
      <c r="I14" s="10">
        <f t="shared" si="2"/>
        <v>2E-3</v>
      </c>
      <c r="J14">
        <f t="shared" si="3"/>
        <v>0.4</v>
      </c>
      <c r="P14">
        <v>2920</v>
      </c>
    </row>
    <row r="15" spans="1:16" x14ac:dyDescent="0.25">
      <c r="A15" t="s">
        <v>20</v>
      </c>
      <c r="B15" t="s">
        <v>24</v>
      </c>
      <c r="C15" s="9"/>
      <c r="D15" s="9"/>
      <c r="E15" s="9">
        <v>157660</v>
      </c>
      <c r="F15" s="9"/>
      <c r="G15" s="9">
        <f t="shared" si="0"/>
        <v>157660</v>
      </c>
      <c r="H15">
        <f t="shared" si="1"/>
        <v>35.520000000000003</v>
      </c>
      <c r="I15" s="10">
        <f t="shared" si="2"/>
        <v>6.2E-2</v>
      </c>
      <c r="J15">
        <f t="shared" si="3"/>
        <v>0.51</v>
      </c>
      <c r="P15">
        <v>104665</v>
      </c>
    </row>
    <row r="16" spans="1:16" x14ac:dyDescent="0.25">
      <c r="A16" t="s">
        <v>20</v>
      </c>
      <c r="B16" t="s">
        <v>25</v>
      </c>
      <c r="C16" s="9">
        <v>211240</v>
      </c>
      <c r="D16" s="9"/>
      <c r="E16" s="9">
        <v>2610</v>
      </c>
      <c r="F16" s="9"/>
      <c r="G16" s="9">
        <f t="shared" si="0"/>
        <v>213850</v>
      </c>
      <c r="H16">
        <f t="shared" si="1"/>
        <v>48.18</v>
      </c>
      <c r="I16" s="10">
        <f t="shared" si="2"/>
        <v>8.4000000000000005E-2</v>
      </c>
      <c r="J16">
        <f t="shared" si="3"/>
        <v>0.04</v>
      </c>
      <c r="P16">
        <v>204830</v>
      </c>
    </row>
    <row r="17" spans="1:16" x14ac:dyDescent="0.25">
      <c r="A17" t="s">
        <v>20</v>
      </c>
      <c r="B17" t="s">
        <v>69</v>
      </c>
      <c r="C17" s="9"/>
      <c r="D17" s="9"/>
      <c r="E17" s="9">
        <v>15545</v>
      </c>
      <c r="F17" s="9"/>
      <c r="G17" s="9">
        <f t="shared" si="0"/>
        <v>15545</v>
      </c>
      <c r="H17">
        <f t="shared" si="1"/>
        <v>3.5</v>
      </c>
      <c r="I17" s="10">
        <f t="shared" si="2"/>
        <v>6.0000000000000001E-3</v>
      </c>
      <c r="J17">
        <f t="shared" si="3"/>
        <v>0.13</v>
      </c>
      <c r="P17">
        <v>13745</v>
      </c>
    </row>
    <row r="18" spans="1:16" x14ac:dyDescent="0.25">
      <c r="A18" t="s">
        <v>20</v>
      </c>
      <c r="B18" t="s">
        <v>26</v>
      </c>
      <c r="C18" s="9">
        <v>289090</v>
      </c>
      <c r="D18" s="9"/>
      <c r="E18" s="9"/>
      <c r="F18" s="9">
        <v>1830</v>
      </c>
      <c r="G18" s="9">
        <f t="shared" si="0"/>
        <v>290920</v>
      </c>
      <c r="H18">
        <f t="shared" si="1"/>
        <v>65.540000000000006</v>
      </c>
      <c r="I18" s="10">
        <f t="shared" si="2"/>
        <v>0.115</v>
      </c>
      <c r="J18">
        <f t="shared" si="3"/>
        <v>0.01</v>
      </c>
      <c r="P18">
        <v>287840</v>
      </c>
    </row>
    <row r="19" spans="1:16" x14ac:dyDescent="0.25">
      <c r="A19" t="s">
        <v>20</v>
      </c>
      <c r="B19" t="s">
        <v>27</v>
      </c>
      <c r="C19" s="9"/>
      <c r="D19" s="9"/>
      <c r="E19" s="9">
        <v>711</v>
      </c>
      <c r="F19" s="9"/>
      <c r="G19" s="9">
        <f t="shared" si="0"/>
        <v>711</v>
      </c>
      <c r="H19">
        <f t="shared" si="1"/>
        <v>0.16</v>
      </c>
      <c r="I19" s="10">
        <f t="shared" si="2"/>
        <v>0</v>
      </c>
      <c r="J19">
        <f t="shared" si="3"/>
        <v>0.3</v>
      </c>
      <c r="P19">
        <v>546</v>
      </c>
    </row>
    <row r="20" spans="1:16" x14ac:dyDescent="0.25">
      <c r="A20" t="s">
        <v>20</v>
      </c>
      <c r="B20" t="s">
        <v>28</v>
      </c>
      <c r="C20" s="9"/>
      <c r="D20" s="9"/>
      <c r="E20" s="9">
        <v>357</v>
      </c>
      <c r="F20" s="9"/>
      <c r="G20" s="9">
        <f t="shared" si="0"/>
        <v>357</v>
      </c>
      <c r="H20">
        <f t="shared" si="1"/>
        <v>0.08</v>
      </c>
      <c r="I20" s="10">
        <f t="shared" si="2"/>
        <v>0</v>
      </c>
      <c r="J20">
        <f t="shared" si="3"/>
        <v>2.88</v>
      </c>
      <c r="P20">
        <v>92</v>
      </c>
    </row>
    <row r="21" spans="1:16" x14ac:dyDescent="0.25">
      <c r="A21" t="s">
        <v>20</v>
      </c>
      <c r="B21" t="s">
        <v>29</v>
      </c>
      <c r="C21" s="9"/>
      <c r="D21" s="9"/>
      <c r="E21" s="9">
        <v>242</v>
      </c>
      <c r="F21" s="9"/>
      <c r="G21" s="9">
        <f t="shared" si="0"/>
        <v>242</v>
      </c>
      <c r="H21">
        <f t="shared" si="1"/>
        <v>0.05</v>
      </c>
      <c r="I21" s="10">
        <f t="shared" si="2"/>
        <v>0</v>
      </c>
      <c r="J21">
        <f t="shared" si="3"/>
        <v>-0.71</v>
      </c>
      <c r="P21">
        <v>839</v>
      </c>
    </row>
    <row r="22" spans="1:16" x14ac:dyDescent="0.25">
      <c r="A22" t="s">
        <v>20</v>
      </c>
      <c r="B22" t="s">
        <v>30</v>
      </c>
      <c r="C22" s="9"/>
      <c r="D22" s="9"/>
      <c r="E22" s="9">
        <v>14650</v>
      </c>
      <c r="F22" s="9"/>
      <c r="G22" s="9">
        <f t="shared" si="0"/>
        <v>14650</v>
      </c>
      <c r="H22">
        <f t="shared" si="1"/>
        <v>3.3</v>
      </c>
      <c r="I22" s="10">
        <f t="shared" si="2"/>
        <v>6.0000000000000001E-3</v>
      </c>
      <c r="J22">
        <f t="shared" si="3"/>
        <v>-0.13</v>
      </c>
      <c r="P22">
        <v>16930</v>
      </c>
    </row>
    <row r="23" spans="1:16" x14ac:dyDescent="0.25">
      <c r="A23" t="s">
        <v>20</v>
      </c>
      <c r="B23" t="s">
        <v>31</v>
      </c>
      <c r="C23" s="9"/>
      <c r="D23" s="9"/>
      <c r="E23" s="9">
        <v>3160</v>
      </c>
      <c r="F23" s="9"/>
      <c r="G23" s="9">
        <f t="shared" si="0"/>
        <v>3160</v>
      </c>
      <c r="H23">
        <f t="shared" si="1"/>
        <v>0.71</v>
      </c>
      <c r="I23" s="10">
        <f t="shared" si="2"/>
        <v>1E-3</v>
      </c>
      <c r="J23">
        <f t="shared" si="3"/>
        <v>7.0000000000000007E-2</v>
      </c>
      <c r="P23">
        <v>2960</v>
      </c>
    </row>
    <row r="24" spans="1:16" x14ac:dyDescent="0.25">
      <c r="A24" t="s">
        <v>20</v>
      </c>
      <c r="B24" t="s">
        <v>32</v>
      </c>
      <c r="C24" s="9"/>
      <c r="D24" s="9"/>
      <c r="E24" s="9">
        <v>1300</v>
      </c>
      <c r="F24" s="9"/>
      <c r="G24" s="9">
        <f t="shared" si="0"/>
        <v>1300</v>
      </c>
      <c r="H24">
        <f t="shared" si="1"/>
        <v>0.28999999999999998</v>
      </c>
      <c r="I24" s="10">
        <f t="shared" si="2"/>
        <v>1E-3</v>
      </c>
      <c r="J24">
        <f t="shared" si="3"/>
        <v>0.15</v>
      </c>
      <c r="P24">
        <v>1130</v>
      </c>
    </row>
    <row r="25" spans="1:16" x14ac:dyDescent="0.25">
      <c r="A25" t="s">
        <v>20</v>
      </c>
      <c r="B25" t="s">
        <v>33</v>
      </c>
      <c r="C25" s="9"/>
      <c r="D25" s="9"/>
      <c r="E25" s="9">
        <v>4745</v>
      </c>
      <c r="F25" s="9"/>
      <c r="G25" s="9">
        <f t="shared" si="0"/>
        <v>4745</v>
      </c>
      <c r="H25">
        <f t="shared" si="1"/>
        <v>1.07</v>
      </c>
      <c r="I25" s="10">
        <f t="shared" si="2"/>
        <v>2E-3</v>
      </c>
      <c r="J25">
        <f t="shared" si="3"/>
        <v>0.03</v>
      </c>
      <c r="P25">
        <v>4605</v>
      </c>
    </row>
    <row r="26" spans="1:16" x14ac:dyDescent="0.25">
      <c r="A26" t="s">
        <v>20</v>
      </c>
      <c r="B26" t="s">
        <v>43</v>
      </c>
      <c r="C26" s="9"/>
      <c r="D26" s="9">
        <v>137</v>
      </c>
      <c r="E26" s="9"/>
      <c r="F26" s="9"/>
      <c r="G26" s="9">
        <f t="shared" si="0"/>
        <v>137</v>
      </c>
      <c r="H26">
        <f t="shared" si="1"/>
        <v>0.03</v>
      </c>
      <c r="I26" s="10">
        <f t="shared" si="2"/>
        <v>0</v>
      </c>
      <c r="J26">
        <f t="shared" si="3"/>
        <v>-0.34</v>
      </c>
      <c r="P26">
        <v>208</v>
      </c>
    </row>
    <row r="27" spans="1:16" x14ac:dyDescent="0.25">
      <c r="A27" t="s">
        <v>20</v>
      </c>
      <c r="B27" t="s">
        <v>34</v>
      </c>
      <c r="C27" s="9"/>
      <c r="D27" s="9"/>
      <c r="E27" s="9">
        <v>1086</v>
      </c>
      <c r="F27" s="9"/>
      <c r="G27" s="9">
        <f t="shared" si="0"/>
        <v>1086</v>
      </c>
      <c r="H27">
        <f t="shared" si="1"/>
        <v>0.24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70</v>
      </c>
      <c r="C28" s="9"/>
      <c r="D28" s="9"/>
      <c r="E28" s="9">
        <v>2900</v>
      </c>
      <c r="F28" s="9"/>
      <c r="G28" s="9">
        <f t="shared" si="0"/>
        <v>2900</v>
      </c>
      <c r="H28">
        <f t="shared" si="1"/>
        <v>0.65</v>
      </c>
      <c r="I28" s="10">
        <f t="shared" si="2"/>
        <v>1E-3</v>
      </c>
      <c r="J28">
        <f t="shared" ref="J28:J35" si="4">ROUND(G28/P28-1,2)</f>
        <v>-7.0000000000000007E-2</v>
      </c>
      <c r="P28">
        <v>3110</v>
      </c>
    </row>
    <row r="29" spans="1:16" x14ac:dyDescent="0.25">
      <c r="A29" t="s">
        <v>20</v>
      </c>
      <c r="B29" t="s">
        <v>35</v>
      </c>
      <c r="C29" s="9"/>
      <c r="D29" s="9"/>
      <c r="E29" s="9">
        <v>6120</v>
      </c>
      <c r="F29" s="9"/>
      <c r="G29" s="9">
        <f t="shared" si="0"/>
        <v>6120</v>
      </c>
      <c r="H29">
        <f t="shared" si="1"/>
        <v>1.38</v>
      </c>
      <c r="I29" s="10">
        <f t="shared" si="2"/>
        <v>2E-3</v>
      </c>
      <c r="J29">
        <f t="shared" si="4"/>
        <v>-0.65</v>
      </c>
      <c r="P29">
        <v>17521</v>
      </c>
    </row>
    <row r="30" spans="1:16" x14ac:dyDescent="0.25">
      <c r="A30" t="s">
        <v>20</v>
      </c>
      <c r="B30" t="s">
        <v>36</v>
      </c>
      <c r="C30" s="9"/>
      <c r="D30" s="9"/>
      <c r="E30" s="9">
        <v>19660</v>
      </c>
      <c r="F30" s="9"/>
      <c r="G30" s="9">
        <f t="shared" si="0"/>
        <v>19660</v>
      </c>
      <c r="H30">
        <f t="shared" si="1"/>
        <v>4.43</v>
      </c>
      <c r="I30" s="10">
        <f t="shared" si="2"/>
        <v>8.0000000000000002E-3</v>
      </c>
      <c r="J30">
        <f t="shared" si="4"/>
        <v>-0.13</v>
      </c>
      <c r="P30">
        <v>22640</v>
      </c>
    </row>
    <row r="31" spans="1:16" x14ac:dyDescent="0.25">
      <c r="A31" t="s">
        <v>20</v>
      </c>
      <c r="B31" t="s">
        <v>41</v>
      </c>
      <c r="C31" s="9"/>
      <c r="D31" s="9"/>
      <c r="E31" s="9">
        <v>16236</v>
      </c>
      <c r="F31" s="9"/>
      <c r="G31" s="9">
        <f t="shared" si="0"/>
        <v>16236</v>
      </c>
      <c r="H31">
        <f t="shared" si="1"/>
        <v>3.66</v>
      </c>
      <c r="I31" s="10">
        <f t="shared" si="2"/>
        <v>6.0000000000000001E-3</v>
      </c>
      <c r="J31">
        <f t="shared" si="4"/>
        <v>-0.3</v>
      </c>
      <c r="P31">
        <v>23334</v>
      </c>
    </row>
    <row r="32" spans="1:16" x14ac:dyDescent="0.25">
      <c r="A32" t="s">
        <v>20</v>
      </c>
      <c r="B32" t="s">
        <v>37</v>
      </c>
      <c r="C32" s="9"/>
      <c r="D32" s="9"/>
      <c r="E32" s="9">
        <v>153050</v>
      </c>
      <c r="F32" s="9"/>
      <c r="G32" s="9">
        <f t="shared" si="0"/>
        <v>153050</v>
      </c>
      <c r="H32">
        <f t="shared" si="1"/>
        <v>34.479999999999997</v>
      </c>
      <c r="I32" s="10">
        <f t="shared" si="2"/>
        <v>0.06</v>
      </c>
      <c r="J32">
        <f t="shared" si="4"/>
        <v>-0.04</v>
      </c>
      <c r="P32">
        <v>159970</v>
      </c>
    </row>
    <row r="33" spans="1:16" x14ac:dyDescent="0.25">
      <c r="A33" t="s">
        <v>20</v>
      </c>
      <c r="B33" t="s">
        <v>38</v>
      </c>
      <c r="C33" s="9"/>
      <c r="D33" s="9"/>
      <c r="E33" s="9">
        <v>29650</v>
      </c>
      <c r="F33" s="9"/>
      <c r="G33" s="9">
        <f t="shared" si="0"/>
        <v>29650</v>
      </c>
      <c r="H33">
        <f t="shared" si="1"/>
        <v>6.68</v>
      </c>
      <c r="I33" s="10">
        <f t="shared" si="2"/>
        <v>1.2E-2</v>
      </c>
      <c r="J33">
        <f t="shared" si="4"/>
        <v>0.01</v>
      </c>
      <c r="P33">
        <v>29325</v>
      </c>
    </row>
    <row r="34" spans="1:16" x14ac:dyDescent="0.25">
      <c r="A34" t="s">
        <v>20</v>
      </c>
      <c r="B34" t="s">
        <v>39</v>
      </c>
      <c r="C34" s="9"/>
      <c r="D34" s="9"/>
      <c r="E34" s="9">
        <v>38550</v>
      </c>
      <c r="F34" s="9"/>
      <c r="G34" s="9">
        <f t="shared" si="0"/>
        <v>38550</v>
      </c>
      <c r="H34">
        <f t="shared" si="1"/>
        <v>8.68</v>
      </c>
      <c r="I34" s="10">
        <f t="shared" si="2"/>
        <v>1.4999999999999999E-2</v>
      </c>
      <c r="J34">
        <f t="shared" si="4"/>
        <v>-0.12</v>
      </c>
      <c r="P34">
        <v>43670</v>
      </c>
    </row>
    <row r="35" spans="1:16" x14ac:dyDescent="0.25">
      <c r="A35" t="s">
        <v>20</v>
      </c>
      <c r="B35" t="s">
        <v>40</v>
      </c>
      <c r="C35" s="9"/>
      <c r="D35" s="9"/>
      <c r="E35" s="9">
        <v>615780</v>
      </c>
      <c r="F35" s="9"/>
      <c r="G35" s="9">
        <f t="shared" si="0"/>
        <v>615780</v>
      </c>
      <c r="H35">
        <f t="shared" si="1"/>
        <v>138.72</v>
      </c>
      <c r="I35" s="10">
        <f t="shared" si="2"/>
        <v>0.24299999999999999</v>
      </c>
      <c r="J35">
        <f t="shared" si="4"/>
        <v>0.18</v>
      </c>
      <c r="P35">
        <v>520450</v>
      </c>
    </row>
    <row r="36" spans="1:16" x14ac:dyDescent="0.25">
      <c r="A36" t="s">
        <v>20</v>
      </c>
      <c r="B36" t="s">
        <v>73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20</v>
      </c>
      <c r="B37" t="s">
        <v>74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82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407340</v>
      </c>
      <c r="D39" s="9"/>
      <c r="E39" s="9"/>
      <c r="F39" s="9">
        <v>10920</v>
      </c>
      <c r="G39" s="9">
        <f t="shared" si="0"/>
        <v>418260</v>
      </c>
      <c r="H39">
        <f t="shared" si="1"/>
        <v>94.22</v>
      </c>
      <c r="I39" s="10">
        <f t="shared" si="2"/>
        <v>0.16500000000000001</v>
      </c>
      <c r="J39">
        <f>ROUND(G39/P39-1,2)</f>
        <v>0.08</v>
      </c>
      <c r="P39">
        <v>387510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83290</v>
      </c>
      <c r="G40" s="9">
        <f t="shared" si="0"/>
        <v>83290</v>
      </c>
      <c r="H40">
        <f t="shared" si="1"/>
        <v>18.760000000000002</v>
      </c>
      <c r="I40" s="10">
        <f t="shared" si="2"/>
        <v>3.3000000000000002E-2</v>
      </c>
      <c r="J40">
        <f>ROUND(G40/P40-1,2)</f>
        <v>0.09</v>
      </c>
      <c r="P40">
        <v>76640</v>
      </c>
    </row>
    <row r="41" spans="1:16" x14ac:dyDescent="0.25">
      <c r="A41" t="s">
        <v>44</v>
      </c>
      <c r="B41" t="s">
        <v>46</v>
      </c>
      <c r="C41" s="9"/>
      <c r="D41" s="9"/>
      <c r="E41" s="9">
        <v>114380</v>
      </c>
      <c r="F41" s="9"/>
      <c r="G41" s="9">
        <f t="shared" si="0"/>
        <v>114380</v>
      </c>
      <c r="H41">
        <f t="shared" si="1"/>
        <v>25.77</v>
      </c>
      <c r="I41" s="10">
        <f t="shared" si="2"/>
        <v>4.4999999999999998E-2</v>
      </c>
      <c r="J41">
        <f>ROUND(G41/P41-1,2)</f>
        <v>0.11</v>
      </c>
      <c r="P41">
        <v>102660</v>
      </c>
    </row>
    <row r="42" spans="1:16" x14ac:dyDescent="0.25">
      <c r="A42" t="s">
        <v>16</v>
      </c>
      <c r="B42" t="s">
        <v>19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16</v>
      </c>
      <c r="B43" t="s">
        <v>17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16</v>
      </c>
      <c r="B44" t="s">
        <v>66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SUM(C8:C44)</f>
        <v>1233650</v>
      </c>
      <c r="D49" s="12">
        <f t="shared" si="5"/>
        <v>137</v>
      </c>
      <c r="E49" s="12">
        <f t="shared" si="5"/>
        <v>1203483</v>
      </c>
      <c r="F49" s="12">
        <f t="shared" si="5"/>
        <v>96040</v>
      </c>
      <c r="G49" s="12">
        <f t="shared" si="5"/>
        <v>2533310</v>
      </c>
      <c r="H49" s="11">
        <f t="shared" si="5"/>
        <v>570.68000000000006</v>
      </c>
      <c r="I49" s="4"/>
    </row>
    <row r="50" spans="1:10" x14ac:dyDescent="0.25">
      <c r="A50" s="11" t="s">
        <v>14</v>
      </c>
      <c r="C50" s="13">
        <f>ROUND(C49/G49,2)</f>
        <v>0.49</v>
      </c>
      <c r="D50" s="13">
        <f>ROUND(D49/G49,2)</f>
        <v>0</v>
      </c>
      <c r="E50" s="13">
        <f>ROUND(E49/G49,2)</f>
        <v>0.48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826310</v>
      </c>
      <c r="D54" s="15">
        <v>137</v>
      </c>
      <c r="E54" s="15">
        <v>1089103</v>
      </c>
      <c r="F54" s="15">
        <v>1830</v>
      </c>
      <c r="G54" s="15">
        <f>SUM(C54:F54)</f>
        <v>1917380</v>
      </c>
      <c r="H54" s="17">
        <f>ROUND(G54/4439,2)</f>
        <v>431.94</v>
      </c>
      <c r="I54" s="4"/>
      <c r="J54" s="4"/>
    </row>
    <row r="55" spans="1:10" x14ac:dyDescent="0.25">
      <c r="A55" s="33" t="s">
        <v>50</v>
      </c>
      <c r="B55" s="33"/>
      <c r="C55" s="15">
        <v>407340</v>
      </c>
      <c r="D55" s="15">
        <v>0</v>
      </c>
      <c r="E55" s="15">
        <v>114380</v>
      </c>
      <c r="F55" s="15">
        <v>94210</v>
      </c>
      <c r="G55" s="15">
        <f>SUM(C55:F55)</f>
        <v>615930</v>
      </c>
      <c r="H55" s="17">
        <f>ROUND(G55/4439,2)</f>
        <v>138.75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ROUND(G56/4439,2)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ROUND(0.8136, 4)</f>
        <v>0.81359999999999999</v>
      </c>
      <c r="D60" s="19">
        <f>ROUND(0.8185, 4)</f>
        <v>0.81850000000000001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ROUND(0.8064, 4)</f>
        <v>0.80640000000000001</v>
      </c>
      <c r="D61" s="19">
        <f>ROUND(0.8111, 4)</f>
        <v>0.81110000000000004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219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94.22</v>
      </c>
      <c r="D64" s="17">
        <v>94.5</v>
      </c>
      <c r="E64" s="17">
        <v>91.53</v>
      </c>
      <c r="F64" s="17">
        <v>56.73</v>
      </c>
      <c r="H64" s="3"/>
      <c r="I64" s="4"/>
      <c r="J64" s="4"/>
    </row>
    <row r="65" spans="1:6" x14ac:dyDescent="0.25">
      <c r="A65" s="32" t="s">
        <v>60</v>
      </c>
      <c r="B65" s="32"/>
      <c r="C65" s="16">
        <v>65.540000000000006</v>
      </c>
      <c r="D65" s="16">
        <v>68.5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444.61</v>
      </c>
      <c r="D66" s="16">
        <v>435.75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138.75</v>
      </c>
      <c r="D67" s="16">
        <v>137.41999999999999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P71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4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220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7914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125</v>
      </c>
      <c r="G9" s="9">
        <f t="shared" ref="G9:G41" si="0">SUM(C9:F9)</f>
        <v>125</v>
      </c>
      <c r="H9">
        <f t="shared" ref="H9:H41" si="1">ROUND(G9/7914,2)</f>
        <v>0.02</v>
      </c>
      <c r="I9" s="10">
        <f t="shared" ref="I9:I41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66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18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250</v>
      </c>
      <c r="F13" s="9"/>
      <c r="G13" s="9">
        <f t="shared" si="0"/>
        <v>250</v>
      </c>
      <c r="H13">
        <f t="shared" si="1"/>
        <v>0.03</v>
      </c>
      <c r="I13" s="10">
        <f t="shared" si="2"/>
        <v>0</v>
      </c>
      <c r="J13">
        <f t="shared" ref="J13:J22" si="3">ROUND(G13/P13-1,2)</f>
        <v>0.4</v>
      </c>
      <c r="P13">
        <v>179</v>
      </c>
    </row>
    <row r="14" spans="1:16" x14ac:dyDescent="0.25">
      <c r="A14" t="s">
        <v>20</v>
      </c>
      <c r="B14" t="s">
        <v>21</v>
      </c>
      <c r="C14" s="9">
        <v>265990</v>
      </c>
      <c r="D14" s="9"/>
      <c r="E14" s="9">
        <v>7710</v>
      </c>
      <c r="F14" s="9"/>
      <c r="G14" s="9">
        <f t="shared" si="0"/>
        <v>273700</v>
      </c>
      <c r="H14">
        <f t="shared" si="1"/>
        <v>34.58</v>
      </c>
      <c r="I14" s="10">
        <f t="shared" si="2"/>
        <v>7.1999999999999995E-2</v>
      </c>
      <c r="J14">
        <f t="shared" si="3"/>
        <v>0</v>
      </c>
      <c r="P14">
        <v>272890</v>
      </c>
    </row>
    <row r="15" spans="1:16" x14ac:dyDescent="0.25">
      <c r="A15" t="s">
        <v>20</v>
      </c>
      <c r="B15" t="s">
        <v>22</v>
      </c>
      <c r="C15" s="9">
        <v>392340</v>
      </c>
      <c r="D15" s="9"/>
      <c r="E15" s="9"/>
      <c r="F15" s="9"/>
      <c r="G15" s="9">
        <f t="shared" si="0"/>
        <v>392340</v>
      </c>
      <c r="H15">
        <f t="shared" si="1"/>
        <v>49.58</v>
      </c>
      <c r="I15" s="10">
        <f t="shared" si="2"/>
        <v>0.10299999999999999</v>
      </c>
      <c r="J15">
        <f t="shared" si="3"/>
        <v>-0.08</v>
      </c>
      <c r="P15">
        <v>424970</v>
      </c>
    </row>
    <row r="16" spans="1:16" x14ac:dyDescent="0.25">
      <c r="A16" t="s">
        <v>20</v>
      </c>
      <c r="B16" t="s">
        <v>79</v>
      </c>
      <c r="C16" s="9"/>
      <c r="D16" s="9"/>
      <c r="E16" s="9">
        <v>319</v>
      </c>
      <c r="F16" s="9"/>
      <c r="G16" s="9">
        <f t="shared" si="0"/>
        <v>319</v>
      </c>
      <c r="H16">
        <f t="shared" si="1"/>
        <v>0.04</v>
      </c>
      <c r="I16" s="10">
        <f t="shared" si="2"/>
        <v>0</v>
      </c>
      <c r="J16">
        <f t="shared" si="3"/>
        <v>-0.43</v>
      </c>
      <c r="P16">
        <v>558</v>
      </c>
    </row>
    <row r="17" spans="1:16" x14ac:dyDescent="0.25">
      <c r="A17" t="s">
        <v>20</v>
      </c>
      <c r="B17" t="s">
        <v>42</v>
      </c>
      <c r="C17" s="9"/>
      <c r="D17" s="9"/>
      <c r="E17" s="9">
        <v>229</v>
      </c>
      <c r="F17" s="9"/>
      <c r="G17" s="9">
        <f t="shared" si="0"/>
        <v>229</v>
      </c>
      <c r="H17">
        <f t="shared" si="1"/>
        <v>0.03</v>
      </c>
      <c r="I17" s="10">
        <f t="shared" si="2"/>
        <v>0</v>
      </c>
      <c r="J17">
        <f t="shared" si="3"/>
        <v>-0.3</v>
      </c>
      <c r="P17">
        <v>327</v>
      </c>
    </row>
    <row r="18" spans="1:16" x14ac:dyDescent="0.25">
      <c r="A18" t="s">
        <v>20</v>
      </c>
      <c r="B18" t="s">
        <v>23</v>
      </c>
      <c r="C18" s="9"/>
      <c r="D18" s="9"/>
      <c r="E18" s="9">
        <v>1000</v>
      </c>
      <c r="F18" s="9"/>
      <c r="G18" s="9">
        <f t="shared" si="0"/>
        <v>1000</v>
      </c>
      <c r="H18">
        <f t="shared" si="1"/>
        <v>0.13</v>
      </c>
      <c r="I18" s="10">
        <f t="shared" si="2"/>
        <v>0</v>
      </c>
      <c r="J18">
        <f t="shared" si="3"/>
        <v>-0.76</v>
      </c>
      <c r="P18">
        <v>4150</v>
      </c>
    </row>
    <row r="19" spans="1:16" x14ac:dyDescent="0.25">
      <c r="A19" t="s">
        <v>20</v>
      </c>
      <c r="B19" t="s">
        <v>24</v>
      </c>
      <c r="C19" s="9"/>
      <c r="D19" s="9"/>
      <c r="E19" s="9">
        <v>203640</v>
      </c>
      <c r="F19" s="9"/>
      <c r="G19" s="9">
        <f t="shared" si="0"/>
        <v>203640</v>
      </c>
      <c r="H19">
        <f t="shared" si="1"/>
        <v>25.73</v>
      </c>
      <c r="I19" s="10">
        <f t="shared" si="2"/>
        <v>5.3999999999999999E-2</v>
      </c>
      <c r="J19">
        <f t="shared" si="3"/>
        <v>0.06</v>
      </c>
      <c r="P19">
        <v>192160</v>
      </c>
    </row>
    <row r="20" spans="1:16" x14ac:dyDescent="0.25">
      <c r="A20" t="s">
        <v>20</v>
      </c>
      <c r="B20" t="s">
        <v>25</v>
      </c>
      <c r="C20" s="9">
        <v>414820</v>
      </c>
      <c r="D20" s="9"/>
      <c r="E20" s="9">
        <v>32780</v>
      </c>
      <c r="F20" s="9"/>
      <c r="G20" s="9">
        <f t="shared" si="0"/>
        <v>447600</v>
      </c>
      <c r="H20">
        <f t="shared" si="1"/>
        <v>56.56</v>
      </c>
      <c r="I20" s="10">
        <f t="shared" si="2"/>
        <v>0.11799999999999999</v>
      </c>
      <c r="J20">
        <f t="shared" si="3"/>
        <v>0.01</v>
      </c>
      <c r="P20">
        <v>444175</v>
      </c>
    </row>
    <row r="21" spans="1:16" x14ac:dyDescent="0.25">
      <c r="A21" t="s">
        <v>20</v>
      </c>
      <c r="B21" t="s">
        <v>69</v>
      </c>
      <c r="C21" s="9"/>
      <c r="D21" s="9"/>
      <c r="E21" s="9">
        <v>6465</v>
      </c>
      <c r="F21" s="9"/>
      <c r="G21" s="9">
        <f t="shared" si="0"/>
        <v>6465</v>
      </c>
      <c r="H21">
        <f t="shared" si="1"/>
        <v>0.82</v>
      </c>
      <c r="I21" s="10">
        <f t="shared" si="2"/>
        <v>2E-3</v>
      </c>
      <c r="J21">
        <f t="shared" si="3"/>
        <v>-0.47</v>
      </c>
      <c r="P21">
        <v>12240</v>
      </c>
    </row>
    <row r="22" spans="1:16" x14ac:dyDescent="0.25">
      <c r="A22" t="s">
        <v>20</v>
      </c>
      <c r="B22" t="s">
        <v>26</v>
      </c>
      <c r="C22" s="9">
        <v>676560</v>
      </c>
      <c r="D22" s="9"/>
      <c r="E22" s="9"/>
      <c r="F22" s="9">
        <v>2370</v>
      </c>
      <c r="G22" s="9">
        <f t="shared" si="0"/>
        <v>678930</v>
      </c>
      <c r="H22">
        <f t="shared" si="1"/>
        <v>85.79</v>
      </c>
      <c r="I22" s="10">
        <f t="shared" si="2"/>
        <v>0.17899999999999999</v>
      </c>
      <c r="J22">
        <f t="shared" si="3"/>
        <v>0.01</v>
      </c>
      <c r="P22">
        <v>669100</v>
      </c>
    </row>
    <row r="23" spans="1:16" x14ac:dyDescent="0.25">
      <c r="A23" t="s">
        <v>20</v>
      </c>
      <c r="B23" t="s">
        <v>27</v>
      </c>
      <c r="C23" s="9"/>
      <c r="D23" s="9"/>
      <c r="E23" s="9">
        <v>2088</v>
      </c>
      <c r="F23" s="9"/>
      <c r="G23" s="9">
        <f t="shared" si="0"/>
        <v>2088</v>
      </c>
      <c r="H23">
        <f t="shared" si="1"/>
        <v>0.26</v>
      </c>
      <c r="I23" s="10">
        <f t="shared" si="2"/>
        <v>1E-3</v>
      </c>
      <c r="P23">
        <v>0</v>
      </c>
    </row>
    <row r="24" spans="1:16" x14ac:dyDescent="0.25">
      <c r="A24" t="s">
        <v>20</v>
      </c>
      <c r="B24" t="s">
        <v>28</v>
      </c>
      <c r="C24" s="9"/>
      <c r="D24" s="9"/>
      <c r="E24" s="9">
        <v>871</v>
      </c>
      <c r="F24" s="9"/>
      <c r="G24" s="9">
        <f t="shared" si="0"/>
        <v>871</v>
      </c>
      <c r="H24">
        <f t="shared" si="1"/>
        <v>0.11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29</v>
      </c>
      <c r="C25" s="9"/>
      <c r="D25" s="9"/>
      <c r="E25" s="9">
        <v>473</v>
      </c>
      <c r="F25" s="9"/>
      <c r="G25" s="9">
        <f t="shared" si="0"/>
        <v>473</v>
      </c>
      <c r="H25">
        <f t="shared" si="1"/>
        <v>0.06</v>
      </c>
      <c r="I25" s="10">
        <f t="shared" si="2"/>
        <v>0</v>
      </c>
      <c r="J25">
        <f t="shared" ref="J25:J41" si="4">ROUND(G25/P25-1,2)</f>
        <v>-0.15</v>
      </c>
      <c r="P25">
        <v>557</v>
      </c>
    </row>
    <row r="26" spans="1:16" x14ac:dyDescent="0.25">
      <c r="A26" t="s">
        <v>20</v>
      </c>
      <c r="B26" t="s">
        <v>30</v>
      </c>
      <c r="C26" s="9"/>
      <c r="D26" s="9"/>
      <c r="E26" s="9">
        <v>9840</v>
      </c>
      <c r="F26" s="9"/>
      <c r="G26" s="9">
        <f t="shared" si="0"/>
        <v>9840</v>
      </c>
      <c r="H26">
        <f t="shared" si="1"/>
        <v>1.24</v>
      </c>
      <c r="I26" s="10">
        <f t="shared" si="2"/>
        <v>3.0000000000000001E-3</v>
      </c>
      <c r="J26">
        <f t="shared" si="4"/>
        <v>0.13</v>
      </c>
      <c r="P26">
        <v>8710</v>
      </c>
    </row>
    <row r="27" spans="1:16" x14ac:dyDescent="0.25">
      <c r="A27" t="s">
        <v>20</v>
      </c>
      <c r="B27" t="s">
        <v>31</v>
      </c>
      <c r="C27" s="9"/>
      <c r="D27" s="9"/>
      <c r="E27" s="9">
        <v>2490</v>
      </c>
      <c r="F27" s="9"/>
      <c r="G27" s="9">
        <f t="shared" si="0"/>
        <v>2490</v>
      </c>
      <c r="H27">
        <f t="shared" si="1"/>
        <v>0.31</v>
      </c>
      <c r="I27" s="10">
        <f t="shared" si="2"/>
        <v>1E-3</v>
      </c>
      <c r="J27">
        <f t="shared" si="4"/>
        <v>-0.09</v>
      </c>
      <c r="P27">
        <v>2730</v>
      </c>
    </row>
    <row r="28" spans="1:16" x14ac:dyDescent="0.25">
      <c r="A28" t="s">
        <v>20</v>
      </c>
      <c r="B28" t="s">
        <v>32</v>
      </c>
      <c r="C28" s="9"/>
      <c r="D28" s="9"/>
      <c r="E28" s="9">
        <v>1360</v>
      </c>
      <c r="F28" s="9"/>
      <c r="G28" s="9">
        <f t="shared" si="0"/>
        <v>1360</v>
      </c>
      <c r="H28">
        <f t="shared" si="1"/>
        <v>0.17</v>
      </c>
      <c r="I28" s="10">
        <f t="shared" si="2"/>
        <v>0</v>
      </c>
      <c r="J28">
        <f t="shared" si="4"/>
        <v>0.36</v>
      </c>
      <c r="P28">
        <v>1000</v>
      </c>
    </row>
    <row r="29" spans="1:16" x14ac:dyDescent="0.25">
      <c r="A29" t="s">
        <v>20</v>
      </c>
      <c r="B29" t="s">
        <v>33</v>
      </c>
      <c r="C29" s="9"/>
      <c r="D29" s="9"/>
      <c r="E29" s="9">
        <v>4105</v>
      </c>
      <c r="F29" s="9"/>
      <c r="G29" s="9">
        <f t="shared" si="0"/>
        <v>4105</v>
      </c>
      <c r="H29">
        <f t="shared" si="1"/>
        <v>0.52</v>
      </c>
      <c r="I29" s="10">
        <f t="shared" si="2"/>
        <v>1E-3</v>
      </c>
      <c r="J29">
        <f t="shared" si="4"/>
        <v>0.31</v>
      </c>
      <c r="P29">
        <v>3135</v>
      </c>
    </row>
    <row r="30" spans="1:16" x14ac:dyDescent="0.25">
      <c r="A30" t="s">
        <v>20</v>
      </c>
      <c r="B30" t="s">
        <v>43</v>
      </c>
      <c r="C30" s="9"/>
      <c r="D30" s="9">
        <v>807</v>
      </c>
      <c r="E30" s="9"/>
      <c r="F30" s="9"/>
      <c r="G30" s="9">
        <f t="shared" si="0"/>
        <v>807</v>
      </c>
      <c r="H30">
        <f t="shared" si="1"/>
        <v>0.1</v>
      </c>
      <c r="I30" s="10">
        <f t="shared" si="2"/>
        <v>0</v>
      </c>
      <c r="J30">
        <f t="shared" si="4"/>
        <v>-0.03</v>
      </c>
      <c r="P30">
        <v>829</v>
      </c>
    </row>
    <row r="31" spans="1:16" x14ac:dyDescent="0.25">
      <c r="A31" t="s">
        <v>20</v>
      </c>
      <c r="B31" t="s">
        <v>34</v>
      </c>
      <c r="C31" s="9"/>
      <c r="D31" s="9">
        <v>1195</v>
      </c>
      <c r="E31" s="9">
        <v>370</v>
      </c>
      <c r="F31" s="9"/>
      <c r="G31" s="9">
        <f t="shared" si="0"/>
        <v>1565</v>
      </c>
      <c r="H31">
        <f t="shared" si="1"/>
        <v>0.2</v>
      </c>
      <c r="I31" s="10">
        <f t="shared" si="2"/>
        <v>0</v>
      </c>
      <c r="J31">
        <f t="shared" si="4"/>
        <v>0.32</v>
      </c>
      <c r="P31">
        <v>1190</v>
      </c>
    </row>
    <row r="32" spans="1:16" x14ac:dyDescent="0.25">
      <c r="A32" t="s">
        <v>20</v>
      </c>
      <c r="B32" t="s">
        <v>70</v>
      </c>
      <c r="C32" s="9"/>
      <c r="D32" s="9"/>
      <c r="E32" s="9">
        <v>380</v>
      </c>
      <c r="F32" s="9"/>
      <c r="G32" s="9">
        <f t="shared" si="0"/>
        <v>380</v>
      </c>
      <c r="H32">
        <f t="shared" si="1"/>
        <v>0.05</v>
      </c>
      <c r="I32" s="10">
        <f t="shared" si="2"/>
        <v>0</v>
      </c>
      <c r="J32">
        <f t="shared" si="4"/>
        <v>-0.62</v>
      </c>
      <c r="P32">
        <v>990</v>
      </c>
    </row>
    <row r="33" spans="1:16" x14ac:dyDescent="0.25">
      <c r="A33" t="s">
        <v>20</v>
      </c>
      <c r="B33" t="s">
        <v>35</v>
      </c>
      <c r="C33" s="9"/>
      <c r="D33" s="9"/>
      <c r="E33" s="9">
        <v>7813</v>
      </c>
      <c r="F33" s="9"/>
      <c r="G33" s="9">
        <f t="shared" si="0"/>
        <v>7813</v>
      </c>
      <c r="H33">
        <f t="shared" si="1"/>
        <v>0.99</v>
      </c>
      <c r="I33" s="10">
        <f t="shared" si="2"/>
        <v>2E-3</v>
      </c>
      <c r="J33">
        <f t="shared" si="4"/>
        <v>0.16</v>
      </c>
      <c r="P33">
        <v>6723</v>
      </c>
    </row>
    <row r="34" spans="1:16" x14ac:dyDescent="0.25">
      <c r="A34" t="s">
        <v>20</v>
      </c>
      <c r="B34" t="s">
        <v>41</v>
      </c>
      <c r="C34" s="9"/>
      <c r="D34" s="9"/>
      <c r="E34" s="9">
        <v>13450</v>
      </c>
      <c r="F34" s="9"/>
      <c r="G34" s="9">
        <f t="shared" si="0"/>
        <v>13450</v>
      </c>
      <c r="H34">
        <f t="shared" si="1"/>
        <v>1.7</v>
      </c>
      <c r="I34" s="10">
        <f t="shared" si="2"/>
        <v>4.0000000000000001E-3</v>
      </c>
      <c r="J34">
        <f t="shared" si="4"/>
        <v>-0.09</v>
      </c>
      <c r="P34">
        <v>14776</v>
      </c>
    </row>
    <row r="35" spans="1:16" x14ac:dyDescent="0.25">
      <c r="A35" t="s">
        <v>20</v>
      </c>
      <c r="B35" t="s">
        <v>36</v>
      </c>
      <c r="C35" s="9"/>
      <c r="D35" s="9"/>
      <c r="E35" s="9">
        <v>20632</v>
      </c>
      <c r="F35" s="9"/>
      <c r="G35" s="9">
        <f t="shared" si="0"/>
        <v>20632</v>
      </c>
      <c r="H35">
        <f t="shared" si="1"/>
        <v>2.61</v>
      </c>
      <c r="I35" s="10">
        <f t="shared" si="2"/>
        <v>5.0000000000000001E-3</v>
      </c>
      <c r="J35">
        <f t="shared" si="4"/>
        <v>0.33</v>
      </c>
      <c r="P35">
        <v>15538</v>
      </c>
    </row>
    <row r="36" spans="1:16" x14ac:dyDescent="0.25">
      <c r="A36" t="s">
        <v>20</v>
      </c>
      <c r="B36" t="s">
        <v>37</v>
      </c>
      <c r="C36" s="9"/>
      <c r="D36" s="9"/>
      <c r="E36" s="9">
        <v>167285</v>
      </c>
      <c r="F36" s="9"/>
      <c r="G36" s="9">
        <f t="shared" si="0"/>
        <v>167285</v>
      </c>
      <c r="H36">
        <f t="shared" si="1"/>
        <v>21.14</v>
      </c>
      <c r="I36" s="10">
        <f t="shared" si="2"/>
        <v>4.3999999999999997E-2</v>
      </c>
      <c r="J36">
        <f t="shared" si="4"/>
        <v>0.14000000000000001</v>
      </c>
      <c r="P36">
        <v>146690</v>
      </c>
    </row>
    <row r="37" spans="1:16" x14ac:dyDescent="0.25">
      <c r="A37" t="s">
        <v>20</v>
      </c>
      <c r="B37" t="s">
        <v>39</v>
      </c>
      <c r="C37" s="9"/>
      <c r="D37" s="9"/>
      <c r="E37" s="9">
        <v>51940</v>
      </c>
      <c r="F37" s="9"/>
      <c r="G37" s="9">
        <f t="shared" si="0"/>
        <v>51940</v>
      </c>
      <c r="H37">
        <f t="shared" si="1"/>
        <v>6.56</v>
      </c>
      <c r="I37" s="10">
        <f t="shared" si="2"/>
        <v>1.4E-2</v>
      </c>
      <c r="J37">
        <f t="shared" si="4"/>
        <v>0.18</v>
      </c>
      <c r="P37">
        <v>43990</v>
      </c>
    </row>
    <row r="38" spans="1:16" x14ac:dyDescent="0.25">
      <c r="A38" t="s">
        <v>20</v>
      </c>
      <c r="B38" t="s">
        <v>40</v>
      </c>
      <c r="C38" s="9"/>
      <c r="D38" s="9"/>
      <c r="E38" s="9">
        <v>378800</v>
      </c>
      <c r="F38" s="9"/>
      <c r="G38" s="9">
        <f t="shared" si="0"/>
        <v>378800</v>
      </c>
      <c r="H38">
        <f t="shared" si="1"/>
        <v>47.86</v>
      </c>
      <c r="I38" s="10">
        <f t="shared" si="2"/>
        <v>0.1</v>
      </c>
      <c r="J38">
        <f t="shared" si="4"/>
        <v>0.05</v>
      </c>
      <c r="P38">
        <v>360710</v>
      </c>
    </row>
    <row r="39" spans="1:16" x14ac:dyDescent="0.25">
      <c r="A39" t="s">
        <v>44</v>
      </c>
      <c r="B39" t="s">
        <v>45</v>
      </c>
      <c r="C39" s="9">
        <v>877620</v>
      </c>
      <c r="D39" s="9"/>
      <c r="E39" s="9"/>
      <c r="F39" s="9">
        <v>80</v>
      </c>
      <c r="G39" s="9">
        <f t="shared" si="0"/>
        <v>877700</v>
      </c>
      <c r="H39">
        <f t="shared" si="1"/>
        <v>110.9</v>
      </c>
      <c r="I39" s="10">
        <f t="shared" si="2"/>
        <v>0.23200000000000001</v>
      </c>
      <c r="J39">
        <f t="shared" si="4"/>
        <v>0.06</v>
      </c>
      <c r="P39">
        <v>828240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94420</v>
      </c>
      <c r="G40" s="9">
        <f t="shared" si="0"/>
        <v>94420</v>
      </c>
      <c r="H40">
        <f t="shared" si="1"/>
        <v>11.93</v>
      </c>
      <c r="I40" s="10">
        <f t="shared" si="2"/>
        <v>2.5000000000000001E-2</v>
      </c>
      <c r="J40">
        <f t="shared" si="4"/>
        <v>0.05</v>
      </c>
      <c r="P40">
        <v>90220</v>
      </c>
    </row>
    <row r="41" spans="1:16" x14ac:dyDescent="0.25">
      <c r="A41" t="s">
        <v>44</v>
      </c>
      <c r="B41" t="s">
        <v>46</v>
      </c>
      <c r="C41" s="9"/>
      <c r="D41" s="9"/>
      <c r="E41" s="9">
        <v>150660</v>
      </c>
      <c r="F41" s="9"/>
      <c r="G41" s="9">
        <f t="shared" si="0"/>
        <v>150660</v>
      </c>
      <c r="H41">
        <f t="shared" si="1"/>
        <v>19.04</v>
      </c>
      <c r="I41" s="10">
        <f t="shared" si="2"/>
        <v>0.04</v>
      </c>
      <c r="J41">
        <f t="shared" si="4"/>
        <v>0.05</v>
      </c>
      <c r="P41">
        <v>143420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SUM(C8:C41)</f>
        <v>2627330</v>
      </c>
      <c r="D49" s="12">
        <f t="shared" si="5"/>
        <v>2002</v>
      </c>
      <c r="E49" s="12">
        <f t="shared" si="5"/>
        <v>1064950</v>
      </c>
      <c r="F49" s="12">
        <f t="shared" si="5"/>
        <v>96995</v>
      </c>
      <c r="G49" s="12">
        <f t="shared" si="5"/>
        <v>3791277</v>
      </c>
      <c r="H49" s="11">
        <f t="shared" si="5"/>
        <v>479.06000000000006</v>
      </c>
      <c r="I49" s="4"/>
    </row>
    <row r="50" spans="1:10" x14ac:dyDescent="0.25">
      <c r="A50" s="11" t="s">
        <v>14</v>
      </c>
      <c r="C50" s="13">
        <f>ROUND(C49/G49,2)</f>
        <v>0.69</v>
      </c>
      <c r="D50" s="13">
        <f>ROUND(D49/G49,2)</f>
        <v>0</v>
      </c>
      <c r="E50" s="13">
        <f>ROUND(E49/G49,2)</f>
        <v>0.28000000000000003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1749710</v>
      </c>
      <c r="D54" s="15">
        <v>2002</v>
      </c>
      <c r="E54" s="15">
        <v>914290</v>
      </c>
      <c r="F54" s="15">
        <v>2370</v>
      </c>
      <c r="G54" s="15">
        <f>SUM(C54:F54)</f>
        <v>2668372</v>
      </c>
      <c r="H54" s="17">
        <f>ROUND(G54/7914,2)</f>
        <v>337.17</v>
      </c>
      <c r="I54" s="4"/>
      <c r="J54" s="4"/>
    </row>
    <row r="55" spans="1:10" x14ac:dyDescent="0.25">
      <c r="A55" s="33" t="s">
        <v>50</v>
      </c>
      <c r="B55" s="33"/>
      <c r="C55" s="15">
        <v>877620</v>
      </c>
      <c r="D55" s="15">
        <v>0</v>
      </c>
      <c r="E55" s="15">
        <v>150660</v>
      </c>
      <c r="F55" s="15">
        <v>94500</v>
      </c>
      <c r="G55" s="15">
        <f>SUM(C55:F55)</f>
        <v>1122780</v>
      </c>
      <c r="H55" s="17">
        <f>ROUND(G55/7914,2)</f>
        <v>141.87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125</v>
      </c>
      <c r="G56" s="15">
        <f>SUM(C56:F56)</f>
        <v>125</v>
      </c>
      <c r="H56" s="17">
        <f>ROUND(G56/7914,2)</f>
        <v>0.02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ROUND(0.7471, 4)</f>
        <v>0.74709999999999999</v>
      </c>
      <c r="D60" s="19">
        <f>ROUND(0.7548, 4)</f>
        <v>0.75480000000000003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ROUND(0.7373, 4)</f>
        <v>0.73729999999999996</v>
      </c>
      <c r="D61" s="19">
        <f>ROUND(0.7448, 4)</f>
        <v>0.74480000000000002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221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110.9</v>
      </c>
      <c r="D64" s="17">
        <v>103.67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85.79</v>
      </c>
      <c r="D65" s="17">
        <v>88.86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337.17</v>
      </c>
      <c r="D66" s="17">
        <v>334.9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141.87</v>
      </c>
      <c r="D67" s="17">
        <v>133.18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42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222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5688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163</v>
      </c>
      <c r="F9" s="9"/>
      <c r="G9" s="9">
        <f t="shared" ref="G9:G45" si="0">SUM(C9:F9)</f>
        <v>163</v>
      </c>
      <c r="H9">
        <f t="shared" ref="H9:H45" si="1">ROUND(G9/5688,2)</f>
        <v>0.03</v>
      </c>
      <c r="I9" s="10">
        <f t="shared" ref="I9:I45" si="2">ROUND(G9/$G$49,3)</f>
        <v>0</v>
      </c>
      <c r="J9">
        <f t="shared" ref="J9:J15" si="3">ROUND(G9/P9-1,2)</f>
        <v>-0.32</v>
      </c>
      <c r="P9">
        <v>241</v>
      </c>
    </row>
    <row r="10" spans="1:16" x14ac:dyDescent="0.25">
      <c r="A10" t="s">
        <v>20</v>
      </c>
      <c r="B10" t="s">
        <v>68</v>
      </c>
      <c r="C10" s="9">
        <v>49440</v>
      </c>
      <c r="D10" s="9"/>
      <c r="E10" s="9">
        <v>3010</v>
      </c>
      <c r="F10" s="9"/>
      <c r="G10" s="9">
        <f t="shared" si="0"/>
        <v>52450</v>
      </c>
      <c r="H10">
        <f t="shared" si="1"/>
        <v>9.2200000000000006</v>
      </c>
      <c r="I10" s="10">
        <f t="shared" si="2"/>
        <v>2.5000000000000001E-2</v>
      </c>
      <c r="J10">
        <f t="shared" si="3"/>
        <v>0.18</v>
      </c>
      <c r="P10">
        <v>44520</v>
      </c>
    </row>
    <row r="11" spans="1:16" x14ac:dyDescent="0.25">
      <c r="A11" t="s">
        <v>20</v>
      </c>
      <c r="B11" t="s">
        <v>21</v>
      </c>
      <c r="C11" s="9">
        <v>150420</v>
      </c>
      <c r="D11" s="9"/>
      <c r="E11" s="9"/>
      <c r="F11" s="9"/>
      <c r="G11" s="9">
        <f t="shared" si="0"/>
        <v>150420</v>
      </c>
      <c r="H11">
        <f t="shared" si="1"/>
        <v>26.45</v>
      </c>
      <c r="I11" s="10">
        <f t="shared" si="2"/>
        <v>7.2999999999999995E-2</v>
      </c>
      <c r="J11">
        <f t="shared" si="3"/>
        <v>0.01</v>
      </c>
      <c r="P11">
        <v>149180</v>
      </c>
    </row>
    <row r="12" spans="1:16" x14ac:dyDescent="0.25">
      <c r="A12" t="s">
        <v>20</v>
      </c>
      <c r="B12" t="s">
        <v>22</v>
      </c>
      <c r="C12" s="9">
        <v>169080</v>
      </c>
      <c r="D12" s="9"/>
      <c r="E12" s="9"/>
      <c r="F12" s="9"/>
      <c r="G12" s="9">
        <f t="shared" si="0"/>
        <v>169080</v>
      </c>
      <c r="H12">
        <f t="shared" si="1"/>
        <v>29.73</v>
      </c>
      <c r="I12" s="10">
        <f t="shared" si="2"/>
        <v>8.2000000000000003E-2</v>
      </c>
      <c r="J12">
        <f t="shared" si="3"/>
        <v>-0.11</v>
      </c>
      <c r="P12">
        <v>190840</v>
      </c>
    </row>
    <row r="13" spans="1:16" x14ac:dyDescent="0.25">
      <c r="A13" t="s">
        <v>20</v>
      </c>
      <c r="B13" t="s">
        <v>79</v>
      </c>
      <c r="C13" s="9"/>
      <c r="D13" s="9"/>
      <c r="E13" s="9">
        <v>264</v>
      </c>
      <c r="F13" s="9"/>
      <c r="G13" s="9">
        <f t="shared" si="0"/>
        <v>264</v>
      </c>
      <c r="H13">
        <f t="shared" si="1"/>
        <v>0.05</v>
      </c>
      <c r="I13" s="10">
        <f t="shared" si="2"/>
        <v>0</v>
      </c>
      <c r="J13">
        <f t="shared" si="3"/>
        <v>-0.12</v>
      </c>
      <c r="P13">
        <v>301</v>
      </c>
    </row>
    <row r="14" spans="1:16" x14ac:dyDescent="0.25">
      <c r="A14" t="s">
        <v>20</v>
      </c>
      <c r="B14" t="s">
        <v>42</v>
      </c>
      <c r="C14" s="9"/>
      <c r="D14" s="9"/>
      <c r="E14" s="9">
        <v>471</v>
      </c>
      <c r="F14" s="9"/>
      <c r="G14" s="9">
        <f t="shared" si="0"/>
        <v>471</v>
      </c>
      <c r="H14">
        <f t="shared" si="1"/>
        <v>0.08</v>
      </c>
      <c r="I14" s="10">
        <f t="shared" si="2"/>
        <v>0</v>
      </c>
      <c r="J14">
        <f t="shared" si="3"/>
        <v>0.15</v>
      </c>
      <c r="P14">
        <v>410</v>
      </c>
    </row>
    <row r="15" spans="1:16" x14ac:dyDescent="0.25">
      <c r="A15" t="s">
        <v>20</v>
      </c>
      <c r="B15" t="s">
        <v>23</v>
      </c>
      <c r="C15" s="9"/>
      <c r="D15" s="9"/>
      <c r="E15" s="9">
        <v>2840</v>
      </c>
      <c r="F15" s="9"/>
      <c r="G15" s="9">
        <f t="shared" si="0"/>
        <v>2840</v>
      </c>
      <c r="H15">
        <f t="shared" si="1"/>
        <v>0.5</v>
      </c>
      <c r="I15" s="10">
        <f t="shared" si="2"/>
        <v>1E-3</v>
      </c>
      <c r="J15">
        <f t="shared" si="3"/>
        <v>-0.14000000000000001</v>
      </c>
      <c r="P15">
        <v>3310</v>
      </c>
    </row>
    <row r="16" spans="1:16" x14ac:dyDescent="0.25">
      <c r="A16" t="s">
        <v>20</v>
      </c>
      <c r="B16" t="s">
        <v>103</v>
      </c>
      <c r="C16" s="9"/>
      <c r="D16" s="9"/>
      <c r="E16" s="9"/>
      <c r="F16" s="9">
        <v>286</v>
      </c>
      <c r="G16" s="9">
        <f t="shared" si="0"/>
        <v>286</v>
      </c>
      <c r="H16">
        <f t="shared" si="1"/>
        <v>0.05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24</v>
      </c>
      <c r="C17" s="9"/>
      <c r="D17" s="9"/>
      <c r="E17" s="9">
        <v>100360</v>
      </c>
      <c r="F17" s="9"/>
      <c r="G17" s="9">
        <f t="shared" si="0"/>
        <v>100360</v>
      </c>
      <c r="H17">
        <f t="shared" si="1"/>
        <v>17.64</v>
      </c>
      <c r="I17" s="10">
        <f t="shared" si="2"/>
        <v>4.9000000000000002E-2</v>
      </c>
      <c r="J17">
        <f t="shared" ref="J17:J28" si="4">ROUND(G17/P17-1,2)</f>
        <v>0</v>
      </c>
      <c r="P17">
        <v>100740</v>
      </c>
    </row>
    <row r="18" spans="1:16" x14ac:dyDescent="0.25">
      <c r="A18" t="s">
        <v>20</v>
      </c>
      <c r="B18" t="s">
        <v>25</v>
      </c>
      <c r="C18" s="9">
        <v>225050</v>
      </c>
      <c r="D18" s="9"/>
      <c r="E18" s="9"/>
      <c r="F18" s="9"/>
      <c r="G18" s="9">
        <f t="shared" si="0"/>
        <v>225050</v>
      </c>
      <c r="H18">
        <f t="shared" si="1"/>
        <v>39.57</v>
      </c>
      <c r="I18" s="10">
        <f t="shared" si="2"/>
        <v>0.109</v>
      </c>
      <c r="J18">
        <f t="shared" si="4"/>
        <v>-0.04</v>
      </c>
      <c r="P18">
        <v>235590</v>
      </c>
    </row>
    <row r="19" spans="1:16" x14ac:dyDescent="0.25">
      <c r="A19" t="s">
        <v>20</v>
      </c>
      <c r="B19" t="s">
        <v>69</v>
      </c>
      <c r="C19" s="9"/>
      <c r="D19" s="9"/>
      <c r="E19" s="9">
        <v>18325</v>
      </c>
      <c r="F19" s="9"/>
      <c r="G19" s="9">
        <f t="shared" si="0"/>
        <v>18325</v>
      </c>
      <c r="H19">
        <f t="shared" si="1"/>
        <v>3.22</v>
      </c>
      <c r="I19" s="10">
        <f t="shared" si="2"/>
        <v>8.9999999999999993E-3</v>
      </c>
      <c r="J19">
        <f t="shared" si="4"/>
        <v>-0.15</v>
      </c>
      <c r="P19">
        <v>21550</v>
      </c>
    </row>
    <row r="20" spans="1:16" x14ac:dyDescent="0.25">
      <c r="A20" t="s">
        <v>20</v>
      </c>
      <c r="B20" t="s">
        <v>26</v>
      </c>
      <c r="C20" s="9">
        <v>256370</v>
      </c>
      <c r="D20" s="9"/>
      <c r="E20" s="9"/>
      <c r="F20" s="9">
        <v>4410</v>
      </c>
      <c r="G20" s="9">
        <f t="shared" si="0"/>
        <v>260780</v>
      </c>
      <c r="H20">
        <f t="shared" si="1"/>
        <v>45.85</v>
      </c>
      <c r="I20" s="10">
        <f t="shared" si="2"/>
        <v>0.127</v>
      </c>
      <c r="J20">
        <f t="shared" si="4"/>
        <v>0.05</v>
      </c>
      <c r="P20">
        <v>248980</v>
      </c>
    </row>
    <row r="21" spans="1:16" x14ac:dyDescent="0.25">
      <c r="A21" t="s">
        <v>20</v>
      </c>
      <c r="B21" t="s">
        <v>27</v>
      </c>
      <c r="C21" s="9"/>
      <c r="D21" s="9"/>
      <c r="E21" s="9">
        <v>1628</v>
      </c>
      <c r="F21" s="9"/>
      <c r="G21" s="9">
        <f t="shared" si="0"/>
        <v>1628</v>
      </c>
      <c r="H21">
        <f t="shared" si="1"/>
        <v>0.28999999999999998</v>
      </c>
      <c r="I21" s="10">
        <f t="shared" si="2"/>
        <v>1E-3</v>
      </c>
      <c r="J21">
        <f t="shared" si="4"/>
        <v>3.14</v>
      </c>
      <c r="P21">
        <v>393</v>
      </c>
    </row>
    <row r="22" spans="1:16" x14ac:dyDescent="0.25">
      <c r="A22" t="s">
        <v>20</v>
      </c>
      <c r="B22" t="s">
        <v>28</v>
      </c>
      <c r="C22" s="9"/>
      <c r="D22" s="9"/>
      <c r="E22" s="9">
        <v>1089</v>
      </c>
      <c r="F22" s="9"/>
      <c r="G22" s="9">
        <f t="shared" si="0"/>
        <v>1089</v>
      </c>
      <c r="H22">
        <f t="shared" si="1"/>
        <v>0.19</v>
      </c>
      <c r="I22" s="10">
        <f t="shared" si="2"/>
        <v>1E-3</v>
      </c>
      <c r="J22">
        <f t="shared" si="4"/>
        <v>1.59</v>
      </c>
      <c r="P22">
        <v>420</v>
      </c>
    </row>
    <row r="23" spans="1:16" x14ac:dyDescent="0.25">
      <c r="A23" t="s">
        <v>20</v>
      </c>
      <c r="B23" t="s">
        <v>29</v>
      </c>
      <c r="C23" s="9"/>
      <c r="D23" s="9"/>
      <c r="E23" s="9">
        <v>394</v>
      </c>
      <c r="F23" s="9"/>
      <c r="G23" s="9">
        <f t="shared" si="0"/>
        <v>394</v>
      </c>
      <c r="H23">
        <f t="shared" si="1"/>
        <v>7.0000000000000007E-2</v>
      </c>
      <c r="I23" s="10">
        <f t="shared" si="2"/>
        <v>0</v>
      </c>
      <c r="J23">
        <f t="shared" si="4"/>
        <v>2.0099999999999998</v>
      </c>
      <c r="P23">
        <v>131</v>
      </c>
    </row>
    <row r="24" spans="1:16" x14ac:dyDescent="0.25">
      <c r="A24" t="s">
        <v>20</v>
      </c>
      <c r="B24" t="s">
        <v>30</v>
      </c>
      <c r="C24" s="9"/>
      <c r="D24" s="9"/>
      <c r="E24" s="9">
        <v>10300</v>
      </c>
      <c r="F24" s="9"/>
      <c r="G24" s="9">
        <f t="shared" si="0"/>
        <v>10300</v>
      </c>
      <c r="H24">
        <f t="shared" si="1"/>
        <v>1.81</v>
      </c>
      <c r="I24" s="10">
        <f t="shared" si="2"/>
        <v>5.0000000000000001E-3</v>
      </c>
      <c r="J24">
        <f t="shared" si="4"/>
        <v>-0.04</v>
      </c>
      <c r="P24">
        <v>10720</v>
      </c>
    </row>
    <row r="25" spans="1:16" x14ac:dyDescent="0.25">
      <c r="A25" t="s">
        <v>20</v>
      </c>
      <c r="B25" t="s">
        <v>31</v>
      </c>
      <c r="C25" s="9"/>
      <c r="D25" s="9"/>
      <c r="E25" s="9">
        <v>4310</v>
      </c>
      <c r="F25" s="9"/>
      <c r="G25" s="9">
        <f t="shared" si="0"/>
        <v>4310</v>
      </c>
      <c r="H25">
        <f t="shared" si="1"/>
        <v>0.76</v>
      </c>
      <c r="I25" s="10">
        <f t="shared" si="2"/>
        <v>2E-3</v>
      </c>
      <c r="J25">
        <f t="shared" si="4"/>
        <v>-0.11</v>
      </c>
      <c r="P25">
        <v>4820</v>
      </c>
    </row>
    <row r="26" spans="1:16" x14ac:dyDescent="0.25">
      <c r="A26" t="s">
        <v>20</v>
      </c>
      <c r="B26" t="s">
        <v>32</v>
      </c>
      <c r="C26" s="9"/>
      <c r="D26" s="9"/>
      <c r="E26" s="9">
        <v>1950</v>
      </c>
      <c r="F26" s="9"/>
      <c r="G26" s="9">
        <f t="shared" si="0"/>
        <v>1950</v>
      </c>
      <c r="H26">
        <f t="shared" si="1"/>
        <v>0.34</v>
      </c>
      <c r="I26" s="10">
        <f t="shared" si="2"/>
        <v>1E-3</v>
      </c>
      <c r="J26">
        <f t="shared" si="4"/>
        <v>-0.13</v>
      </c>
      <c r="P26">
        <v>2250</v>
      </c>
    </row>
    <row r="27" spans="1:16" x14ac:dyDescent="0.25">
      <c r="A27" t="s">
        <v>20</v>
      </c>
      <c r="B27" t="s">
        <v>33</v>
      </c>
      <c r="C27" s="9"/>
      <c r="D27" s="9"/>
      <c r="E27" s="9">
        <v>3475</v>
      </c>
      <c r="F27" s="9"/>
      <c r="G27" s="9">
        <f t="shared" si="0"/>
        <v>3475</v>
      </c>
      <c r="H27">
        <f t="shared" si="1"/>
        <v>0.61</v>
      </c>
      <c r="I27" s="10">
        <f t="shared" si="2"/>
        <v>2E-3</v>
      </c>
      <c r="J27">
        <f t="shared" si="4"/>
        <v>0.16</v>
      </c>
      <c r="P27">
        <v>3005</v>
      </c>
    </row>
    <row r="28" spans="1:16" x14ac:dyDescent="0.25">
      <c r="A28" t="s">
        <v>20</v>
      </c>
      <c r="B28" t="s">
        <v>43</v>
      </c>
      <c r="C28" s="9"/>
      <c r="D28" s="9">
        <v>214</v>
      </c>
      <c r="E28" s="9"/>
      <c r="F28" s="9"/>
      <c r="G28" s="9">
        <f t="shared" si="0"/>
        <v>214</v>
      </c>
      <c r="H28">
        <f t="shared" si="1"/>
        <v>0.04</v>
      </c>
      <c r="I28" s="10">
        <f t="shared" si="2"/>
        <v>0</v>
      </c>
      <c r="J28">
        <f t="shared" si="4"/>
        <v>-0.25</v>
      </c>
      <c r="P28">
        <v>287</v>
      </c>
    </row>
    <row r="29" spans="1:16" x14ac:dyDescent="0.25">
      <c r="A29" t="s">
        <v>20</v>
      </c>
      <c r="B29" t="s">
        <v>34</v>
      </c>
      <c r="C29" s="9"/>
      <c r="D29" s="9"/>
      <c r="E29" s="9">
        <v>320</v>
      </c>
      <c r="F29" s="9"/>
      <c r="G29" s="9">
        <f t="shared" si="0"/>
        <v>320</v>
      </c>
      <c r="H29">
        <f t="shared" si="1"/>
        <v>0.06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70</v>
      </c>
      <c r="C30" s="9"/>
      <c r="D30" s="9"/>
      <c r="E30" s="9">
        <v>3980</v>
      </c>
      <c r="F30" s="9"/>
      <c r="G30" s="9">
        <f t="shared" si="0"/>
        <v>3980</v>
      </c>
      <c r="H30">
        <f t="shared" si="1"/>
        <v>0.7</v>
      </c>
      <c r="I30" s="10">
        <f t="shared" si="2"/>
        <v>2E-3</v>
      </c>
      <c r="J30">
        <f t="shared" ref="J30:J37" si="5">ROUND(G30/P30-1,2)</f>
        <v>0.04</v>
      </c>
      <c r="P30">
        <v>3830</v>
      </c>
    </row>
    <row r="31" spans="1:16" x14ac:dyDescent="0.25">
      <c r="A31" t="s">
        <v>20</v>
      </c>
      <c r="B31" t="s">
        <v>35</v>
      </c>
      <c r="C31" s="9"/>
      <c r="D31" s="9"/>
      <c r="E31" s="9">
        <v>3920</v>
      </c>
      <c r="F31" s="9"/>
      <c r="G31" s="9">
        <f t="shared" si="0"/>
        <v>3920</v>
      </c>
      <c r="H31">
        <f t="shared" si="1"/>
        <v>0.69</v>
      </c>
      <c r="I31" s="10">
        <f t="shared" si="2"/>
        <v>2E-3</v>
      </c>
      <c r="J31">
        <f t="shared" si="5"/>
        <v>-0.69</v>
      </c>
      <c r="P31">
        <v>12713</v>
      </c>
    </row>
    <row r="32" spans="1:16" x14ac:dyDescent="0.25">
      <c r="A32" t="s">
        <v>20</v>
      </c>
      <c r="B32" t="s">
        <v>41</v>
      </c>
      <c r="C32" s="9"/>
      <c r="D32" s="9"/>
      <c r="E32" s="9">
        <v>15903</v>
      </c>
      <c r="F32" s="9"/>
      <c r="G32" s="9">
        <f t="shared" si="0"/>
        <v>15903</v>
      </c>
      <c r="H32">
        <f t="shared" si="1"/>
        <v>2.8</v>
      </c>
      <c r="I32" s="10">
        <f t="shared" si="2"/>
        <v>8.0000000000000002E-3</v>
      </c>
      <c r="J32">
        <f t="shared" si="5"/>
        <v>-0.37</v>
      </c>
      <c r="P32">
        <v>25045</v>
      </c>
    </row>
    <row r="33" spans="1:16" x14ac:dyDescent="0.25">
      <c r="A33" t="s">
        <v>20</v>
      </c>
      <c r="B33" t="s">
        <v>36</v>
      </c>
      <c r="C33" s="9"/>
      <c r="D33" s="9"/>
      <c r="E33" s="9">
        <v>11950</v>
      </c>
      <c r="F33" s="9"/>
      <c r="G33" s="9">
        <f t="shared" si="0"/>
        <v>11950</v>
      </c>
      <c r="H33">
        <f t="shared" si="1"/>
        <v>2.1</v>
      </c>
      <c r="I33" s="10">
        <f t="shared" si="2"/>
        <v>6.0000000000000001E-3</v>
      </c>
      <c r="J33">
        <f t="shared" si="5"/>
        <v>-0.32</v>
      </c>
      <c r="P33">
        <v>17650</v>
      </c>
    </row>
    <row r="34" spans="1:16" x14ac:dyDescent="0.25">
      <c r="A34" t="s">
        <v>20</v>
      </c>
      <c r="B34" t="s">
        <v>37</v>
      </c>
      <c r="C34" s="9"/>
      <c r="D34" s="9"/>
      <c r="E34" s="9">
        <v>169685</v>
      </c>
      <c r="F34" s="9"/>
      <c r="G34" s="9">
        <f t="shared" si="0"/>
        <v>169685</v>
      </c>
      <c r="H34">
        <f t="shared" si="1"/>
        <v>29.83</v>
      </c>
      <c r="I34" s="10">
        <f t="shared" si="2"/>
        <v>8.2000000000000003E-2</v>
      </c>
      <c r="J34">
        <f t="shared" si="5"/>
        <v>-0.09</v>
      </c>
      <c r="P34">
        <v>185710</v>
      </c>
    </row>
    <row r="35" spans="1:16" x14ac:dyDescent="0.25">
      <c r="A35" t="s">
        <v>20</v>
      </c>
      <c r="B35" t="s">
        <v>38</v>
      </c>
      <c r="C35" s="9"/>
      <c r="D35" s="9"/>
      <c r="E35" s="9">
        <v>11380</v>
      </c>
      <c r="F35" s="9"/>
      <c r="G35" s="9">
        <f t="shared" si="0"/>
        <v>11380</v>
      </c>
      <c r="H35">
        <f t="shared" si="1"/>
        <v>2</v>
      </c>
      <c r="I35" s="10">
        <f t="shared" si="2"/>
        <v>6.0000000000000001E-3</v>
      </c>
      <c r="J35">
        <f t="shared" si="5"/>
        <v>-0.18</v>
      </c>
      <c r="P35">
        <v>13800</v>
      </c>
    </row>
    <row r="36" spans="1:16" x14ac:dyDescent="0.25">
      <c r="A36" t="s">
        <v>20</v>
      </c>
      <c r="B36" t="s">
        <v>39</v>
      </c>
      <c r="C36" s="9"/>
      <c r="D36" s="9"/>
      <c r="E36" s="9">
        <v>65700</v>
      </c>
      <c r="F36" s="9"/>
      <c r="G36" s="9">
        <f t="shared" si="0"/>
        <v>65700</v>
      </c>
      <c r="H36">
        <f t="shared" si="1"/>
        <v>11.55</v>
      </c>
      <c r="I36" s="10">
        <f t="shared" si="2"/>
        <v>3.2000000000000001E-2</v>
      </c>
      <c r="J36">
        <f t="shared" si="5"/>
        <v>0.06</v>
      </c>
      <c r="P36">
        <v>61970</v>
      </c>
    </row>
    <row r="37" spans="1:16" x14ac:dyDescent="0.25">
      <c r="A37" t="s">
        <v>20</v>
      </c>
      <c r="B37" t="s">
        <v>40</v>
      </c>
      <c r="C37" s="9"/>
      <c r="D37" s="9"/>
      <c r="E37" s="9">
        <v>85800</v>
      </c>
      <c r="F37" s="9"/>
      <c r="G37" s="9">
        <f t="shared" si="0"/>
        <v>85800</v>
      </c>
      <c r="H37">
        <f t="shared" si="1"/>
        <v>15.08</v>
      </c>
      <c r="I37" s="10">
        <f t="shared" si="2"/>
        <v>4.2000000000000003E-2</v>
      </c>
      <c r="J37">
        <f t="shared" si="5"/>
        <v>-0.05</v>
      </c>
      <c r="P37">
        <v>89970</v>
      </c>
    </row>
    <row r="38" spans="1:16" x14ac:dyDescent="0.25">
      <c r="A38" t="s">
        <v>20</v>
      </c>
      <c r="B38" t="s">
        <v>75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540240</v>
      </c>
      <c r="D39" s="9">
        <v>15960</v>
      </c>
      <c r="E39" s="9"/>
      <c r="F39" s="9">
        <v>28900</v>
      </c>
      <c r="G39" s="9">
        <f t="shared" si="0"/>
        <v>585100</v>
      </c>
      <c r="H39">
        <f t="shared" si="1"/>
        <v>102.87</v>
      </c>
      <c r="I39" s="10">
        <f t="shared" si="2"/>
        <v>0.28399999999999997</v>
      </c>
      <c r="J39">
        <f>ROUND(G39/P39-1,2)</f>
        <v>-0.04</v>
      </c>
      <c r="P39">
        <v>610480</v>
      </c>
    </row>
    <row r="40" spans="1:16" x14ac:dyDescent="0.25">
      <c r="A40" t="s">
        <v>44</v>
      </c>
      <c r="B40" t="s">
        <v>47</v>
      </c>
      <c r="C40" s="9"/>
      <c r="D40" s="9"/>
      <c r="E40" s="9"/>
      <c r="F40" s="9">
        <v>9500</v>
      </c>
      <c r="G40" s="9">
        <f t="shared" si="0"/>
        <v>9500</v>
      </c>
      <c r="H40">
        <f t="shared" si="1"/>
        <v>1.67</v>
      </c>
      <c r="I40" s="10">
        <f t="shared" si="2"/>
        <v>5.0000000000000001E-3</v>
      </c>
      <c r="J40">
        <f>ROUND(G40/P40-1,2)</f>
        <v>1.1100000000000001</v>
      </c>
      <c r="P40">
        <v>4495</v>
      </c>
    </row>
    <row r="41" spans="1:16" x14ac:dyDescent="0.25">
      <c r="A41" t="s">
        <v>44</v>
      </c>
      <c r="B41" t="s">
        <v>46</v>
      </c>
      <c r="C41" s="9"/>
      <c r="D41" s="9"/>
      <c r="E41" s="9">
        <v>89780</v>
      </c>
      <c r="F41" s="9"/>
      <c r="G41" s="9">
        <f t="shared" si="0"/>
        <v>89780</v>
      </c>
      <c r="H41">
        <f t="shared" si="1"/>
        <v>15.78</v>
      </c>
      <c r="I41" s="10">
        <f t="shared" si="2"/>
        <v>4.3999999999999997E-2</v>
      </c>
      <c r="J41">
        <f>ROUND(G41/P41-1,2)</f>
        <v>0.02</v>
      </c>
      <c r="P41">
        <v>87760</v>
      </c>
    </row>
    <row r="42" spans="1:16" x14ac:dyDescent="0.25">
      <c r="A42" t="s">
        <v>16</v>
      </c>
      <c r="B42" t="s">
        <v>19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16</v>
      </c>
      <c r="B43" t="s">
        <v>66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16</v>
      </c>
      <c r="B44" t="s">
        <v>18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A45" t="s">
        <v>16</v>
      </c>
      <c r="B45" t="s">
        <v>17</v>
      </c>
      <c r="C45" s="9"/>
      <c r="D45" s="9"/>
      <c r="E45" s="9"/>
      <c r="F45" s="9"/>
      <c r="G45" s="9">
        <f t="shared" si="0"/>
        <v>0</v>
      </c>
      <c r="H45">
        <f t="shared" si="1"/>
        <v>0</v>
      </c>
      <c r="I45" s="10">
        <f t="shared" si="2"/>
        <v>0</v>
      </c>
      <c r="P45">
        <v>0</v>
      </c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6">SUM(C8:C45)</f>
        <v>1390600</v>
      </c>
      <c r="D49" s="12">
        <f t="shared" si="6"/>
        <v>16174</v>
      </c>
      <c r="E49" s="12">
        <f t="shared" si="6"/>
        <v>606997</v>
      </c>
      <c r="F49" s="12">
        <f t="shared" si="6"/>
        <v>43096</v>
      </c>
      <c r="G49" s="12">
        <f t="shared" si="6"/>
        <v>2056867</v>
      </c>
      <c r="H49" s="11">
        <f t="shared" si="6"/>
        <v>361.62999999999994</v>
      </c>
      <c r="I49" s="4"/>
    </row>
    <row r="50" spans="1:10" x14ac:dyDescent="0.25">
      <c r="A50" s="11" t="s">
        <v>14</v>
      </c>
      <c r="C50" s="13">
        <f>ROUND(C49/G49,2)</f>
        <v>0.68</v>
      </c>
      <c r="D50" s="13">
        <f>ROUND(D49/G49,2)</f>
        <v>0.01</v>
      </c>
      <c r="E50" s="13">
        <f>ROUND(E49/G49,2)</f>
        <v>0.3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850360</v>
      </c>
      <c r="D54" s="15">
        <v>214</v>
      </c>
      <c r="E54" s="15">
        <v>517217</v>
      </c>
      <c r="F54" s="15">
        <v>4696</v>
      </c>
      <c r="G54" s="15">
        <f>SUM(C54:F54)</f>
        <v>1372487</v>
      </c>
      <c r="H54" s="17">
        <f>ROUND(G54/5688,2)</f>
        <v>241.3</v>
      </c>
      <c r="I54" s="4"/>
      <c r="J54" s="4"/>
    </row>
    <row r="55" spans="1:10" x14ac:dyDescent="0.25">
      <c r="A55" s="33" t="s">
        <v>50</v>
      </c>
      <c r="B55" s="33"/>
      <c r="C55" s="15">
        <v>540240</v>
      </c>
      <c r="D55" s="15">
        <v>15960</v>
      </c>
      <c r="E55" s="15">
        <v>89780</v>
      </c>
      <c r="F55" s="15">
        <v>38400</v>
      </c>
      <c r="G55" s="15">
        <f>SUM(C55:F55)</f>
        <v>684380</v>
      </c>
      <c r="H55" s="17">
        <f>ROUND(G55/5688,2)</f>
        <v>120.32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ROUND(G56/5688,2)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ROUND(0.6585, 4)</f>
        <v>0.65849999999999997</v>
      </c>
      <c r="D60" s="19">
        <f>ROUND(0.6596, 4)</f>
        <v>0.65959999999999996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ROUND(0.6486, 4)</f>
        <v>0.64859999999999995</v>
      </c>
      <c r="D61" s="19">
        <f>ROUND(0.6501, 4)</f>
        <v>0.65010000000000001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223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102.87</v>
      </c>
      <c r="D64" s="17">
        <v>95.2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45.85</v>
      </c>
      <c r="D65" s="17">
        <v>44.78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241.3</v>
      </c>
      <c r="D66" s="17">
        <v>250.63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120.32</v>
      </c>
      <c r="D67" s="17">
        <v>110.66</v>
      </c>
      <c r="E67" s="17">
        <v>115.16</v>
      </c>
      <c r="F67" s="17">
        <v>80.39</v>
      </c>
      <c r="H67" s="3"/>
      <c r="I67" s="4"/>
      <c r="J67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96.7109375" bestFit="1" customWidth="1"/>
    <col min="3" max="3" width="14" bestFit="1" customWidth="1"/>
    <col min="4" max="4" width="43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224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6023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185</v>
      </c>
      <c r="G9" s="9">
        <f t="shared" ref="G9:G45" si="0">SUM(C9:F9)</f>
        <v>185</v>
      </c>
      <c r="H9">
        <f t="shared" ref="H9:H45" si="1">ROUND(G9/6023,2)</f>
        <v>0.03</v>
      </c>
      <c r="I9" s="10">
        <f t="shared" ref="I9:I45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17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116</v>
      </c>
      <c r="F13" s="9"/>
      <c r="G13" s="9">
        <f t="shared" si="0"/>
        <v>116</v>
      </c>
      <c r="H13">
        <f t="shared" si="1"/>
        <v>0.02</v>
      </c>
      <c r="I13" s="10">
        <f t="shared" si="2"/>
        <v>0</v>
      </c>
      <c r="J13">
        <f t="shared" ref="J13:J18" si="3">ROUND(G13/P13-1,2)</f>
        <v>-0.09</v>
      </c>
      <c r="P13">
        <v>127</v>
      </c>
    </row>
    <row r="14" spans="1:16" x14ac:dyDescent="0.25">
      <c r="A14" t="s">
        <v>20</v>
      </c>
      <c r="B14" t="s">
        <v>21</v>
      </c>
      <c r="C14" s="9">
        <v>250320</v>
      </c>
      <c r="D14" s="9"/>
      <c r="E14" s="9">
        <v>4520</v>
      </c>
      <c r="F14" s="9"/>
      <c r="G14" s="9">
        <f t="shared" si="0"/>
        <v>254840</v>
      </c>
      <c r="H14">
        <f t="shared" si="1"/>
        <v>42.31</v>
      </c>
      <c r="I14" s="10">
        <f t="shared" si="2"/>
        <v>0.112</v>
      </c>
      <c r="J14">
        <f t="shared" si="3"/>
        <v>0.01</v>
      </c>
      <c r="P14">
        <v>252920</v>
      </c>
    </row>
    <row r="15" spans="1:16" x14ac:dyDescent="0.25">
      <c r="A15" t="s">
        <v>20</v>
      </c>
      <c r="B15" t="s">
        <v>22</v>
      </c>
      <c r="C15" s="9">
        <v>225290</v>
      </c>
      <c r="D15" s="9"/>
      <c r="E15" s="9"/>
      <c r="F15" s="9"/>
      <c r="G15" s="9">
        <f t="shared" si="0"/>
        <v>225290</v>
      </c>
      <c r="H15">
        <f t="shared" si="1"/>
        <v>37.4</v>
      </c>
      <c r="I15" s="10">
        <f t="shared" si="2"/>
        <v>9.9000000000000005E-2</v>
      </c>
      <c r="J15">
        <f t="shared" si="3"/>
        <v>-0.1</v>
      </c>
      <c r="P15">
        <v>249190</v>
      </c>
    </row>
    <row r="16" spans="1:16" x14ac:dyDescent="0.25">
      <c r="A16" t="s">
        <v>20</v>
      </c>
      <c r="B16" t="s">
        <v>79</v>
      </c>
      <c r="C16" s="9"/>
      <c r="D16" s="9"/>
      <c r="E16" s="9">
        <v>243</v>
      </c>
      <c r="F16" s="9"/>
      <c r="G16" s="9">
        <f t="shared" si="0"/>
        <v>243</v>
      </c>
      <c r="H16">
        <f t="shared" si="1"/>
        <v>0.04</v>
      </c>
      <c r="I16" s="10">
        <f t="shared" si="2"/>
        <v>0</v>
      </c>
      <c r="J16">
        <f t="shared" si="3"/>
        <v>-0.28999999999999998</v>
      </c>
      <c r="P16">
        <v>341</v>
      </c>
    </row>
    <row r="17" spans="1:16" x14ac:dyDescent="0.25">
      <c r="A17" t="s">
        <v>20</v>
      </c>
      <c r="B17" t="s">
        <v>42</v>
      </c>
      <c r="C17" s="9"/>
      <c r="D17" s="9"/>
      <c r="E17" s="9">
        <v>225</v>
      </c>
      <c r="F17" s="9"/>
      <c r="G17" s="9">
        <f t="shared" si="0"/>
        <v>225</v>
      </c>
      <c r="H17">
        <f t="shared" si="1"/>
        <v>0.04</v>
      </c>
      <c r="I17" s="10">
        <f t="shared" si="2"/>
        <v>0</v>
      </c>
      <c r="J17">
        <f t="shared" si="3"/>
        <v>0.56999999999999995</v>
      </c>
      <c r="P17">
        <v>143</v>
      </c>
    </row>
    <row r="18" spans="1:16" x14ac:dyDescent="0.25">
      <c r="A18" t="s">
        <v>20</v>
      </c>
      <c r="B18" t="s">
        <v>23</v>
      </c>
      <c r="C18" s="9"/>
      <c r="D18" s="9"/>
      <c r="E18" s="9">
        <v>1900</v>
      </c>
      <c r="F18" s="9"/>
      <c r="G18" s="9">
        <f t="shared" si="0"/>
        <v>1900</v>
      </c>
      <c r="H18">
        <f t="shared" si="1"/>
        <v>0.32</v>
      </c>
      <c r="I18" s="10">
        <f t="shared" si="2"/>
        <v>1E-3</v>
      </c>
      <c r="J18">
        <f t="shared" si="3"/>
        <v>-0.32</v>
      </c>
      <c r="P18">
        <v>2810</v>
      </c>
    </row>
    <row r="19" spans="1:16" x14ac:dyDescent="0.25">
      <c r="A19" t="s">
        <v>20</v>
      </c>
      <c r="B19" t="s">
        <v>225</v>
      </c>
      <c r="C19" s="9"/>
      <c r="D19" s="9"/>
      <c r="E19" s="9"/>
      <c r="F19" s="9">
        <v>1510</v>
      </c>
      <c r="G19" s="9">
        <f t="shared" si="0"/>
        <v>1510</v>
      </c>
      <c r="H19">
        <f t="shared" si="1"/>
        <v>0.25</v>
      </c>
      <c r="I19" s="10">
        <f t="shared" si="2"/>
        <v>1E-3</v>
      </c>
      <c r="P19">
        <v>0</v>
      </c>
    </row>
    <row r="20" spans="1:16" x14ac:dyDescent="0.25">
      <c r="A20" t="s">
        <v>20</v>
      </c>
      <c r="B20" t="s">
        <v>226</v>
      </c>
      <c r="C20" s="9"/>
      <c r="D20" s="9"/>
      <c r="E20" s="9"/>
      <c r="F20" s="9">
        <v>7870</v>
      </c>
      <c r="G20" s="9">
        <f t="shared" si="0"/>
        <v>7870</v>
      </c>
      <c r="H20">
        <f t="shared" si="1"/>
        <v>1.31</v>
      </c>
      <c r="I20" s="10">
        <f t="shared" si="2"/>
        <v>3.0000000000000001E-3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47160</v>
      </c>
      <c r="F21" s="9">
        <v>40</v>
      </c>
      <c r="G21" s="9">
        <f t="shared" si="0"/>
        <v>47200</v>
      </c>
      <c r="H21">
        <f t="shared" si="1"/>
        <v>7.84</v>
      </c>
      <c r="I21" s="10">
        <f t="shared" si="2"/>
        <v>2.1000000000000001E-2</v>
      </c>
      <c r="J21">
        <f t="shared" ref="J21:J41" si="4">ROUND(G21/P21-1,2)</f>
        <v>-0.02</v>
      </c>
      <c r="P21">
        <v>48120</v>
      </c>
    </row>
    <row r="22" spans="1:16" x14ac:dyDescent="0.25">
      <c r="A22" t="s">
        <v>20</v>
      </c>
      <c r="B22" t="s">
        <v>25</v>
      </c>
      <c r="C22" s="9">
        <v>312580</v>
      </c>
      <c r="D22" s="9"/>
      <c r="E22" s="9">
        <v>33770</v>
      </c>
      <c r="F22" s="9"/>
      <c r="G22" s="9">
        <f t="shared" si="0"/>
        <v>346350</v>
      </c>
      <c r="H22">
        <f t="shared" si="1"/>
        <v>57.5</v>
      </c>
      <c r="I22" s="10">
        <f t="shared" si="2"/>
        <v>0.152</v>
      </c>
      <c r="J22">
        <f t="shared" si="4"/>
        <v>-0.03</v>
      </c>
      <c r="P22">
        <v>358320</v>
      </c>
    </row>
    <row r="23" spans="1:16" x14ac:dyDescent="0.25">
      <c r="A23" t="s">
        <v>20</v>
      </c>
      <c r="B23" t="s">
        <v>69</v>
      </c>
      <c r="C23" s="9"/>
      <c r="D23" s="9"/>
      <c r="E23" s="9">
        <v>6580</v>
      </c>
      <c r="F23" s="9"/>
      <c r="G23" s="9">
        <f t="shared" si="0"/>
        <v>6580</v>
      </c>
      <c r="H23">
        <f t="shared" si="1"/>
        <v>1.0900000000000001</v>
      </c>
      <c r="I23" s="10">
        <f t="shared" si="2"/>
        <v>3.0000000000000001E-3</v>
      </c>
      <c r="J23">
        <f t="shared" si="4"/>
        <v>-0.2</v>
      </c>
      <c r="P23">
        <v>8200</v>
      </c>
    </row>
    <row r="24" spans="1:16" x14ac:dyDescent="0.25">
      <c r="A24" t="s">
        <v>20</v>
      </c>
      <c r="B24" t="s">
        <v>26</v>
      </c>
      <c r="C24" s="9">
        <v>372440</v>
      </c>
      <c r="D24" s="9"/>
      <c r="E24" s="9"/>
      <c r="F24" s="9">
        <v>1820</v>
      </c>
      <c r="G24" s="9">
        <f t="shared" si="0"/>
        <v>374260</v>
      </c>
      <c r="H24">
        <f t="shared" si="1"/>
        <v>62.14</v>
      </c>
      <c r="I24" s="10">
        <f t="shared" si="2"/>
        <v>0.16500000000000001</v>
      </c>
      <c r="J24">
        <f t="shared" si="4"/>
        <v>-0.02</v>
      </c>
      <c r="P24">
        <v>380160</v>
      </c>
    </row>
    <row r="25" spans="1:16" x14ac:dyDescent="0.25">
      <c r="A25" t="s">
        <v>20</v>
      </c>
      <c r="B25" t="s">
        <v>27</v>
      </c>
      <c r="C25" s="9"/>
      <c r="D25" s="9"/>
      <c r="E25" s="9">
        <v>1173</v>
      </c>
      <c r="F25" s="9"/>
      <c r="G25" s="9">
        <f t="shared" si="0"/>
        <v>1173</v>
      </c>
      <c r="H25">
        <f t="shared" si="1"/>
        <v>0.19</v>
      </c>
      <c r="I25" s="10">
        <f t="shared" si="2"/>
        <v>1E-3</v>
      </c>
      <c r="J25">
        <f t="shared" si="4"/>
        <v>0.11</v>
      </c>
      <c r="P25">
        <v>1053</v>
      </c>
    </row>
    <row r="26" spans="1:16" x14ac:dyDescent="0.25">
      <c r="A26" t="s">
        <v>20</v>
      </c>
      <c r="B26" t="s">
        <v>28</v>
      </c>
      <c r="C26" s="9"/>
      <c r="D26" s="9"/>
      <c r="E26" s="9">
        <v>617</v>
      </c>
      <c r="F26" s="9"/>
      <c r="G26" s="9">
        <f t="shared" si="0"/>
        <v>617</v>
      </c>
      <c r="H26">
        <f t="shared" si="1"/>
        <v>0.1</v>
      </c>
      <c r="I26" s="10">
        <f t="shared" si="2"/>
        <v>0</v>
      </c>
      <c r="J26">
        <f t="shared" si="4"/>
        <v>-0.23</v>
      </c>
      <c r="P26">
        <v>800</v>
      </c>
    </row>
    <row r="27" spans="1:16" x14ac:dyDescent="0.25">
      <c r="A27" t="s">
        <v>20</v>
      </c>
      <c r="B27" t="s">
        <v>29</v>
      </c>
      <c r="C27" s="9"/>
      <c r="D27" s="9"/>
      <c r="E27" s="9">
        <v>89</v>
      </c>
      <c r="F27" s="9"/>
      <c r="G27" s="9">
        <f t="shared" si="0"/>
        <v>89</v>
      </c>
      <c r="H27">
        <f t="shared" si="1"/>
        <v>0.01</v>
      </c>
      <c r="I27" s="10">
        <f t="shared" si="2"/>
        <v>0</v>
      </c>
      <c r="J27">
        <f t="shared" si="4"/>
        <v>-0.94</v>
      </c>
      <c r="P27">
        <v>1600</v>
      </c>
    </row>
    <row r="28" spans="1:16" x14ac:dyDescent="0.25">
      <c r="A28" t="s">
        <v>20</v>
      </c>
      <c r="B28" t="s">
        <v>30</v>
      </c>
      <c r="C28" s="9"/>
      <c r="D28" s="9"/>
      <c r="E28" s="9">
        <v>7630</v>
      </c>
      <c r="F28" s="9"/>
      <c r="G28" s="9">
        <f t="shared" si="0"/>
        <v>7630</v>
      </c>
      <c r="H28">
        <f t="shared" si="1"/>
        <v>1.27</v>
      </c>
      <c r="I28" s="10">
        <f t="shared" si="2"/>
        <v>3.0000000000000001E-3</v>
      </c>
      <c r="J28">
        <f t="shared" si="4"/>
        <v>-0.11</v>
      </c>
      <c r="P28">
        <v>8580</v>
      </c>
    </row>
    <row r="29" spans="1:16" x14ac:dyDescent="0.25">
      <c r="A29" t="s">
        <v>20</v>
      </c>
      <c r="B29" t="s">
        <v>31</v>
      </c>
      <c r="C29" s="9"/>
      <c r="D29" s="9"/>
      <c r="E29" s="9">
        <v>1070</v>
      </c>
      <c r="F29" s="9"/>
      <c r="G29" s="9">
        <f t="shared" si="0"/>
        <v>1070</v>
      </c>
      <c r="H29">
        <f t="shared" si="1"/>
        <v>0.18</v>
      </c>
      <c r="I29" s="10">
        <f t="shared" si="2"/>
        <v>0</v>
      </c>
      <c r="J29">
        <f t="shared" si="4"/>
        <v>-0.36</v>
      </c>
      <c r="P29">
        <v>1670</v>
      </c>
    </row>
    <row r="30" spans="1:16" x14ac:dyDescent="0.25">
      <c r="A30" t="s">
        <v>20</v>
      </c>
      <c r="B30" t="s">
        <v>32</v>
      </c>
      <c r="C30" s="9"/>
      <c r="D30" s="9"/>
      <c r="E30" s="9">
        <v>1170</v>
      </c>
      <c r="F30" s="9"/>
      <c r="G30" s="9">
        <f t="shared" si="0"/>
        <v>1170</v>
      </c>
      <c r="H30">
        <f t="shared" si="1"/>
        <v>0.19</v>
      </c>
      <c r="I30" s="10">
        <f t="shared" si="2"/>
        <v>1E-3</v>
      </c>
      <c r="J30">
        <f t="shared" si="4"/>
        <v>0.23</v>
      </c>
      <c r="P30">
        <v>950</v>
      </c>
    </row>
    <row r="31" spans="1:16" x14ac:dyDescent="0.25">
      <c r="A31" t="s">
        <v>20</v>
      </c>
      <c r="B31" t="s">
        <v>33</v>
      </c>
      <c r="C31" s="9"/>
      <c r="D31" s="9"/>
      <c r="E31" s="9">
        <v>3530</v>
      </c>
      <c r="F31" s="9"/>
      <c r="G31" s="9">
        <f t="shared" si="0"/>
        <v>3530</v>
      </c>
      <c r="H31">
        <f t="shared" si="1"/>
        <v>0.59</v>
      </c>
      <c r="I31" s="10">
        <f t="shared" si="2"/>
        <v>2E-3</v>
      </c>
      <c r="J31">
        <f t="shared" si="4"/>
        <v>0.9</v>
      </c>
      <c r="P31">
        <v>1855</v>
      </c>
    </row>
    <row r="32" spans="1:16" x14ac:dyDescent="0.25">
      <c r="A32" t="s">
        <v>20</v>
      </c>
      <c r="B32" t="s">
        <v>43</v>
      </c>
      <c r="C32" s="9"/>
      <c r="D32" s="9">
        <v>369</v>
      </c>
      <c r="E32" s="9"/>
      <c r="F32" s="9"/>
      <c r="G32" s="9">
        <f t="shared" si="0"/>
        <v>369</v>
      </c>
      <c r="H32">
        <f t="shared" si="1"/>
        <v>0.06</v>
      </c>
      <c r="I32" s="10">
        <f t="shared" si="2"/>
        <v>0</v>
      </c>
      <c r="J32">
        <f t="shared" si="4"/>
        <v>-0.26</v>
      </c>
      <c r="P32">
        <v>496</v>
      </c>
    </row>
    <row r="33" spans="1:16" x14ac:dyDescent="0.25">
      <c r="A33" t="s">
        <v>20</v>
      </c>
      <c r="B33" t="s">
        <v>34</v>
      </c>
      <c r="C33" s="9"/>
      <c r="D33" s="9"/>
      <c r="E33" s="9">
        <v>400</v>
      </c>
      <c r="F33" s="9"/>
      <c r="G33" s="9">
        <f t="shared" si="0"/>
        <v>400</v>
      </c>
      <c r="H33">
        <f t="shared" si="1"/>
        <v>7.0000000000000007E-2</v>
      </c>
      <c r="I33" s="10">
        <f t="shared" si="2"/>
        <v>0</v>
      </c>
      <c r="J33">
        <f t="shared" si="4"/>
        <v>-0.4</v>
      </c>
      <c r="P33">
        <v>670</v>
      </c>
    </row>
    <row r="34" spans="1:16" x14ac:dyDescent="0.25">
      <c r="A34" t="s">
        <v>20</v>
      </c>
      <c r="B34" t="s">
        <v>35</v>
      </c>
      <c r="C34" s="9"/>
      <c r="D34" s="9"/>
      <c r="E34" s="9">
        <v>4904</v>
      </c>
      <c r="F34" s="9"/>
      <c r="G34" s="9">
        <f t="shared" si="0"/>
        <v>4904</v>
      </c>
      <c r="H34">
        <f t="shared" si="1"/>
        <v>0.81</v>
      </c>
      <c r="I34" s="10">
        <f t="shared" si="2"/>
        <v>2E-3</v>
      </c>
      <c r="J34">
        <f t="shared" si="4"/>
        <v>-7.0000000000000007E-2</v>
      </c>
      <c r="P34">
        <v>5253</v>
      </c>
    </row>
    <row r="35" spans="1:16" x14ac:dyDescent="0.25">
      <c r="A35" t="s">
        <v>20</v>
      </c>
      <c r="B35" t="s">
        <v>36</v>
      </c>
      <c r="C35" s="9"/>
      <c r="D35" s="9"/>
      <c r="E35" s="9">
        <v>7166</v>
      </c>
      <c r="F35" s="9"/>
      <c r="G35" s="9">
        <f t="shared" si="0"/>
        <v>7166</v>
      </c>
      <c r="H35">
        <f t="shared" si="1"/>
        <v>1.19</v>
      </c>
      <c r="I35" s="10">
        <f t="shared" si="2"/>
        <v>3.0000000000000001E-3</v>
      </c>
      <c r="J35">
        <f t="shared" si="4"/>
        <v>-0.27</v>
      </c>
      <c r="P35">
        <v>9860</v>
      </c>
    </row>
    <row r="36" spans="1:16" x14ac:dyDescent="0.25">
      <c r="A36" t="s">
        <v>20</v>
      </c>
      <c r="B36" t="s">
        <v>41</v>
      </c>
      <c r="C36" s="9"/>
      <c r="D36" s="9"/>
      <c r="E36" s="9">
        <v>8222</v>
      </c>
      <c r="F36" s="9"/>
      <c r="G36" s="9">
        <f t="shared" si="0"/>
        <v>8222</v>
      </c>
      <c r="H36">
        <f t="shared" si="1"/>
        <v>1.37</v>
      </c>
      <c r="I36" s="10">
        <f t="shared" si="2"/>
        <v>4.0000000000000001E-3</v>
      </c>
      <c r="J36">
        <f t="shared" si="4"/>
        <v>0</v>
      </c>
      <c r="P36">
        <v>8242</v>
      </c>
    </row>
    <row r="37" spans="1:16" x14ac:dyDescent="0.25">
      <c r="A37" t="s">
        <v>20</v>
      </c>
      <c r="B37" t="s">
        <v>37</v>
      </c>
      <c r="C37" s="9"/>
      <c r="D37" s="9"/>
      <c r="E37" s="9">
        <v>151210</v>
      </c>
      <c r="F37" s="9"/>
      <c r="G37" s="9">
        <f t="shared" si="0"/>
        <v>151210</v>
      </c>
      <c r="H37">
        <f t="shared" si="1"/>
        <v>25.11</v>
      </c>
      <c r="I37" s="10">
        <f t="shared" si="2"/>
        <v>6.7000000000000004E-2</v>
      </c>
      <c r="J37">
        <f t="shared" si="4"/>
        <v>0.2</v>
      </c>
      <c r="P37">
        <v>125805</v>
      </c>
    </row>
    <row r="38" spans="1:16" x14ac:dyDescent="0.25">
      <c r="A38" t="s">
        <v>20</v>
      </c>
      <c r="B38" t="s">
        <v>38</v>
      </c>
      <c r="C38" s="9"/>
      <c r="D38" s="9"/>
      <c r="E38" s="9">
        <v>5770</v>
      </c>
      <c r="F38" s="9">
        <v>11300</v>
      </c>
      <c r="G38" s="9">
        <f t="shared" si="0"/>
        <v>17070</v>
      </c>
      <c r="H38">
        <f t="shared" si="1"/>
        <v>2.83</v>
      </c>
      <c r="I38" s="10">
        <f t="shared" si="2"/>
        <v>8.0000000000000002E-3</v>
      </c>
      <c r="J38">
        <f t="shared" si="4"/>
        <v>2.08</v>
      </c>
      <c r="P38">
        <v>5540</v>
      </c>
    </row>
    <row r="39" spans="1:16" x14ac:dyDescent="0.25">
      <c r="A39" t="s">
        <v>20</v>
      </c>
      <c r="B39" t="s">
        <v>39</v>
      </c>
      <c r="C39" s="9"/>
      <c r="D39" s="9"/>
      <c r="E39" s="9">
        <v>14890</v>
      </c>
      <c r="F39" s="9">
        <v>3080</v>
      </c>
      <c r="G39" s="9">
        <f t="shared" si="0"/>
        <v>17970</v>
      </c>
      <c r="H39">
        <f t="shared" si="1"/>
        <v>2.98</v>
      </c>
      <c r="I39" s="10">
        <f t="shared" si="2"/>
        <v>8.0000000000000002E-3</v>
      </c>
      <c r="J39">
        <f t="shared" si="4"/>
        <v>0</v>
      </c>
      <c r="P39">
        <v>17970</v>
      </c>
    </row>
    <row r="40" spans="1:16" x14ac:dyDescent="0.25">
      <c r="A40" t="s">
        <v>20</v>
      </c>
      <c r="B40" t="s">
        <v>40</v>
      </c>
      <c r="C40" s="9"/>
      <c r="D40" s="9"/>
      <c r="E40" s="9">
        <v>295100</v>
      </c>
      <c r="F40" s="9">
        <v>2280</v>
      </c>
      <c r="G40" s="9">
        <f t="shared" si="0"/>
        <v>297380</v>
      </c>
      <c r="H40">
        <f t="shared" si="1"/>
        <v>49.37</v>
      </c>
      <c r="I40" s="10">
        <f t="shared" si="2"/>
        <v>0.13100000000000001</v>
      </c>
      <c r="J40">
        <f t="shared" si="4"/>
        <v>0.01</v>
      </c>
      <c r="P40">
        <v>294040</v>
      </c>
    </row>
    <row r="41" spans="1:16" x14ac:dyDescent="0.25">
      <c r="A41" t="s">
        <v>20</v>
      </c>
      <c r="B41" t="s">
        <v>70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 t="shared" si="4"/>
        <v>-1</v>
      </c>
      <c r="P41">
        <v>1740</v>
      </c>
    </row>
    <row r="42" spans="1:16" x14ac:dyDescent="0.25">
      <c r="A42" t="s">
        <v>20</v>
      </c>
      <c r="B42" t="s">
        <v>185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44</v>
      </c>
      <c r="B43" t="s">
        <v>45</v>
      </c>
      <c r="C43" s="9">
        <v>355430</v>
      </c>
      <c r="D43" s="9"/>
      <c r="E43" s="9"/>
      <c r="F43" s="9">
        <v>60</v>
      </c>
      <c r="G43" s="9">
        <f t="shared" si="0"/>
        <v>355490</v>
      </c>
      <c r="H43">
        <f t="shared" si="1"/>
        <v>59.02</v>
      </c>
      <c r="I43" s="10">
        <f t="shared" si="2"/>
        <v>0.156</v>
      </c>
      <c r="J43">
        <f>ROUND(G43/P43-1,2)</f>
        <v>-0.01</v>
      </c>
      <c r="P43">
        <v>357520</v>
      </c>
    </row>
    <row r="44" spans="1:16" x14ac:dyDescent="0.25">
      <c r="A44" t="s">
        <v>44</v>
      </c>
      <c r="B44" t="s">
        <v>47</v>
      </c>
      <c r="C44" s="9"/>
      <c r="D44" s="9"/>
      <c r="E44" s="9"/>
      <c r="F44" s="9">
        <v>48350</v>
      </c>
      <c r="G44" s="9">
        <f t="shared" si="0"/>
        <v>48350</v>
      </c>
      <c r="H44">
        <f t="shared" si="1"/>
        <v>8.0299999999999994</v>
      </c>
      <c r="I44" s="10">
        <f t="shared" si="2"/>
        <v>2.1000000000000001E-2</v>
      </c>
      <c r="J44">
        <f>ROUND(G44/P44-1,2)</f>
        <v>-0.02</v>
      </c>
      <c r="P44">
        <v>49240</v>
      </c>
    </row>
    <row r="45" spans="1:16" x14ac:dyDescent="0.25">
      <c r="A45" t="s">
        <v>44</v>
      </c>
      <c r="B45" t="s">
        <v>46</v>
      </c>
      <c r="C45" s="9"/>
      <c r="D45" s="9"/>
      <c r="E45" s="9">
        <v>83000</v>
      </c>
      <c r="F45" s="9"/>
      <c r="G45" s="9">
        <f t="shared" si="0"/>
        <v>83000</v>
      </c>
      <c r="H45">
        <f t="shared" si="1"/>
        <v>13.78</v>
      </c>
      <c r="I45" s="10">
        <f t="shared" si="2"/>
        <v>3.6999999999999998E-2</v>
      </c>
      <c r="J45">
        <f>ROUND(G45/P45-1,2)</f>
        <v>-0.06</v>
      </c>
      <c r="P45">
        <v>88180</v>
      </c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SUM(C8:C45)</f>
        <v>1516060</v>
      </c>
      <c r="D49" s="12">
        <f t="shared" si="5"/>
        <v>369</v>
      </c>
      <c r="E49" s="12">
        <f t="shared" si="5"/>
        <v>680455</v>
      </c>
      <c r="F49" s="12">
        <f t="shared" si="5"/>
        <v>76495</v>
      </c>
      <c r="G49" s="12">
        <f t="shared" si="5"/>
        <v>2273379</v>
      </c>
      <c r="H49" s="11">
        <f t="shared" si="5"/>
        <v>377.43999999999994</v>
      </c>
      <c r="I49" s="4"/>
    </row>
    <row r="50" spans="1:10" x14ac:dyDescent="0.25">
      <c r="A50" s="11" t="s">
        <v>14</v>
      </c>
      <c r="C50" s="13">
        <f>ROUND(C49/G49,2)</f>
        <v>0.67</v>
      </c>
      <c r="D50" s="13">
        <f>ROUND(D49/G49,2)</f>
        <v>0</v>
      </c>
      <c r="E50" s="13">
        <f>ROUND(E49/G49,2)</f>
        <v>0.3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1160630</v>
      </c>
      <c r="D54" s="15">
        <v>369</v>
      </c>
      <c r="E54" s="15">
        <v>597455</v>
      </c>
      <c r="F54" s="15">
        <v>27900</v>
      </c>
      <c r="G54" s="15">
        <f>SUM(C54:F54)</f>
        <v>1786354</v>
      </c>
      <c r="H54" s="17">
        <f>ROUND(G54/6023,2)</f>
        <v>296.58999999999997</v>
      </c>
      <c r="I54" s="4"/>
      <c r="J54" s="4"/>
    </row>
    <row r="55" spans="1:10" x14ac:dyDescent="0.25">
      <c r="A55" s="33" t="s">
        <v>50</v>
      </c>
      <c r="B55" s="33"/>
      <c r="C55" s="15">
        <v>355430</v>
      </c>
      <c r="D55" s="15">
        <v>0</v>
      </c>
      <c r="E55" s="15">
        <v>83000</v>
      </c>
      <c r="F55" s="15">
        <v>48410</v>
      </c>
      <c r="G55" s="15">
        <f>SUM(C55:F55)</f>
        <v>486840</v>
      </c>
      <c r="H55" s="17">
        <f>ROUND(G55/6023,2)</f>
        <v>80.83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185</v>
      </c>
      <c r="G56" s="15">
        <f>SUM(C56:F56)</f>
        <v>185</v>
      </c>
      <c r="H56" s="17">
        <f>ROUND(G56/6023,2)</f>
        <v>0.03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ROUND(0.833, 4)</f>
        <v>0.83299999999999996</v>
      </c>
      <c r="D60" s="19">
        <f>ROUND(0.8323, 4)</f>
        <v>0.83230000000000004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ROUND(0.8183, 4)</f>
        <v>0.81830000000000003</v>
      </c>
      <c r="D61" s="19">
        <f>ROUND(0.8177, 4)</f>
        <v>0.81769999999999998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227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59.02</v>
      </c>
      <c r="D64" s="16">
        <v>75.63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62.14</v>
      </c>
      <c r="D65" s="16">
        <v>61.1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296.58999999999997</v>
      </c>
      <c r="D66" s="16">
        <v>327.61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80.83</v>
      </c>
      <c r="D67" s="16">
        <v>101.24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P70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7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228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1666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17</v>
      </c>
      <c r="F9" s="9"/>
      <c r="G9" s="9">
        <f t="shared" ref="G9:G38" si="0">SUM(C9:F9)</f>
        <v>17</v>
      </c>
      <c r="H9">
        <f t="shared" ref="H9:H38" si="1">ROUND(G9/1666,2)</f>
        <v>0.01</v>
      </c>
      <c r="I9" s="10">
        <f t="shared" ref="I9:I38" si="2">ROUND(G9/$G$49,3)</f>
        <v>0</v>
      </c>
      <c r="J9">
        <f t="shared" ref="J9:J16" si="3">ROUND(G9/P9-1,2)</f>
        <v>-0.63</v>
      </c>
      <c r="P9">
        <v>46</v>
      </c>
    </row>
    <row r="10" spans="1:16" x14ac:dyDescent="0.25">
      <c r="A10" t="s">
        <v>20</v>
      </c>
      <c r="B10" t="s">
        <v>21</v>
      </c>
      <c r="C10" s="9">
        <v>51510</v>
      </c>
      <c r="D10" s="9"/>
      <c r="E10" s="9"/>
      <c r="F10" s="9">
        <v>150</v>
      </c>
      <c r="G10" s="9">
        <f t="shared" si="0"/>
        <v>51660</v>
      </c>
      <c r="H10">
        <f t="shared" si="1"/>
        <v>31.01</v>
      </c>
      <c r="I10" s="10">
        <f t="shared" si="2"/>
        <v>0.105</v>
      </c>
      <c r="J10">
        <f t="shared" si="3"/>
        <v>0</v>
      </c>
      <c r="P10">
        <v>51460</v>
      </c>
    </row>
    <row r="11" spans="1:16" x14ac:dyDescent="0.25">
      <c r="A11" t="s">
        <v>20</v>
      </c>
      <c r="B11" t="s">
        <v>22</v>
      </c>
      <c r="C11" s="9">
        <v>79430</v>
      </c>
      <c r="D11" s="9"/>
      <c r="E11" s="9"/>
      <c r="F11" s="9">
        <v>200</v>
      </c>
      <c r="G11" s="9">
        <f t="shared" si="0"/>
        <v>79630</v>
      </c>
      <c r="H11">
        <f t="shared" si="1"/>
        <v>47.8</v>
      </c>
      <c r="I11" s="10">
        <f t="shared" si="2"/>
        <v>0.16200000000000001</v>
      </c>
      <c r="J11">
        <f t="shared" si="3"/>
        <v>0.04</v>
      </c>
      <c r="P11">
        <v>76580</v>
      </c>
    </row>
    <row r="12" spans="1:16" x14ac:dyDescent="0.25">
      <c r="A12" t="s">
        <v>20</v>
      </c>
      <c r="B12" t="s">
        <v>79</v>
      </c>
      <c r="C12" s="9"/>
      <c r="D12" s="9"/>
      <c r="E12" s="9">
        <v>43</v>
      </c>
      <c r="F12" s="9"/>
      <c r="G12" s="9">
        <f t="shared" si="0"/>
        <v>43</v>
      </c>
      <c r="H12">
        <f t="shared" si="1"/>
        <v>0.03</v>
      </c>
      <c r="I12" s="10">
        <f t="shared" si="2"/>
        <v>0</v>
      </c>
      <c r="J12">
        <f t="shared" si="3"/>
        <v>-0.37</v>
      </c>
      <c r="P12">
        <v>68</v>
      </c>
    </row>
    <row r="13" spans="1:16" x14ac:dyDescent="0.25">
      <c r="A13" t="s">
        <v>20</v>
      </c>
      <c r="B13" t="s">
        <v>42</v>
      </c>
      <c r="C13" s="9"/>
      <c r="D13" s="9"/>
      <c r="E13" s="9">
        <v>90</v>
      </c>
      <c r="F13" s="9"/>
      <c r="G13" s="9">
        <f t="shared" si="0"/>
        <v>90</v>
      </c>
      <c r="H13">
        <f t="shared" si="1"/>
        <v>0.05</v>
      </c>
      <c r="I13" s="10">
        <f t="shared" si="2"/>
        <v>0</v>
      </c>
      <c r="J13">
        <f t="shared" si="3"/>
        <v>-0.39</v>
      </c>
      <c r="P13">
        <v>147</v>
      </c>
    </row>
    <row r="14" spans="1:16" x14ac:dyDescent="0.25">
      <c r="A14" t="s">
        <v>20</v>
      </c>
      <c r="B14" t="s">
        <v>23</v>
      </c>
      <c r="C14" s="9"/>
      <c r="D14" s="9"/>
      <c r="E14" s="9">
        <v>700</v>
      </c>
      <c r="F14" s="9"/>
      <c r="G14" s="9">
        <f t="shared" si="0"/>
        <v>700</v>
      </c>
      <c r="H14">
        <f t="shared" si="1"/>
        <v>0.42</v>
      </c>
      <c r="I14" s="10">
        <f t="shared" si="2"/>
        <v>1E-3</v>
      </c>
      <c r="J14">
        <f t="shared" si="3"/>
        <v>-0.23</v>
      </c>
      <c r="P14">
        <v>910</v>
      </c>
    </row>
    <row r="15" spans="1:16" x14ac:dyDescent="0.25">
      <c r="A15" t="s">
        <v>20</v>
      </c>
      <c r="B15" t="s">
        <v>24</v>
      </c>
      <c r="C15" s="9"/>
      <c r="D15" s="9"/>
      <c r="E15" s="9">
        <v>19040</v>
      </c>
      <c r="F15" s="9"/>
      <c r="G15" s="9">
        <f t="shared" si="0"/>
        <v>19040</v>
      </c>
      <c r="H15">
        <f t="shared" si="1"/>
        <v>11.43</v>
      </c>
      <c r="I15" s="10">
        <f t="shared" si="2"/>
        <v>3.9E-2</v>
      </c>
      <c r="J15">
        <f t="shared" si="3"/>
        <v>1.2</v>
      </c>
      <c r="P15">
        <v>8640</v>
      </c>
    </row>
    <row r="16" spans="1:16" x14ac:dyDescent="0.25">
      <c r="A16" t="s">
        <v>20</v>
      </c>
      <c r="B16" t="s">
        <v>25</v>
      </c>
      <c r="C16" s="9">
        <v>67710</v>
      </c>
      <c r="D16" s="9"/>
      <c r="E16" s="9"/>
      <c r="F16" s="9">
        <v>200</v>
      </c>
      <c r="G16" s="9">
        <f t="shared" si="0"/>
        <v>67910</v>
      </c>
      <c r="H16">
        <f t="shared" si="1"/>
        <v>40.76</v>
      </c>
      <c r="I16" s="10">
        <f t="shared" si="2"/>
        <v>0.13800000000000001</v>
      </c>
      <c r="J16">
        <f t="shared" si="3"/>
        <v>0.03</v>
      </c>
      <c r="P16">
        <v>66080</v>
      </c>
    </row>
    <row r="17" spans="1:16" x14ac:dyDescent="0.25">
      <c r="A17" t="s">
        <v>20</v>
      </c>
      <c r="B17" t="s">
        <v>69</v>
      </c>
      <c r="C17" s="9"/>
      <c r="D17" s="9"/>
      <c r="E17" s="9">
        <v>2930</v>
      </c>
      <c r="F17" s="9"/>
      <c r="G17" s="9">
        <f t="shared" si="0"/>
        <v>2930</v>
      </c>
      <c r="H17">
        <f t="shared" si="1"/>
        <v>1.76</v>
      </c>
      <c r="I17" s="10">
        <f t="shared" si="2"/>
        <v>6.0000000000000001E-3</v>
      </c>
      <c r="P17">
        <v>0</v>
      </c>
    </row>
    <row r="18" spans="1:16" x14ac:dyDescent="0.25">
      <c r="A18" t="s">
        <v>20</v>
      </c>
      <c r="B18" t="s">
        <v>26</v>
      </c>
      <c r="C18" s="9">
        <v>102530</v>
      </c>
      <c r="D18" s="9"/>
      <c r="E18" s="9"/>
      <c r="F18" s="9">
        <v>340</v>
      </c>
      <c r="G18" s="9">
        <f t="shared" si="0"/>
        <v>102870</v>
      </c>
      <c r="H18">
        <f t="shared" si="1"/>
        <v>61.75</v>
      </c>
      <c r="I18" s="10">
        <f t="shared" si="2"/>
        <v>0.20899999999999999</v>
      </c>
      <c r="J18">
        <f>ROUND(G18/P18-1,2)</f>
        <v>-0.09</v>
      </c>
      <c r="P18">
        <v>113240</v>
      </c>
    </row>
    <row r="19" spans="1:16" x14ac:dyDescent="0.25">
      <c r="A19" t="s">
        <v>20</v>
      </c>
      <c r="B19" t="s">
        <v>27</v>
      </c>
      <c r="C19" s="9"/>
      <c r="D19" s="9"/>
      <c r="E19" s="9">
        <v>201</v>
      </c>
      <c r="F19" s="9"/>
      <c r="G19" s="9">
        <f t="shared" si="0"/>
        <v>201</v>
      </c>
      <c r="H19">
        <f t="shared" si="1"/>
        <v>0.12</v>
      </c>
      <c r="I19" s="10">
        <f t="shared" si="2"/>
        <v>0</v>
      </c>
      <c r="J19">
        <f>ROUND(G19/P19-1,2)</f>
        <v>-0.13</v>
      </c>
      <c r="P19">
        <v>231</v>
      </c>
    </row>
    <row r="20" spans="1:16" x14ac:dyDescent="0.25">
      <c r="A20" t="s">
        <v>20</v>
      </c>
      <c r="B20" t="s">
        <v>28</v>
      </c>
      <c r="C20" s="9"/>
      <c r="D20" s="9"/>
      <c r="E20" s="9">
        <v>138</v>
      </c>
      <c r="F20" s="9"/>
      <c r="G20" s="9">
        <f t="shared" si="0"/>
        <v>138</v>
      </c>
      <c r="H20">
        <f t="shared" si="1"/>
        <v>0.08</v>
      </c>
      <c r="I20" s="10">
        <f t="shared" si="2"/>
        <v>0</v>
      </c>
      <c r="J20">
        <f>ROUND(G20/P20-1,2)</f>
        <v>0.39</v>
      </c>
      <c r="P20">
        <v>99</v>
      </c>
    </row>
    <row r="21" spans="1:16" x14ac:dyDescent="0.25">
      <c r="A21" t="s">
        <v>20</v>
      </c>
      <c r="B21" t="s">
        <v>29</v>
      </c>
      <c r="C21" s="9"/>
      <c r="D21" s="9"/>
      <c r="E21" s="9">
        <v>131</v>
      </c>
      <c r="F21" s="9"/>
      <c r="G21" s="9">
        <f t="shared" si="0"/>
        <v>131</v>
      </c>
      <c r="H21">
        <f t="shared" si="1"/>
        <v>0.08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30</v>
      </c>
      <c r="C22" s="9"/>
      <c r="D22" s="9"/>
      <c r="E22" s="9">
        <v>2200</v>
      </c>
      <c r="F22" s="9"/>
      <c r="G22" s="9">
        <f t="shared" si="0"/>
        <v>2200</v>
      </c>
      <c r="H22">
        <f t="shared" si="1"/>
        <v>1.32</v>
      </c>
      <c r="I22" s="10">
        <f t="shared" si="2"/>
        <v>4.0000000000000001E-3</v>
      </c>
      <c r="J22">
        <f>ROUND(G22/P22-1,2)</f>
        <v>0.05</v>
      </c>
      <c r="P22">
        <v>2090</v>
      </c>
    </row>
    <row r="23" spans="1:16" x14ac:dyDescent="0.25">
      <c r="A23" t="s">
        <v>20</v>
      </c>
      <c r="B23" t="s">
        <v>31</v>
      </c>
      <c r="C23" s="9"/>
      <c r="D23" s="9"/>
      <c r="E23" s="9">
        <v>450</v>
      </c>
      <c r="F23" s="9"/>
      <c r="G23" s="9">
        <f t="shared" si="0"/>
        <v>450</v>
      </c>
      <c r="H23">
        <f t="shared" si="1"/>
        <v>0.27</v>
      </c>
      <c r="I23" s="10">
        <f t="shared" si="2"/>
        <v>1E-3</v>
      </c>
      <c r="J23">
        <f>ROUND(G23/P23-1,2)</f>
        <v>-0.15</v>
      </c>
      <c r="P23">
        <v>530</v>
      </c>
    </row>
    <row r="24" spans="1:16" x14ac:dyDescent="0.25">
      <c r="A24" t="s">
        <v>20</v>
      </c>
      <c r="B24" t="s">
        <v>32</v>
      </c>
      <c r="C24" s="9"/>
      <c r="D24" s="9"/>
      <c r="E24" s="9">
        <v>120</v>
      </c>
      <c r="F24" s="9"/>
      <c r="G24" s="9">
        <f t="shared" si="0"/>
        <v>120</v>
      </c>
      <c r="H24">
        <f t="shared" si="1"/>
        <v>7.0000000000000007E-2</v>
      </c>
      <c r="I24" s="10">
        <f t="shared" si="2"/>
        <v>0</v>
      </c>
      <c r="J24">
        <f>ROUND(G24/P24-1,2)</f>
        <v>-0.43</v>
      </c>
      <c r="P24">
        <v>210</v>
      </c>
    </row>
    <row r="25" spans="1:16" x14ac:dyDescent="0.25">
      <c r="A25" t="s">
        <v>20</v>
      </c>
      <c r="B25" t="s">
        <v>33</v>
      </c>
      <c r="C25" s="9"/>
      <c r="D25" s="9"/>
      <c r="E25" s="9">
        <v>670</v>
      </c>
      <c r="F25" s="9"/>
      <c r="G25" s="9">
        <f t="shared" si="0"/>
        <v>670</v>
      </c>
      <c r="H25">
        <f t="shared" si="1"/>
        <v>0.4</v>
      </c>
      <c r="I25" s="10">
        <f t="shared" si="2"/>
        <v>1E-3</v>
      </c>
      <c r="J25">
        <f>ROUND(G25/P25-1,2)</f>
        <v>0.15</v>
      </c>
      <c r="P25">
        <v>585</v>
      </c>
    </row>
    <row r="26" spans="1:16" x14ac:dyDescent="0.25">
      <c r="A26" t="s">
        <v>20</v>
      </c>
      <c r="B26" t="s">
        <v>43</v>
      </c>
      <c r="C26" s="9"/>
      <c r="D26" s="9">
        <v>275</v>
      </c>
      <c r="E26" s="9"/>
      <c r="F26" s="9"/>
      <c r="G26" s="9">
        <f t="shared" si="0"/>
        <v>275</v>
      </c>
      <c r="H26">
        <f t="shared" si="1"/>
        <v>0.17</v>
      </c>
      <c r="I26" s="10">
        <f t="shared" si="2"/>
        <v>1E-3</v>
      </c>
      <c r="J26">
        <f>ROUND(G26/P26-1,2)</f>
        <v>-0.18</v>
      </c>
      <c r="P26">
        <v>337</v>
      </c>
    </row>
    <row r="27" spans="1:16" x14ac:dyDescent="0.25">
      <c r="A27" t="s">
        <v>20</v>
      </c>
      <c r="B27" t="s">
        <v>70</v>
      </c>
      <c r="C27" s="9"/>
      <c r="D27" s="9"/>
      <c r="E27" s="9">
        <v>550</v>
      </c>
      <c r="F27" s="9"/>
      <c r="G27" s="9">
        <f t="shared" si="0"/>
        <v>550</v>
      </c>
      <c r="H27">
        <f t="shared" si="1"/>
        <v>0.33</v>
      </c>
      <c r="I27" s="10">
        <f t="shared" si="2"/>
        <v>1E-3</v>
      </c>
      <c r="P27">
        <v>0</v>
      </c>
    </row>
    <row r="28" spans="1:16" x14ac:dyDescent="0.25">
      <c r="A28" t="s">
        <v>20</v>
      </c>
      <c r="B28" t="s">
        <v>34</v>
      </c>
      <c r="C28" s="9"/>
      <c r="D28" s="9">
        <v>235</v>
      </c>
      <c r="E28" s="9"/>
      <c r="F28" s="9"/>
      <c r="G28" s="9">
        <f t="shared" si="0"/>
        <v>235</v>
      </c>
      <c r="H28">
        <f t="shared" si="1"/>
        <v>0.14000000000000001</v>
      </c>
      <c r="I28" s="10">
        <f t="shared" si="2"/>
        <v>0</v>
      </c>
      <c r="J28">
        <f t="shared" ref="J28:J36" si="4">ROUND(G28/P28-1,2)</f>
        <v>0.12</v>
      </c>
      <c r="P28">
        <v>210</v>
      </c>
    </row>
    <row r="29" spans="1:16" x14ac:dyDescent="0.25">
      <c r="A29" t="s">
        <v>20</v>
      </c>
      <c r="B29" t="s">
        <v>35</v>
      </c>
      <c r="C29" s="9"/>
      <c r="D29" s="9"/>
      <c r="E29" s="9">
        <v>970</v>
      </c>
      <c r="F29" s="9"/>
      <c r="G29" s="9">
        <f t="shared" si="0"/>
        <v>970</v>
      </c>
      <c r="H29">
        <f t="shared" si="1"/>
        <v>0.57999999999999996</v>
      </c>
      <c r="I29" s="10">
        <f t="shared" si="2"/>
        <v>2E-3</v>
      </c>
      <c r="J29">
        <f t="shared" si="4"/>
        <v>-0.08</v>
      </c>
      <c r="P29">
        <v>1060</v>
      </c>
    </row>
    <row r="30" spans="1:16" x14ac:dyDescent="0.25">
      <c r="A30" t="s">
        <v>20</v>
      </c>
      <c r="B30" t="s">
        <v>41</v>
      </c>
      <c r="C30" s="9"/>
      <c r="D30" s="9"/>
      <c r="E30" s="9">
        <v>2620</v>
      </c>
      <c r="F30" s="9"/>
      <c r="G30" s="9">
        <f t="shared" si="0"/>
        <v>2620</v>
      </c>
      <c r="H30">
        <f t="shared" si="1"/>
        <v>1.57</v>
      </c>
      <c r="I30" s="10">
        <f t="shared" si="2"/>
        <v>5.0000000000000001E-3</v>
      </c>
      <c r="J30">
        <f t="shared" si="4"/>
        <v>-0.24</v>
      </c>
      <c r="P30">
        <v>3441</v>
      </c>
    </row>
    <row r="31" spans="1:16" x14ac:dyDescent="0.25">
      <c r="A31" t="s">
        <v>20</v>
      </c>
      <c r="B31" t="s">
        <v>36</v>
      </c>
      <c r="C31" s="9"/>
      <c r="D31" s="9"/>
      <c r="E31" s="9">
        <v>700</v>
      </c>
      <c r="F31" s="9"/>
      <c r="G31" s="9">
        <f t="shared" si="0"/>
        <v>700</v>
      </c>
      <c r="H31">
        <f t="shared" si="1"/>
        <v>0.42</v>
      </c>
      <c r="I31" s="10">
        <f t="shared" si="2"/>
        <v>1E-3</v>
      </c>
      <c r="J31">
        <f t="shared" si="4"/>
        <v>-0.7</v>
      </c>
      <c r="P31">
        <v>2340</v>
      </c>
    </row>
    <row r="32" spans="1:16" x14ac:dyDescent="0.25">
      <c r="A32" t="s">
        <v>20</v>
      </c>
      <c r="B32" t="s">
        <v>37</v>
      </c>
      <c r="C32" s="9"/>
      <c r="D32" s="9"/>
      <c r="E32" s="9">
        <v>26020</v>
      </c>
      <c r="F32" s="9"/>
      <c r="G32" s="9">
        <f t="shared" si="0"/>
        <v>26020</v>
      </c>
      <c r="H32">
        <f t="shared" si="1"/>
        <v>15.62</v>
      </c>
      <c r="I32" s="10">
        <f t="shared" si="2"/>
        <v>5.2999999999999999E-2</v>
      </c>
      <c r="J32">
        <f t="shared" si="4"/>
        <v>0.02</v>
      </c>
      <c r="P32">
        <v>25440</v>
      </c>
    </row>
    <row r="33" spans="1:16" x14ac:dyDescent="0.25">
      <c r="A33" t="s">
        <v>20</v>
      </c>
      <c r="B33" t="s">
        <v>39</v>
      </c>
      <c r="C33" s="9"/>
      <c r="D33" s="9"/>
      <c r="E33" s="9">
        <v>6880</v>
      </c>
      <c r="F33" s="9"/>
      <c r="G33" s="9">
        <f t="shared" si="0"/>
        <v>6880</v>
      </c>
      <c r="H33">
        <f t="shared" si="1"/>
        <v>4.13</v>
      </c>
      <c r="I33" s="10">
        <f t="shared" si="2"/>
        <v>1.4E-2</v>
      </c>
      <c r="J33">
        <f t="shared" si="4"/>
        <v>0.12</v>
      </c>
      <c r="P33">
        <v>6150</v>
      </c>
    </row>
    <row r="34" spans="1:16" x14ac:dyDescent="0.25">
      <c r="A34" t="s">
        <v>20</v>
      </c>
      <c r="B34" t="s">
        <v>40</v>
      </c>
      <c r="C34" s="9"/>
      <c r="D34" s="9"/>
      <c r="E34" s="9">
        <v>10620</v>
      </c>
      <c r="F34" s="9"/>
      <c r="G34" s="9">
        <f t="shared" si="0"/>
        <v>10620</v>
      </c>
      <c r="H34">
        <f t="shared" si="1"/>
        <v>6.37</v>
      </c>
      <c r="I34" s="10">
        <f t="shared" si="2"/>
        <v>2.1999999999999999E-2</v>
      </c>
      <c r="J34">
        <f t="shared" si="4"/>
        <v>0.1</v>
      </c>
      <c r="P34">
        <v>9640</v>
      </c>
    </row>
    <row r="35" spans="1:16" x14ac:dyDescent="0.25">
      <c r="A35" t="s">
        <v>44</v>
      </c>
      <c r="B35" t="s">
        <v>45</v>
      </c>
      <c r="C35" s="9">
        <v>79010</v>
      </c>
      <c r="D35" s="9"/>
      <c r="E35" s="9"/>
      <c r="F35" s="9"/>
      <c r="G35" s="9">
        <f t="shared" si="0"/>
        <v>79010</v>
      </c>
      <c r="H35">
        <f t="shared" si="1"/>
        <v>47.42</v>
      </c>
      <c r="I35" s="10">
        <f t="shared" si="2"/>
        <v>0.161</v>
      </c>
      <c r="J35">
        <f t="shared" si="4"/>
        <v>7.0000000000000007E-2</v>
      </c>
      <c r="P35">
        <v>73680</v>
      </c>
    </row>
    <row r="36" spans="1:16" x14ac:dyDescent="0.25">
      <c r="A36" t="s">
        <v>44</v>
      </c>
      <c r="B36" t="s">
        <v>46</v>
      </c>
      <c r="C36" s="9"/>
      <c r="D36" s="9"/>
      <c r="E36" s="9">
        <v>34860</v>
      </c>
      <c r="F36" s="9"/>
      <c r="G36" s="9">
        <f t="shared" si="0"/>
        <v>34860</v>
      </c>
      <c r="H36">
        <f t="shared" si="1"/>
        <v>20.92</v>
      </c>
      <c r="I36" s="10">
        <f t="shared" si="2"/>
        <v>7.0999999999999994E-2</v>
      </c>
      <c r="J36">
        <f t="shared" si="4"/>
        <v>0.13</v>
      </c>
      <c r="P36">
        <v>30900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16</v>
      </c>
      <c r="B38" t="s">
        <v>19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SUM(C8:C38)</f>
        <v>380190</v>
      </c>
      <c r="D49" s="12">
        <f t="shared" si="5"/>
        <v>510</v>
      </c>
      <c r="E49" s="12">
        <f t="shared" si="5"/>
        <v>109950</v>
      </c>
      <c r="F49" s="12">
        <f t="shared" si="5"/>
        <v>890</v>
      </c>
      <c r="G49" s="12">
        <f t="shared" si="5"/>
        <v>491540</v>
      </c>
      <c r="H49" s="11">
        <f t="shared" si="5"/>
        <v>295.03000000000003</v>
      </c>
      <c r="I49" s="4"/>
    </row>
    <row r="50" spans="1:10" x14ac:dyDescent="0.25">
      <c r="A50" s="11" t="s">
        <v>14</v>
      </c>
      <c r="C50" s="13">
        <f>ROUND(C49/G49,2)</f>
        <v>0.77</v>
      </c>
      <c r="D50" s="13">
        <f>ROUND(D49/G49,2)</f>
        <v>0</v>
      </c>
      <c r="E50" s="13">
        <f>ROUND(E49/G49,2)</f>
        <v>0.22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301180</v>
      </c>
      <c r="D54" s="15">
        <v>510</v>
      </c>
      <c r="E54" s="15">
        <v>75090</v>
      </c>
      <c r="F54" s="15">
        <v>890</v>
      </c>
      <c r="G54" s="15">
        <f>SUM(C54:F54)</f>
        <v>377670</v>
      </c>
      <c r="H54" s="17">
        <f>ROUND(G54/1666,2)</f>
        <v>226.69</v>
      </c>
      <c r="I54" s="4"/>
      <c r="J54" s="4"/>
    </row>
    <row r="55" spans="1:10" x14ac:dyDescent="0.25">
      <c r="A55" s="33" t="s">
        <v>50</v>
      </c>
      <c r="B55" s="33"/>
      <c r="C55" s="15">
        <v>79010</v>
      </c>
      <c r="D55" s="15">
        <v>0</v>
      </c>
      <c r="E55" s="15">
        <v>34860</v>
      </c>
      <c r="F55" s="15">
        <v>0</v>
      </c>
      <c r="G55" s="15">
        <f>SUM(C55:F55)</f>
        <v>113870</v>
      </c>
      <c r="H55" s="17">
        <f>ROUND(G55/1666,2)</f>
        <v>68.349999999999994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ROUND(G56/1666,2)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ROUND(0.8246, 4)</f>
        <v>0.8246</v>
      </c>
      <c r="D60" s="19">
        <f>ROUND(0.8342, 4)</f>
        <v>0.83420000000000005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ROUND(0.8105, 4)</f>
        <v>0.8105</v>
      </c>
      <c r="D61" s="19">
        <f>ROUND(0.82, 4)</f>
        <v>0.82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229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47.42</v>
      </c>
      <c r="D64" s="17">
        <v>40.26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61.75</v>
      </c>
      <c r="D65" s="17">
        <v>61.6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226.69</v>
      </c>
      <c r="D66" s="17">
        <v>233.32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68.349999999999994</v>
      </c>
      <c r="D67" s="17">
        <v>59.39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P67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230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1314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33</v>
      </c>
      <c r="G9" s="9">
        <f t="shared" ref="G9:G41" si="0">SUM(C9:F9)</f>
        <v>33</v>
      </c>
      <c r="H9">
        <f t="shared" ref="H9:H41" si="1">ROUND(G9/1314,2)</f>
        <v>0.03</v>
      </c>
      <c r="I9" s="10">
        <f t="shared" ref="I9:I41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196</v>
      </c>
      <c r="G10" s="9">
        <f t="shared" si="0"/>
        <v>196</v>
      </c>
      <c r="H10">
        <f t="shared" si="1"/>
        <v>0.15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68</v>
      </c>
      <c r="C12" s="9"/>
      <c r="D12" s="9">
        <v>3160</v>
      </c>
      <c r="E12" s="9"/>
      <c r="F12" s="9"/>
      <c r="G12" s="9">
        <f t="shared" si="0"/>
        <v>3160</v>
      </c>
      <c r="H12">
        <f t="shared" si="1"/>
        <v>2.4</v>
      </c>
      <c r="I12" s="10">
        <f t="shared" si="2"/>
        <v>3.0000000000000001E-3</v>
      </c>
      <c r="P12">
        <v>0</v>
      </c>
    </row>
    <row r="13" spans="1:16" x14ac:dyDescent="0.25">
      <c r="A13" t="s">
        <v>20</v>
      </c>
      <c r="B13" t="s">
        <v>21</v>
      </c>
      <c r="C13" s="9">
        <v>11980</v>
      </c>
      <c r="D13" s="9">
        <v>89890</v>
      </c>
      <c r="E13" s="9"/>
      <c r="F13" s="9"/>
      <c r="G13" s="9">
        <f t="shared" si="0"/>
        <v>101870</v>
      </c>
      <c r="H13">
        <f t="shared" si="1"/>
        <v>77.53</v>
      </c>
      <c r="I13" s="10">
        <f t="shared" si="2"/>
        <v>9.9000000000000005E-2</v>
      </c>
      <c r="J13">
        <f>ROUND(G13/P13-1,2)</f>
        <v>-0.01</v>
      </c>
      <c r="P13">
        <v>102405</v>
      </c>
    </row>
    <row r="14" spans="1:16" x14ac:dyDescent="0.25">
      <c r="A14" t="s">
        <v>20</v>
      </c>
      <c r="B14" t="s">
        <v>22</v>
      </c>
      <c r="C14" s="9"/>
      <c r="D14" s="9">
        <v>134880</v>
      </c>
      <c r="E14" s="9"/>
      <c r="F14" s="9"/>
      <c r="G14" s="9">
        <f t="shared" si="0"/>
        <v>134880</v>
      </c>
      <c r="H14">
        <f t="shared" si="1"/>
        <v>102.65</v>
      </c>
      <c r="I14" s="10">
        <f t="shared" si="2"/>
        <v>0.13100000000000001</v>
      </c>
      <c r="J14">
        <f>ROUND(G14/P14-1,2)</f>
        <v>0.01</v>
      </c>
      <c r="P14">
        <v>134050</v>
      </c>
    </row>
    <row r="15" spans="1:16" x14ac:dyDescent="0.25">
      <c r="A15" t="s">
        <v>20</v>
      </c>
      <c r="B15" t="s">
        <v>42</v>
      </c>
      <c r="C15" s="9"/>
      <c r="D15" s="9"/>
      <c r="E15" s="9">
        <v>110</v>
      </c>
      <c r="F15" s="9"/>
      <c r="G15" s="9">
        <f t="shared" si="0"/>
        <v>110</v>
      </c>
      <c r="H15">
        <f t="shared" si="1"/>
        <v>0.08</v>
      </c>
      <c r="I15" s="10">
        <f t="shared" si="2"/>
        <v>0</v>
      </c>
      <c r="P15">
        <v>0</v>
      </c>
    </row>
    <row r="16" spans="1:16" x14ac:dyDescent="0.25">
      <c r="A16" t="s">
        <v>20</v>
      </c>
      <c r="B16" t="s">
        <v>23</v>
      </c>
      <c r="C16" s="9"/>
      <c r="D16" s="9"/>
      <c r="E16" s="9">
        <v>2700</v>
      </c>
      <c r="F16" s="9"/>
      <c r="G16" s="9">
        <f t="shared" si="0"/>
        <v>2700</v>
      </c>
      <c r="H16">
        <f t="shared" si="1"/>
        <v>2.0499999999999998</v>
      </c>
      <c r="I16" s="10">
        <f t="shared" si="2"/>
        <v>3.0000000000000001E-3</v>
      </c>
      <c r="J16">
        <f>ROUND(G16/P16-1,2)</f>
        <v>0.32</v>
      </c>
      <c r="P16">
        <v>2050</v>
      </c>
    </row>
    <row r="17" spans="1:16" x14ac:dyDescent="0.25">
      <c r="A17" t="s">
        <v>20</v>
      </c>
      <c r="B17" t="s">
        <v>185</v>
      </c>
      <c r="C17" s="9"/>
      <c r="D17" s="9"/>
      <c r="E17" s="9"/>
      <c r="F17" s="9">
        <v>77</v>
      </c>
      <c r="G17" s="9">
        <f t="shared" si="0"/>
        <v>77</v>
      </c>
      <c r="H17">
        <f t="shared" si="1"/>
        <v>0.06</v>
      </c>
      <c r="I17" s="10">
        <f t="shared" si="2"/>
        <v>0</v>
      </c>
      <c r="P17">
        <v>0</v>
      </c>
    </row>
    <row r="18" spans="1:16" x14ac:dyDescent="0.25">
      <c r="A18" t="s">
        <v>20</v>
      </c>
      <c r="B18" t="s">
        <v>94</v>
      </c>
      <c r="C18" s="9"/>
      <c r="D18" s="9"/>
      <c r="E18" s="9"/>
      <c r="F18" s="9">
        <v>60140</v>
      </c>
      <c r="G18" s="9">
        <f t="shared" si="0"/>
        <v>60140</v>
      </c>
      <c r="H18">
        <f t="shared" si="1"/>
        <v>45.77</v>
      </c>
      <c r="I18" s="10">
        <f t="shared" si="2"/>
        <v>5.8000000000000003E-2</v>
      </c>
      <c r="P18">
        <v>0</v>
      </c>
    </row>
    <row r="19" spans="1:16" x14ac:dyDescent="0.25">
      <c r="A19" t="s">
        <v>20</v>
      </c>
      <c r="B19" t="s">
        <v>80</v>
      </c>
      <c r="C19" s="9"/>
      <c r="D19" s="9"/>
      <c r="E19" s="9"/>
      <c r="F19" s="9">
        <v>127</v>
      </c>
      <c r="G19" s="9">
        <f t="shared" si="0"/>
        <v>127</v>
      </c>
      <c r="H19">
        <f t="shared" si="1"/>
        <v>0.1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8770</v>
      </c>
      <c r="F20" s="9"/>
      <c r="G20" s="9">
        <f t="shared" si="0"/>
        <v>8770</v>
      </c>
      <c r="H20">
        <f t="shared" si="1"/>
        <v>6.67</v>
      </c>
      <c r="I20" s="10">
        <f t="shared" si="2"/>
        <v>8.9999999999999993E-3</v>
      </c>
      <c r="J20">
        <f>ROUND(G20/P20-1,2)</f>
        <v>-0.86</v>
      </c>
      <c r="P20">
        <v>61840</v>
      </c>
    </row>
    <row r="21" spans="1:16" x14ac:dyDescent="0.25">
      <c r="A21" t="s">
        <v>20</v>
      </c>
      <c r="B21" t="s">
        <v>25</v>
      </c>
      <c r="C21" s="9"/>
      <c r="D21" s="9">
        <v>103690</v>
      </c>
      <c r="E21" s="9">
        <v>40310</v>
      </c>
      <c r="F21" s="9"/>
      <c r="G21" s="9">
        <f t="shared" si="0"/>
        <v>144000</v>
      </c>
      <c r="H21">
        <f t="shared" si="1"/>
        <v>109.59</v>
      </c>
      <c r="I21" s="10">
        <f t="shared" si="2"/>
        <v>0.14000000000000001</v>
      </c>
      <c r="J21">
        <f>ROUND(G21/P21-1,2)</f>
        <v>-0.02</v>
      </c>
      <c r="P21">
        <v>147465</v>
      </c>
    </row>
    <row r="22" spans="1:16" x14ac:dyDescent="0.25">
      <c r="A22" t="s">
        <v>20</v>
      </c>
      <c r="B22" t="s">
        <v>26</v>
      </c>
      <c r="C22" s="9"/>
      <c r="D22" s="9">
        <v>127480</v>
      </c>
      <c r="E22" s="9"/>
      <c r="F22" s="9"/>
      <c r="G22" s="9">
        <f t="shared" si="0"/>
        <v>127480</v>
      </c>
      <c r="H22">
        <f t="shared" si="1"/>
        <v>97.02</v>
      </c>
      <c r="I22" s="10">
        <f t="shared" si="2"/>
        <v>0.124</v>
      </c>
      <c r="J22">
        <f>ROUND(G22/P22-1,2)</f>
        <v>0</v>
      </c>
      <c r="P22">
        <v>127280</v>
      </c>
    </row>
    <row r="23" spans="1:16" x14ac:dyDescent="0.25">
      <c r="A23" t="s">
        <v>20</v>
      </c>
      <c r="B23" t="s">
        <v>30</v>
      </c>
      <c r="C23" s="9"/>
      <c r="D23" s="9"/>
      <c r="E23" s="9">
        <v>1580</v>
      </c>
      <c r="F23" s="9"/>
      <c r="G23" s="9">
        <f t="shared" si="0"/>
        <v>1580</v>
      </c>
      <c r="H23">
        <f t="shared" si="1"/>
        <v>1.2</v>
      </c>
      <c r="I23" s="10">
        <f t="shared" si="2"/>
        <v>2E-3</v>
      </c>
      <c r="J23">
        <f>ROUND(G23/P23-1,2)</f>
        <v>-0.73</v>
      </c>
      <c r="P23">
        <v>5900</v>
      </c>
    </row>
    <row r="24" spans="1:16" x14ac:dyDescent="0.25">
      <c r="A24" t="s">
        <v>20</v>
      </c>
      <c r="B24" t="s">
        <v>31</v>
      </c>
      <c r="C24" s="9"/>
      <c r="D24" s="9"/>
      <c r="E24" s="9">
        <v>300</v>
      </c>
      <c r="F24" s="9"/>
      <c r="G24" s="9">
        <f t="shared" si="0"/>
        <v>300</v>
      </c>
      <c r="H24">
        <f t="shared" si="1"/>
        <v>0.23</v>
      </c>
      <c r="I24" s="10">
        <f t="shared" si="2"/>
        <v>0</v>
      </c>
      <c r="J24">
        <f>ROUND(G24/P24-1,2)</f>
        <v>-0.79</v>
      </c>
      <c r="P24">
        <v>1400</v>
      </c>
    </row>
    <row r="25" spans="1:16" x14ac:dyDescent="0.25">
      <c r="A25" t="s">
        <v>20</v>
      </c>
      <c r="B25" t="s">
        <v>33</v>
      </c>
      <c r="C25" s="9"/>
      <c r="D25" s="9"/>
      <c r="E25" s="9">
        <v>1040</v>
      </c>
      <c r="F25" s="9"/>
      <c r="G25" s="9">
        <f t="shared" si="0"/>
        <v>1040</v>
      </c>
      <c r="H25">
        <f t="shared" si="1"/>
        <v>0.79</v>
      </c>
      <c r="I25" s="10">
        <f t="shared" si="2"/>
        <v>1E-3</v>
      </c>
      <c r="P25">
        <v>0</v>
      </c>
    </row>
    <row r="26" spans="1:16" x14ac:dyDescent="0.25">
      <c r="A26" t="s">
        <v>20</v>
      </c>
      <c r="B26" t="s">
        <v>43</v>
      </c>
      <c r="C26" s="9"/>
      <c r="D26" s="9">
        <v>255</v>
      </c>
      <c r="E26" s="9">
        <v>145</v>
      </c>
      <c r="F26" s="9"/>
      <c r="G26" s="9">
        <f t="shared" si="0"/>
        <v>400</v>
      </c>
      <c r="H26">
        <f t="shared" si="1"/>
        <v>0.3</v>
      </c>
      <c r="I26" s="10">
        <f t="shared" si="2"/>
        <v>0</v>
      </c>
      <c r="J26">
        <f>ROUND(G26/P26-1,2)</f>
        <v>4.41</v>
      </c>
      <c r="P26">
        <v>74</v>
      </c>
    </row>
    <row r="27" spans="1:16" x14ac:dyDescent="0.25">
      <c r="A27" t="s">
        <v>20</v>
      </c>
      <c r="B27" t="s">
        <v>70</v>
      </c>
      <c r="C27" s="9"/>
      <c r="D27" s="9"/>
      <c r="E27" s="9"/>
      <c r="F27" s="9">
        <v>550</v>
      </c>
      <c r="G27" s="9">
        <f t="shared" si="0"/>
        <v>550</v>
      </c>
      <c r="H27">
        <f t="shared" si="1"/>
        <v>0.42</v>
      </c>
      <c r="I27" s="10">
        <f t="shared" si="2"/>
        <v>1E-3</v>
      </c>
      <c r="P27">
        <v>0</v>
      </c>
    </row>
    <row r="28" spans="1:16" x14ac:dyDescent="0.25">
      <c r="A28" t="s">
        <v>20</v>
      </c>
      <c r="B28" t="s">
        <v>34</v>
      </c>
      <c r="C28" s="9"/>
      <c r="D28" s="9"/>
      <c r="E28" s="9">
        <v>491</v>
      </c>
      <c r="F28" s="9"/>
      <c r="G28" s="9">
        <f t="shared" si="0"/>
        <v>491</v>
      </c>
      <c r="H28">
        <f t="shared" si="1"/>
        <v>0.37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35</v>
      </c>
      <c r="C29" s="9"/>
      <c r="D29" s="9"/>
      <c r="E29" s="9">
        <v>1450</v>
      </c>
      <c r="F29" s="9"/>
      <c r="G29" s="9">
        <f t="shared" si="0"/>
        <v>1450</v>
      </c>
      <c r="H29">
        <f t="shared" si="1"/>
        <v>1.1000000000000001</v>
      </c>
      <c r="I29" s="10">
        <f t="shared" si="2"/>
        <v>1E-3</v>
      </c>
      <c r="J29">
        <f t="shared" ref="J29:J36" si="3">ROUND(G29/P29-1,2)</f>
        <v>-0.59</v>
      </c>
      <c r="P29">
        <v>3553</v>
      </c>
    </row>
    <row r="30" spans="1:16" x14ac:dyDescent="0.25">
      <c r="A30" t="s">
        <v>20</v>
      </c>
      <c r="B30" t="s">
        <v>36</v>
      </c>
      <c r="C30" s="9"/>
      <c r="D30" s="9"/>
      <c r="E30" s="9">
        <v>4110</v>
      </c>
      <c r="F30" s="9"/>
      <c r="G30" s="9">
        <f t="shared" si="0"/>
        <v>4110</v>
      </c>
      <c r="H30">
        <f t="shared" si="1"/>
        <v>3.13</v>
      </c>
      <c r="I30" s="10">
        <f t="shared" si="2"/>
        <v>4.0000000000000001E-3</v>
      </c>
      <c r="J30">
        <f t="shared" si="3"/>
        <v>-0.56000000000000005</v>
      </c>
      <c r="P30">
        <v>9360</v>
      </c>
    </row>
    <row r="31" spans="1:16" x14ac:dyDescent="0.25">
      <c r="A31" t="s">
        <v>20</v>
      </c>
      <c r="B31" t="s">
        <v>41</v>
      </c>
      <c r="C31" s="9"/>
      <c r="D31" s="9"/>
      <c r="E31" s="9">
        <v>1092</v>
      </c>
      <c r="F31" s="9"/>
      <c r="G31" s="9">
        <f t="shared" si="0"/>
        <v>1092</v>
      </c>
      <c r="H31">
        <f t="shared" si="1"/>
        <v>0.83</v>
      </c>
      <c r="I31" s="10">
        <f t="shared" si="2"/>
        <v>1E-3</v>
      </c>
      <c r="J31">
        <f t="shared" si="3"/>
        <v>-0.63</v>
      </c>
      <c r="P31">
        <v>2973</v>
      </c>
    </row>
    <row r="32" spans="1:16" x14ac:dyDescent="0.25">
      <c r="A32" t="s">
        <v>20</v>
      </c>
      <c r="B32" t="s">
        <v>37</v>
      </c>
      <c r="C32" s="9"/>
      <c r="D32" s="9"/>
      <c r="E32" s="9">
        <v>5610</v>
      </c>
      <c r="F32" s="9">
        <v>34130</v>
      </c>
      <c r="G32" s="9">
        <f t="shared" si="0"/>
        <v>39740</v>
      </c>
      <c r="H32">
        <f t="shared" si="1"/>
        <v>30.24</v>
      </c>
      <c r="I32" s="10">
        <f t="shared" si="2"/>
        <v>3.9E-2</v>
      </c>
      <c r="J32">
        <f t="shared" si="3"/>
        <v>-0.33</v>
      </c>
      <c r="P32">
        <v>59435</v>
      </c>
    </row>
    <row r="33" spans="1:16" x14ac:dyDescent="0.25">
      <c r="A33" t="s">
        <v>20</v>
      </c>
      <c r="B33" t="s">
        <v>38</v>
      </c>
      <c r="C33" s="9"/>
      <c r="D33" s="9"/>
      <c r="E33" s="9"/>
      <c r="F33" s="9">
        <v>4120</v>
      </c>
      <c r="G33" s="9">
        <f t="shared" si="0"/>
        <v>4120</v>
      </c>
      <c r="H33">
        <f t="shared" si="1"/>
        <v>3.14</v>
      </c>
      <c r="I33" s="10">
        <f t="shared" si="2"/>
        <v>4.0000000000000001E-3</v>
      </c>
      <c r="J33">
        <f t="shared" si="3"/>
        <v>-0.09</v>
      </c>
      <c r="P33">
        <v>4520</v>
      </c>
    </row>
    <row r="34" spans="1:16" x14ac:dyDescent="0.25">
      <c r="A34" t="s">
        <v>20</v>
      </c>
      <c r="B34" t="s">
        <v>39</v>
      </c>
      <c r="C34" s="9"/>
      <c r="D34" s="9"/>
      <c r="E34" s="9">
        <v>3570</v>
      </c>
      <c r="F34" s="9"/>
      <c r="G34" s="9">
        <f t="shared" si="0"/>
        <v>3570</v>
      </c>
      <c r="H34">
        <f t="shared" si="1"/>
        <v>2.72</v>
      </c>
      <c r="I34" s="10">
        <f t="shared" si="2"/>
        <v>3.0000000000000001E-3</v>
      </c>
      <c r="J34">
        <f t="shared" si="3"/>
        <v>-0.74</v>
      </c>
      <c r="P34">
        <v>13990</v>
      </c>
    </row>
    <row r="35" spans="1:16" x14ac:dyDescent="0.25">
      <c r="A35" t="s">
        <v>20</v>
      </c>
      <c r="B35" t="s">
        <v>40</v>
      </c>
      <c r="C35" s="9"/>
      <c r="D35" s="9"/>
      <c r="E35" s="9">
        <v>5340</v>
      </c>
      <c r="F35" s="9"/>
      <c r="G35" s="9">
        <f t="shared" si="0"/>
        <v>5340</v>
      </c>
      <c r="H35">
        <f t="shared" si="1"/>
        <v>4.0599999999999996</v>
      </c>
      <c r="I35" s="10">
        <f t="shared" si="2"/>
        <v>5.0000000000000001E-3</v>
      </c>
      <c r="J35">
        <f t="shared" si="3"/>
        <v>-0.76</v>
      </c>
      <c r="P35">
        <v>22145</v>
      </c>
    </row>
    <row r="36" spans="1:16" x14ac:dyDescent="0.25">
      <c r="A36" t="s">
        <v>20</v>
      </c>
      <c r="B36" t="s">
        <v>69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J36">
        <f t="shared" si="3"/>
        <v>-1</v>
      </c>
      <c r="P36">
        <v>1220</v>
      </c>
    </row>
    <row r="37" spans="1:16" x14ac:dyDescent="0.25">
      <c r="A37" t="s">
        <v>20</v>
      </c>
      <c r="B37" t="s">
        <v>29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32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18790</v>
      </c>
      <c r="D39" s="9">
        <v>339010</v>
      </c>
      <c r="E39" s="9"/>
      <c r="F39" s="9"/>
      <c r="G39" s="9">
        <f t="shared" si="0"/>
        <v>357800</v>
      </c>
      <c r="H39">
        <f t="shared" si="1"/>
        <v>272.3</v>
      </c>
      <c r="I39" s="10">
        <f t="shared" si="2"/>
        <v>0.34699999999999998</v>
      </c>
      <c r="J39">
        <f>ROUND(G39/P39-1,2)</f>
        <v>7.0000000000000007E-2</v>
      </c>
      <c r="P39">
        <v>334055</v>
      </c>
    </row>
    <row r="40" spans="1:16" x14ac:dyDescent="0.25">
      <c r="A40" t="s">
        <v>44</v>
      </c>
      <c r="B40" t="s">
        <v>46</v>
      </c>
      <c r="C40" s="9"/>
      <c r="D40" s="9"/>
      <c r="E40" s="9">
        <v>7400</v>
      </c>
      <c r="F40" s="9">
        <v>17180</v>
      </c>
      <c r="G40" s="9">
        <f t="shared" si="0"/>
        <v>24580</v>
      </c>
      <c r="H40">
        <f t="shared" si="1"/>
        <v>18.71</v>
      </c>
      <c r="I40" s="10">
        <f t="shared" si="2"/>
        <v>2.4E-2</v>
      </c>
      <c r="J40">
        <f>ROUND(G40/P40-1,2)</f>
        <v>-0.43</v>
      </c>
      <c r="P40">
        <v>43095</v>
      </c>
    </row>
    <row r="41" spans="1:16" x14ac:dyDescent="0.25">
      <c r="A41" t="s">
        <v>44</v>
      </c>
      <c r="B41" t="s">
        <v>47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SUM(C8:C41)</f>
        <v>30770</v>
      </c>
      <c r="D49" s="12">
        <f t="shared" si="4"/>
        <v>798365</v>
      </c>
      <c r="E49" s="12">
        <f t="shared" si="4"/>
        <v>84018</v>
      </c>
      <c r="F49" s="12">
        <f t="shared" si="4"/>
        <v>116553</v>
      </c>
      <c r="G49" s="12">
        <f t="shared" si="4"/>
        <v>1029706</v>
      </c>
      <c r="H49" s="11">
        <f t="shared" si="4"/>
        <v>783.6400000000001</v>
      </c>
      <c r="I49" s="4"/>
    </row>
    <row r="50" spans="1:10" x14ac:dyDescent="0.25">
      <c r="A50" s="11" t="s">
        <v>14</v>
      </c>
      <c r="C50" s="13">
        <f>ROUND(C49/G49,2)</f>
        <v>0.03</v>
      </c>
      <c r="D50" s="13">
        <f>ROUND(D49/G49,2)</f>
        <v>0.78</v>
      </c>
      <c r="E50" s="13">
        <f>ROUND(E49/G49,2)</f>
        <v>0.08</v>
      </c>
      <c r="F50" s="13">
        <f>ROUND(F49/G49,2)</f>
        <v>0.11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11980</v>
      </c>
      <c r="D54" s="15">
        <v>459355</v>
      </c>
      <c r="E54" s="15">
        <v>76618</v>
      </c>
      <c r="F54" s="15">
        <v>99144</v>
      </c>
      <c r="G54" s="15">
        <f>SUM(C54:F54)</f>
        <v>647097</v>
      </c>
      <c r="H54" s="17">
        <f>ROUND(G54/1314,2)</f>
        <v>492.46</v>
      </c>
      <c r="I54" s="4"/>
      <c r="J54" s="4"/>
    </row>
    <row r="55" spans="1:10" x14ac:dyDescent="0.25">
      <c r="A55" s="33" t="s">
        <v>50</v>
      </c>
      <c r="B55" s="33"/>
      <c r="C55" s="15">
        <v>18790</v>
      </c>
      <c r="D55" s="15">
        <v>339010</v>
      </c>
      <c r="E55" s="15">
        <v>7400</v>
      </c>
      <c r="F55" s="15">
        <v>17180</v>
      </c>
      <c r="G55" s="15">
        <f>SUM(C55:F55)</f>
        <v>382380</v>
      </c>
      <c r="H55" s="17">
        <f>ROUND(G55/1314,2)</f>
        <v>291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229</v>
      </c>
      <c r="G56" s="15">
        <f>SUM(C56:F56)</f>
        <v>229</v>
      </c>
      <c r="H56" s="17">
        <f>ROUND(G56/1314,2)</f>
        <v>0.17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ROUND(0.6459, 4)</f>
        <v>0.64590000000000003</v>
      </c>
      <c r="D60" s="19">
        <f>ROUND(0.6657, 4)</f>
        <v>0.66569999999999996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ROUND(0.6087, 4)</f>
        <v>0.60870000000000002</v>
      </c>
      <c r="D61" s="19">
        <f>ROUND(0.628, 4)</f>
        <v>0.628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231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272.3</v>
      </c>
      <c r="D64" s="16">
        <v>251.62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97.02</v>
      </c>
      <c r="D65" s="16">
        <v>95.41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492.46</v>
      </c>
      <c r="D66" s="16">
        <v>503.72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291</v>
      </c>
      <c r="D67" s="16">
        <v>281.02</v>
      </c>
      <c r="E67" s="16">
        <v>115.16</v>
      </c>
      <c r="F67" s="16">
        <v>80.39</v>
      </c>
    </row>
  </sheetData>
  <mergeCells count="12">
    <mergeCell ref="A60:B60"/>
    <mergeCell ref="A61:B61"/>
    <mergeCell ref="A53:B53"/>
    <mergeCell ref="A54:B54"/>
    <mergeCell ref="A59:B59"/>
    <mergeCell ref="A55:B55"/>
    <mergeCell ref="A56:B56"/>
    <mergeCell ref="A63:B63"/>
    <mergeCell ref="A64:B64"/>
    <mergeCell ref="A65:B65"/>
    <mergeCell ref="A66:B66"/>
    <mergeCell ref="A67:B6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P75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232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389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4</v>
      </c>
      <c r="G9" s="9">
        <f t="shared" ref="G9:G36" si="0">SUM(C9:F9)</f>
        <v>4</v>
      </c>
      <c r="H9">
        <f t="shared" ref="H9:H36" si="1">ROUND(G9/389,2)</f>
        <v>0.01</v>
      </c>
      <c r="I9" s="10">
        <f t="shared" ref="I9:I36" si="2">ROUND(G9/$G$49,3)</f>
        <v>0</v>
      </c>
      <c r="P9">
        <v>0</v>
      </c>
    </row>
    <row r="10" spans="1:16" x14ac:dyDescent="0.25">
      <c r="A10" t="s">
        <v>20</v>
      </c>
      <c r="B10" t="s">
        <v>21</v>
      </c>
      <c r="C10" s="9">
        <v>27080</v>
      </c>
      <c r="D10" s="9"/>
      <c r="E10" s="9"/>
      <c r="F10" s="9"/>
      <c r="G10" s="9">
        <f t="shared" si="0"/>
        <v>27080</v>
      </c>
      <c r="H10">
        <f t="shared" si="1"/>
        <v>69.61</v>
      </c>
      <c r="I10" s="10">
        <f t="shared" si="2"/>
        <v>8.5999999999999993E-2</v>
      </c>
      <c r="J10">
        <f>ROUND(G10/P10-1,2)</f>
        <v>-7.0000000000000007E-2</v>
      </c>
      <c r="P10">
        <v>29040</v>
      </c>
    </row>
    <row r="11" spans="1:16" x14ac:dyDescent="0.25">
      <c r="A11" t="s">
        <v>20</v>
      </c>
      <c r="B11" t="s">
        <v>22</v>
      </c>
      <c r="C11" s="9">
        <v>48380</v>
      </c>
      <c r="D11" s="9"/>
      <c r="E11" s="9"/>
      <c r="F11" s="9"/>
      <c r="G11" s="9">
        <f t="shared" si="0"/>
        <v>48380</v>
      </c>
      <c r="H11">
        <f t="shared" si="1"/>
        <v>124.37</v>
      </c>
      <c r="I11" s="10">
        <f t="shared" si="2"/>
        <v>0.154</v>
      </c>
      <c r="J11">
        <f>ROUND(G11/P11-1,2)</f>
        <v>0.33</v>
      </c>
      <c r="P11">
        <v>36275</v>
      </c>
    </row>
    <row r="12" spans="1:16" x14ac:dyDescent="0.25">
      <c r="A12" t="s">
        <v>20</v>
      </c>
      <c r="B12" t="s">
        <v>42</v>
      </c>
      <c r="C12" s="9"/>
      <c r="D12" s="9"/>
      <c r="E12" s="9">
        <v>310</v>
      </c>
      <c r="F12" s="9"/>
      <c r="G12" s="9">
        <f t="shared" si="0"/>
        <v>310</v>
      </c>
      <c r="H12">
        <f t="shared" si="1"/>
        <v>0.8</v>
      </c>
      <c r="I12" s="10">
        <f t="shared" si="2"/>
        <v>1E-3</v>
      </c>
      <c r="J12">
        <f>ROUND(G12/P12-1,2)</f>
        <v>4.17</v>
      </c>
      <c r="P12">
        <v>60</v>
      </c>
    </row>
    <row r="13" spans="1:16" x14ac:dyDescent="0.25">
      <c r="A13" t="s">
        <v>20</v>
      </c>
      <c r="B13" t="s">
        <v>80</v>
      </c>
      <c r="C13" s="9"/>
      <c r="D13" s="9"/>
      <c r="E13" s="9"/>
      <c r="F13" s="9">
        <v>100</v>
      </c>
      <c r="G13" s="9">
        <f t="shared" si="0"/>
        <v>100</v>
      </c>
      <c r="H13">
        <f t="shared" si="1"/>
        <v>0.26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24</v>
      </c>
      <c r="C14" s="9"/>
      <c r="D14" s="9"/>
      <c r="E14" s="9">
        <v>18420</v>
      </c>
      <c r="F14" s="9"/>
      <c r="G14" s="9">
        <f t="shared" si="0"/>
        <v>18420</v>
      </c>
      <c r="H14">
        <f t="shared" si="1"/>
        <v>47.35</v>
      </c>
      <c r="I14" s="10">
        <f t="shared" si="2"/>
        <v>5.8999999999999997E-2</v>
      </c>
      <c r="J14">
        <f>ROUND(G14/P14-1,2)</f>
        <v>0.16</v>
      </c>
      <c r="P14">
        <v>15850</v>
      </c>
    </row>
    <row r="15" spans="1:16" x14ac:dyDescent="0.25">
      <c r="A15" t="s">
        <v>20</v>
      </c>
      <c r="B15" t="s">
        <v>25</v>
      </c>
      <c r="C15" s="9">
        <v>38180</v>
      </c>
      <c r="D15" s="9"/>
      <c r="E15" s="9"/>
      <c r="F15" s="9"/>
      <c r="G15" s="9">
        <f t="shared" si="0"/>
        <v>38180</v>
      </c>
      <c r="H15">
        <f t="shared" si="1"/>
        <v>98.15</v>
      </c>
      <c r="I15" s="10">
        <f t="shared" si="2"/>
        <v>0.122</v>
      </c>
      <c r="J15">
        <f>ROUND(G15/P15-1,2)</f>
        <v>0.05</v>
      </c>
      <c r="P15">
        <v>36270</v>
      </c>
    </row>
    <row r="16" spans="1:16" x14ac:dyDescent="0.25">
      <c r="A16" t="s">
        <v>20</v>
      </c>
      <c r="B16" t="s">
        <v>69</v>
      </c>
      <c r="C16" s="9"/>
      <c r="D16" s="9"/>
      <c r="E16" s="9">
        <v>1390</v>
      </c>
      <c r="F16" s="9"/>
      <c r="G16" s="9">
        <f t="shared" si="0"/>
        <v>1390</v>
      </c>
      <c r="H16">
        <f t="shared" si="1"/>
        <v>3.57</v>
      </c>
      <c r="I16" s="10">
        <f t="shared" si="2"/>
        <v>4.0000000000000001E-3</v>
      </c>
      <c r="P16">
        <v>0</v>
      </c>
    </row>
    <row r="17" spans="1:16" x14ac:dyDescent="0.25">
      <c r="A17" t="s">
        <v>20</v>
      </c>
      <c r="B17" t="s">
        <v>26</v>
      </c>
      <c r="C17" s="9">
        <v>41160</v>
      </c>
      <c r="D17" s="9"/>
      <c r="E17" s="9"/>
      <c r="F17" s="9"/>
      <c r="G17" s="9">
        <f t="shared" si="0"/>
        <v>41160</v>
      </c>
      <c r="H17">
        <f t="shared" si="1"/>
        <v>105.81</v>
      </c>
      <c r="I17" s="10">
        <f t="shared" si="2"/>
        <v>0.13100000000000001</v>
      </c>
      <c r="J17">
        <f>ROUND(G17/P17-1,2)</f>
        <v>0.06</v>
      </c>
      <c r="P17">
        <v>38780</v>
      </c>
    </row>
    <row r="18" spans="1:16" x14ac:dyDescent="0.25">
      <c r="A18" t="s">
        <v>20</v>
      </c>
      <c r="B18" t="s">
        <v>30</v>
      </c>
      <c r="C18" s="9"/>
      <c r="D18" s="9"/>
      <c r="E18" s="9">
        <v>1960</v>
      </c>
      <c r="F18" s="9"/>
      <c r="G18" s="9">
        <f t="shared" si="0"/>
        <v>1960</v>
      </c>
      <c r="H18">
        <f t="shared" si="1"/>
        <v>5.04</v>
      </c>
      <c r="I18" s="10">
        <f t="shared" si="2"/>
        <v>6.0000000000000001E-3</v>
      </c>
      <c r="P18">
        <v>0</v>
      </c>
    </row>
    <row r="19" spans="1:16" x14ac:dyDescent="0.25">
      <c r="A19" t="s">
        <v>20</v>
      </c>
      <c r="B19" t="s">
        <v>31</v>
      </c>
      <c r="C19" s="9"/>
      <c r="D19" s="9"/>
      <c r="E19" s="9">
        <v>200</v>
      </c>
      <c r="F19" s="9"/>
      <c r="G19" s="9">
        <f t="shared" si="0"/>
        <v>200</v>
      </c>
      <c r="H19">
        <f t="shared" si="1"/>
        <v>0.51</v>
      </c>
      <c r="I19" s="10">
        <f t="shared" si="2"/>
        <v>1E-3</v>
      </c>
      <c r="J19">
        <f t="shared" ref="J19:J25" si="3">ROUND(G19/P19-1,2)</f>
        <v>-0.5</v>
      </c>
      <c r="P19">
        <v>400</v>
      </c>
    </row>
    <row r="20" spans="1:16" x14ac:dyDescent="0.25">
      <c r="A20" t="s">
        <v>20</v>
      </c>
      <c r="B20" t="s">
        <v>33</v>
      </c>
      <c r="C20" s="9"/>
      <c r="D20" s="9"/>
      <c r="E20" s="9">
        <v>545</v>
      </c>
      <c r="F20" s="9"/>
      <c r="G20" s="9">
        <f t="shared" si="0"/>
        <v>545</v>
      </c>
      <c r="H20">
        <f t="shared" si="1"/>
        <v>1.4</v>
      </c>
      <c r="I20" s="10">
        <f t="shared" si="2"/>
        <v>2E-3</v>
      </c>
      <c r="J20">
        <f t="shared" si="3"/>
        <v>0.05</v>
      </c>
      <c r="P20">
        <v>520</v>
      </c>
    </row>
    <row r="21" spans="1:16" x14ac:dyDescent="0.25">
      <c r="A21" t="s">
        <v>20</v>
      </c>
      <c r="B21" t="s">
        <v>35</v>
      </c>
      <c r="C21" s="9"/>
      <c r="D21" s="9"/>
      <c r="E21" s="9">
        <v>710</v>
      </c>
      <c r="F21" s="9"/>
      <c r="G21" s="9">
        <f t="shared" si="0"/>
        <v>710</v>
      </c>
      <c r="H21">
        <f t="shared" si="1"/>
        <v>1.83</v>
      </c>
      <c r="I21" s="10">
        <f t="shared" si="2"/>
        <v>2E-3</v>
      </c>
      <c r="J21">
        <f t="shared" si="3"/>
        <v>-0.27</v>
      </c>
      <c r="P21">
        <v>978</v>
      </c>
    </row>
    <row r="22" spans="1:16" x14ac:dyDescent="0.25">
      <c r="A22" t="s">
        <v>20</v>
      </c>
      <c r="B22" t="s">
        <v>36</v>
      </c>
      <c r="C22" s="9"/>
      <c r="D22" s="9"/>
      <c r="E22" s="9">
        <v>2820</v>
      </c>
      <c r="F22" s="9"/>
      <c r="G22" s="9">
        <f t="shared" si="0"/>
        <v>2820</v>
      </c>
      <c r="H22">
        <f t="shared" si="1"/>
        <v>7.25</v>
      </c>
      <c r="I22" s="10">
        <f t="shared" si="2"/>
        <v>8.9999999999999993E-3</v>
      </c>
      <c r="J22">
        <f t="shared" si="3"/>
        <v>0.13</v>
      </c>
      <c r="P22">
        <v>2500</v>
      </c>
    </row>
    <row r="23" spans="1:16" x14ac:dyDescent="0.25">
      <c r="A23" t="s">
        <v>20</v>
      </c>
      <c r="B23" t="s">
        <v>41</v>
      </c>
      <c r="C23" s="9"/>
      <c r="D23" s="9"/>
      <c r="E23" s="9">
        <v>1840</v>
      </c>
      <c r="F23" s="9"/>
      <c r="G23" s="9">
        <f t="shared" si="0"/>
        <v>1840</v>
      </c>
      <c r="H23">
        <f t="shared" si="1"/>
        <v>4.7300000000000004</v>
      </c>
      <c r="I23" s="10">
        <f t="shared" si="2"/>
        <v>6.0000000000000001E-3</v>
      </c>
      <c r="J23">
        <f t="shared" si="3"/>
        <v>-0.42</v>
      </c>
      <c r="P23">
        <v>3168</v>
      </c>
    </row>
    <row r="24" spans="1:16" x14ac:dyDescent="0.25">
      <c r="A24" t="s">
        <v>20</v>
      </c>
      <c r="B24" t="s">
        <v>37</v>
      </c>
      <c r="C24" s="9"/>
      <c r="D24" s="9"/>
      <c r="E24" s="9">
        <v>20790</v>
      </c>
      <c r="F24" s="9"/>
      <c r="G24" s="9">
        <f t="shared" si="0"/>
        <v>20790</v>
      </c>
      <c r="H24">
        <f t="shared" si="1"/>
        <v>53.44</v>
      </c>
      <c r="I24" s="10">
        <f t="shared" si="2"/>
        <v>6.6000000000000003E-2</v>
      </c>
      <c r="J24">
        <f t="shared" si="3"/>
        <v>0.13</v>
      </c>
      <c r="P24">
        <v>18415</v>
      </c>
    </row>
    <row r="25" spans="1:16" x14ac:dyDescent="0.25">
      <c r="A25" t="s">
        <v>20</v>
      </c>
      <c r="B25" t="s">
        <v>39</v>
      </c>
      <c r="C25" s="9"/>
      <c r="D25" s="9"/>
      <c r="E25" s="9">
        <v>7410</v>
      </c>
      <c r="F25" s="9"/>
      <c r="G25" s="9">
        <f t="shared" si="0"/>
        <v>7410</v>
      </c>
      <c r="H25">
        <f t="shared" si="1"/>
        <v>19.05</v>
      </c>
      <c r="I25" s="10">
        <f t="shared" si="2"/>
        <v>2.4E-2</v>
      </c>
      <c r="J25">
        <f t="shared" si="3"/>
        <v>0.34</v>
      </c>
      <c r="P25">
        <v>5520</v>
      </c>
    </row>
    <row r="26" spans="1:16" x14ac:dyDescent="0.25">
      <c r="A26" t="s">
        <v>20</v>
      </c>
      <c r="B26" t="s">
        <v>40</v>
      </c>
      <c r="C26" s="9"/>
      <c r="D26" s="9"/>
      <c r="E26" s="9">
        <v>1460</v>
      </c>
      <c r="F26" s="9"/>
      <c r="G26" s="9">
        <f t="shared" si="0"/>
        <v>1460</v>
      </c>
      <c r="H26">
        <f t="shared" si="1"/>
        <v>3.75</v>
      </c>
      <c r="I26" s="10">
        <f t="shared" si="2"/>
        <v>5.0000000000000001E-3</v>
      </c>
      <c r="P26">
        <v>0</v>
      </c>
    </row>
    <row r="27" spans="1:16" x14ac:dyDescent="0.25">
      <c r="A27" t="s">
        <v>20</v>
      </c>
      <c r="B27" t="s">
        <v>29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74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23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32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43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34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20</v>
      </c>
      <c r="B33" t="s">
        <v>38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A34" t="s">
        <v>44</v>
      </c>
      <c r="B34" t="s">
        <v>45</v>
      </c>
      <c r="C34" s="9">
        <v>78540</v>
      </c>
      <c r="D34" s="9"/>
      <c r="E34" s="9"/>
      <c r="F34" s="9">
        <v>440</v>
      </c>
      <c r="G34" s="9">
        <f t="shared" si="0"/>
        <v>78980</v>
      </c>
      <c r="H34">
        <f t="shared" si="1"/>
        <v>203.03</v>
      </c>
      <c r="I34" s="10">
        <f t="shared" si="2"/>
        <v>0.252</v>
      </c>
      <c r="J34">
        <f>ROUND(G34/P34-1,2)</f>
        <v>0.03</v>
      </c>
      <c r="P34">
        <v>76440</v>
      </c>
    </row>
    <row r="35" spans="1:16" x14ac:dyDescent="0.25">
      <c r="A35" t="s">
        <v>44</v>
      </c>
      <c r="B35" t="s">
        <v>47</v>
      </c>
      <c r="C35" s="9"/>
      <c r="D35" s="9"/>
      <c r="E35" s="9"/>
      <c r="F35" s="9">
        <v>9820</v>
      </c>
      <c r="G35" s="9">
        <f t="shared" si="0"/>
        <v>9820</v>
      </c>
      <c r="H35">
        <f t="shared" si="1"/>
        <v>25.24</v>
      </c>
      <c r="I35" s="10">
        <f t="shared" si="2"/>
        <v>3.1E-2</v>
      </c>
      <c r="J35">
        <f>ROUND(G35/P35-1,2)</f>
        <v>-0.69</v>
      </c>
      <c r="P35">
        <v>32120</v>
      </c>
    </row>
    <row r="36" spans="1:16" x14ac:dyDescent="0.25">
      <c r="A36" t="s">
        <v>44</v>
      </c>
      <c r="B36" t="s">
        <v>46</v>
      </c>
      <c r="C36" s="9"/>
      <c r="D36" s="9"/>
      <c r="E36" s="9">
        <v>11650</v>
      </c>
      <c r="F36" s="9"/>
      <c r="G36" s="9">
        <f t="shared" si="0"/>
        <v>11650</v>
      </c>
      <c r="H36">
        <f t="shared" si="1"/>
        <v>29.95</v>
      </c>
      <c r="I36" s="10">
        <f t="shared" si="2"/>
        <v>3.6999999999999998E-2</v>
      </c>
      <c r="J36">
        <f>ROUND(G36/P36-1,2)</f>
        <v>-0.19</v>
      </c>
      <c r="P36">
        <v>14380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233340</v>
      </c>
      <c r="D49" s="12">
        <f t="shared" si="4"/>
        <v>0</v>
      </c>
      <c r="E49" s="12">
        <f t="shared" si="4"/>
        <v>69505</v>
      </c>
      <c r="F49" s="12">
        <f t="shared" si="4"/>
        <v>10364</v>
      </c>
      <c r="G49" s="12">
        <f t="shared" si="4"/>
        <v>313209</v>
      </c>
      <c r="H49" s="11">
        <f t="shared" si="4"/>
        <v>805.15</v>
      </c>
      <c r="I49" s="4"/>
    </row>
    <row r="50" spans="1:10" x14ac:dyDescent="0.25">
      <c r="A50" s="11" t="s">
        <v>14</v>
      </c>
      <c r="C50" s="13">
        <f>ROUND(C49/G49,2)</f>
        <v>0.74</v>
      </c>
      <c r="D50" s="13">
        <f>ROUND(D49/G49,2)</f>
        <v>0</v>
      </c>
      <c r="E50" s="13">
        <f>ROUND(E49/G49,2)</f>
        <v>0.22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154800</v>
      </c>
      <c r="D54" s="15">
        <v>0</v>
      </c>
      <c r="E54" s="15">
        <v>57855</v>
      </c>
      <c r="F54" s="15">
        <v>100</v>
      </c>
      <c r="G54" s="15">
        <f>SUM(C54:F54)</f>
        <v>212755</v>
      </c>
      <c r="H54" s="17">
        <f>ROUND(G54/389,2)</f>
        <v>546.92999999999995</v>
      </c>
      <c r="I54" s="4"/>
      <c r="J54" s="4"/>
    </row>
    <row r="55" spans="1:10" x14ac:dyDescent="0.25">
      <c r="A55" s="33" t="s">
        <v>50</v>
      </c>
      <c r="B55" s="33"/>
      <c r="C55" s="15">
        <v>78540</v>
      </c>
      <c r="D55" s="15">
        <v>0</v>
      </c>
      <c r="E55" s="15">
        <v>11650</v>
      </c>
      <c r="F55" s="15">
        <v>10260</v>
      </c>
      <c r="G55" s="15">
        <f>SUM(C55:F55)</f>
        <v>100450</v>
      </c>
      <c r="H55" s="17">
        <f>ROUND(G55/389,2)</f>
        <v>258.23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4</v>
      </c>
      <c r="G56" s="15">
        <f>SUM(C56:F56)</f>
        <v>4</v>
      </c>
      <c r="H56" s="17">
        <f>ROUND(G56/389,2)</f>
        <v>0.01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ROUND(0.7231, 4)</f>
        <v>0.72309999999999997</v>
      </c>
      <c r="D60" s="19">
        <f>ROUND(0.7201, 4)</f>
        <v>0.72009999999999996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ROUND(0.6889, 4)</f>
        <v>0.68889999999999996</v>
      </c>
      <c r="D61" s="19">
        <f>ROUND(0.6833, 4)</f>
        <v>0.68330000000000002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233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203.03</v>
      </c>
      <c r="D64" s="17">
        <v>192.94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105.81</v>
      </c>
      <c r="D65" s="17">
        <v>100.92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546.92999999999995</v>
      </c>
      <c r="D66" s="17">
        <v>513.19000000000005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258.23</v>
      </c>
      <c r="D67" s="17">
        <v>259.27999999999997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7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234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3662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18</v>
      </c>
      <c r="C9" s="9"/>
      <c r="D9" s="9"/>
      <c r="E9" s="9"/>
      <c r="F9" s="9">
        <v>505</v>
      </c>
      <c r="G9" s="9">
        <f t="shared" ref="G9:G44" si="0">SUM(C9:F9)</f>
        <v>505</v>
      </c>
      <c r="H9">
        <f t="shared" ref="H9:H44" si="1">ROUND(G9/3662,2)</f>
        <v>0.14000000000000001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19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67</v>
      </c>
      <c r="C11" s="9"/>
      <c r="D11" s="9"/>
      <c r="E11" s="9">
        <v>50</v>
      </c>
      <c r="F11" s="9"/>
      <c r="G11" s="9">
        <f t="shared" si="0"/>
        <v>50</v>
      </c>
      <c r="H11">
        <f t="shared" si="1"/>
        <v>0.01</v>
      </c>
      <c r="I11" s="10">
        <f t="shared" si="2"/>
        <v>0</v>
      </c>
      <c r="J11">
        <f>ROUND(G11/P11-1,2)</f>
        <v>-0.02</v>
      </c>
      <c r="P11">
        <v>51</v>
      </c>
    </row>
    <row r="12" spans="1:16" x14ac:dyDescent="0.25">
      <c r="A12" t="s">
        <v>20</v>
      </c>
      <c r="B12" t="s">
        <v>21</v>
      </c>
      <c r="C12" s="9">
        <v>119590</v>
      </c>
      <c r="D12" s="9"/>
      <c r="E12" s="9">
        <v>3880</v>
      </c>
      <c r="F12" s="9">
        <v>500</v>
      </c>
      <c r="G12" s="9">
        <f t="shared" si="0"/>
        <v>123970</v>
      </c>
      <c r="H12">
        <f t="shared" si="1"/>
        <v>33.85</v>
      </c>
      <c r="I12" s="10">
        <f t="shared" si="2"/>
        <v>0.11</v>
      </c>
      <c r="J12">
        <f>ROUND(G12/P12-1,2)</f>
        <v>0</v>
      </c>
      <c r="P12">
        <v>123445</v>
      </c>
    </row>
    <row r="13" spans="1:16" x14ac:dyDescent="0.25">
      <c r="A13" t="s">
        <v>20</v>
      </c>
      <c r="B13" t="s">
        <v>22</v>
      </c>
      <c r="C13" s="9">
        <v>139740</v>
      </c>
      <c r="D13" s="9"/>
      <c r="E13" s="9"/>
      <c r="F13" s="9"/>
      <c r="G13" s="9">
        <f t="shared" si="0"/>
        <v>139740</v>
      </c>
      <c r="H13">
        <f t="shared" si="1"/>
        <v>38.159999999999997</v>
      </c>
      <c r="I13" s="10">
        <f t="shared" si="2"/>
        <v>0.124</v>
      </c>
      <c r="J13">
        <f>ROUND(G13/P13-1,2)</f>
        <v>-0.1</v>
      </c>
      <c r="P13">
        <v>154410</v>
      </c>
    </row>
    <row r="14" spans="1:16" x14ac:dyDescent="0.25">
      <c r="A14" t="s">
        <v>20</v>
      </c>
      <c r="B14" t="s">
        <v>79</v>
      </c>
      <c r="C14" s="9"/>
      <c r="D14" s="9"/>
      <c r="E14" s="9">
        <v>48</v>
      </c>
      <c r="F14" s="9"/>
      <c r="G14" s="9">
        <f t="shared" si="0"/>
        <v>48</v>
      </c>
      <c r="H14">
        <f t="shared" si="1"/>
        <v>0.01</v>
      </c>
      <c r="I14" s="10">
        <f t="shared" si="2"/>
        <v>0</v>
      </c>
      <c r="J14">
        <f>ROUND(G14/P14-1,2)</f>
        <v>-0.11</v>
      </c>
      <c r="P14">
        <v>54</v>
      </c>
    </row>
    <row r="15" spans="1:16" x14ac:dyDescent="0.25">
      <c r="A15" t="s">
        <v>20</v>
      </c>
      <c r="B15" t="s">
        <v>42</v>
      </c>
      <c r="C15" s="9"/>
      <c r="D15" s="9"/>
      <c r="E15" s="9">
        <v>126</v>
      </c>
      <c r="F15" s="9"/>
      <c r="G15" s="9">
        <f t="shared" si="0"/>
        <v>126</v>
      </c>
      <c r="H15">
        <f t="shared" si="1"/>
        <v>0.03</v>
      </c>
      <c r="I15" s="10">
        <f t="shared" si="2"/>
        <v>0</v>
      </c>
      <c r="J15">
        <f>ROUND(G15/P15-1,2)</f>
        <v>-0.26</v>
      </c>
      <c r="P15">
        <v>171</v>
      </c>
    </row>
    <row r="16" spans="1:16" x14ac:dyDescent="0.25">
      <c r="A16" t="s">
        <v>20</v>
      </c>
      <c r="B16" t="s">
        <v>80</v>
      </c>
      <c r="C16" s="9"/>
      <c r="D16" s="9"/>
      <c r="E16" s="9"/>
      <c r="F16" s="9">
        <v>125</v>
      </c>
      <c r="G16" s="9">
        <f t="shared" si="0"/>
        <v>125</v>
      </c>
      <c r="H16">
        <f t="shared" si="1"/>
        <v>0.03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24</v>
      </c>
      <c r="C17" s="9"/>
      <c r="D17" s="9"/>
      <c r="E17" s="9">
        <v>44920</v>
      </c>
      <c r="F17" s="9"/>
      <c r="G17" s="9">
        <f t="shared" si="0"/>
        <v>44920</v>
      </c>
      <c r="H17">
        <f t="shared" si="1"/>
        <v>12.27</v>
      </c>
      <c r="I17" s="10">
        <f t="shared" si="2"/>
        <v>0.04</v>
      </c>
      <c r="J17">
        <f t="shared" ref="J17:J22" si="3">ROUND(G17/P17-1,2)</f>
        <v>0.04</v>
      </c>
      <c r="P17">
        <v>43200</v>
      </c>
    </row>
    <row r="18" spans="1:16" x14ac:dyDescent="0.25">
      <c r="A18" t="s">
        <v>20</v>
      </c>
      <c r="B18" t="s">
        <v>25</v>
      </c>
      <c r="C18" s="9">
        <v>167140</v>
      </c>
      <c r="D18" s="9"/>
      <c r="E18" s="9">
        <v>13490</v>
      </c>
      <c r="F18" s="9"/>
      <c r="G18" s="9">
        <f t="shared" si="0"/>
        <v>180630</v>
      </c>
      <c r="H18">
        <f t="shared" si="1"/>
        <v>49.33</v>
      </c>
      <c r="I18" s="10">
        <f t="shared" si="2"/>
        <v>0.16</v>
      </c>
      <c r="J18">
        <f t="shared" si="3"/>
        <v>0.02</v>
      </c>
      <c r="P18">
        <v>177470</v>
      </c>
    </row>
    <row r="19" spans="1:16" x14ac:dyDescent="0.25">
      <c r="A19" t="s">
        <v>20</v>
      </c>
      <c r="B19" t="s">
        <v>69</v>
      </c>
      <c r="C19" s="9"/>
      <c r="D19" s="9"/>
      <c r="E19" s="9">
        <v>2840</v>
      </c>
      <c r="F19" s="9"/>
      <c r="G19" s="9">
        <f t="shared" si="0"/>
        <v>2840</v>
      </c>
      <c r="H19">
        <f t="shared" si="1"/>
        <v>0.78</v>
      </c>
      <c r="I19" s="10">
        <f t="shared" si="2"/>
        <v>3.0000000000000001E-3</v>
      </c>
      <c r="J19">
        <f t="shared" si="3"/>
        <v>-0.09</v>
      </c>
      <c r="P19">
        <v>3115</v>
      </c>
    </row>
    <row r="20" spans="1:16" x14ac:dyDescent="0.25">
      <c r="A20" t="s">
        <v>20</v>
      </c>
      <c r="B20" t="s">
        <v>26</v>
      </c>
      <c r="C20" s="9">
        <v>172730</v>
      </c>
      <c r="D20" s="9"/>
      <c r="E20" s="9"/>
      <c r="F20" s="9">
        <v>510</v>
      </c>
      <c r="G20" s="9">
        <f t="shared" si="0"/>
        <v>173240</v>
      </c>
      <c r="H20">
        <f t="shared" si="1"/>
        <v>47.31</v>
      </c>
      <c r="I20" s="10">
        <f t="shared" si="2"/>
        <v>0.154</v>
      </c>
      <c r="J20">
        <f t="shared" si="3"/>
        <v>-0.02</v>
      </c>
      <c r="P20">
        <v>176660</v>
      </c>
    </row>
    <row r="21" spans="1:16" x14ac:dyDescent="0.25">
      <c r="A21" t="s">
        <v>20</v>
      </c>
      <c r="B21" t="s">
        <v>27</v>
      </c>
      <c r="C21" s="9"/>
      <c r="D21" s="9"/>
      <c r="E21" s="9">
        <v>834</v>
      </c>
      <c r="F21" s="9"/>
      <c r="G21" s="9">
        <f t="shared" si="0"/>
        <v>834</v>
      </c>
      <c r="H21">
        <f t="shared" si="1"/>
        <v>0.23</v>
      </c>
      <c r="I21" s="10">
        <f t="shared" si="2"/>
        <v>1E-3</v>
      </c>
      <c r="J21">
        <f t="shared" si="3"/>
        <v>6.45</v>
      </c>
      <c r="P21">
        <v>112</v>
      </c>
    </row>
    <row r="22" spans="1:16" x14ac:dyDescent="0.25">
      <c r="A22" t="s">
        <v>20</v>
      </c>
      <c r="B22" t="s">
        <v>28</v>
      </c>
      <c r="C22" s="9"/>
      <c r="D22" s="9"/>
      <c r="E22" s="9">
        <v>185</v>
      </c>
      <c r="F22" s="9"/>
      <c r="G22" s="9">
        <f t="shared" si="0"/>
        <v>185</v>
      </c>
      <c r="H22">
        <f t="shared" si="1"/>
        <v>0.05</v>
      </c>
      <c r="I22" s="10">
        <f t="shared" si="2"/>
        <v>0</v>
      </c>
      <c r="J22">
        <f t="shared" si="3"/>
        <v>1.85</v>
      </c>
      <c r="P22">
        <v>65</v>
      </c>
    </row>
    <row r="23" spans="1:16" x14ac:dyDescent="0.25">
      <c r="A23" t="s">
        <v>20</v>
      </c>
      <c r="B23" t="s">
        <v>29</v>
      </c>
      <c r="C23" s="9"/>
      <c r="D23" s="9"/>
      <c r="E23" s="9">
        <v>313</v>
      </c>
      <c r="F23" s="9"/>
      <c r="G23" s="9">
        <f t="shared" si="0"/>
        <v>313</v>
      </c>
      <c r="H23">
        <f t="shared" si="1"/>
        <v>0.09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30</v>
      </c>
      <c r="C24" s="9"/>
      <c r="D24" s="9"/>
      <c r="E24" s="9">
        <v>6630</v>
      </c>
      <c r="F24" s="9"/>
      <c r="G24" s="9">
        <f t="shared" si="0"/>
        <v>6630</v>
      </c>
      <c r="H24">
        <f t="shared" si="1"/>
        <v>1.81</v>
      </c>
      <c r="I24" s="10">
        <f t="shared" si="2"/>
        <v>6.0000000000000001E-3</v>
      </c>
      <c r="J24">
        <f t="shared" ref="J24:J38" si="4">ROUND(G24/P24-1,2)</f>
        <v>-0.16</v>
      </c>
      <c r="P24">
        <v>7920</v>
      </c>
    </row>
    <row r="25" spans="1:16" x14ac:dyDescent="0.25">
      <c r="A25" t="s">
        <v>20</v>
      </c>
      <c r="B25" t="s">
        <v>31</v>
      </c>
      <c r="C25" s="9"/>
      <c r="D25" s="9"/>
      <c r="E25" s="9">
        <v>970</v>
      </c>
      <c r="F25" s="9"/>
      <c r="G25" s="9">
        <f t="shared" si="0"/>
        <v>970</v>
      </c>
      <c r="H25">
        <f t="shared" si="1"/>
        <v>0.26</v>
      </c>
      <c r="I25" s="10">
        <f t="shared" si="2"/>
        <v>1E-3</v>
      </c>
      <c r="J25">
        <f t="shared" si="4"/>
        <v>-0.22</v>
      </c>
      <c r="P25">
        <v>1250</v>
      </c>
    </row>
    <row r="26" spans="1:16" x14ac:dyDescent="0.25">
      <c r="A26" t="s">
        <v>20</v>
      </c>
      <c r="B26" t="s">
        <v>32</v>
      </c>
      <c r="C26" s="9"/>
      <c r="D26" s="9"/>
      <c r="E26" s="9">
        <v>520</v>
      </c>
      <c r="F26" s="9"/>
      <c r="G26" s="9">
        <f t="shared" si="0"/>
        <v>520</v>
      </c>
      <c r="H26">
        <f t="shared" si="1"/>
        <v>0.14000000000000001</v>
      </c>
      <c r="I26" s="10">
        <f t="shared" si="2"/>
        <v>0</v>
      </c>
      <c r="J26">
        <f t="shared" si="4"/>
        <v>1.36</v>
      </c>
      <c r="P26">
        <v>220</v>
      </c>
    </row>
    <row r="27" spans="1:16" x14ac:dyDescent="0.25">
      <c r="A27" t="s">
        <v>20</v>
      </c>
      <c r="B27" t="s">
        <v>33</v>
      </c>
      <c r="C27" s="9"/>
      <c r="D27" s="9"/>
      <c r="E27" s="9">
        <v>2540</v>
      </c>
      <c r="F27" s="9"/>
      <c r="G27" s="9">
        <f t="shared" si="0"/>
        <v>2540</v>
      </c>
      <c r="H27">
        <f t="shared" si="1"/>
        <v>0.69</v>
      </c>
      <c r="I27" s="10">
        <f t="shared" si="2"/>
        <v>2E-3</v>
      </c>
      <c r="J27">
        <f t="shared" si="4"/>
        <v>0.3</v>
      </c>
      <c r="P27">
        <v>1960</v>
      </c>
    </row>
    <row r="28" spans="1:16" x14ac:dyDescent="0.25">
      <c r="A28" t="s">
        <v>20</v>
      </c>
      <c r="B28" t="s">
        <v>43</v>
      </c>
      <c r="C28" s="9"/>
      <c r="D28" s="9">
        <v>396</v>
      </c>
      <c r="E28" s="9"/>
      <c r="F28" s="9"/>
      <c r="G28" s="9">
        <f t="shared" si="0"/>
        <v>396</v>
      </c>
      <c r="H28">
        <f t="shared" si="1"/>
        <v>0.11</v>
      </c>
      <c r="I28" s="10">
        <f t="shared" si="2"/>
        <v>0</v>
      </c>
      <c r="J28">
        <f t="shared" si="4"/>
        <v>-0.05</v>
      </c>
      <c r="P28">
        <v>416</v>
      </c>
    </row>
    <row r="29" spans="1:16" x14ac:dyDescent="0.25">
      <c r="A29" t="s">
        <v>20</v>
      </c>
      <c r="B29" t="s">
        <v>34</v>
      </c>
      <c r="C29" s="9"/>
      <c r="D29" s="9"/>
      <c r="E29" s="9">
        <v>355</v>
      </c>
      <c r="F29" s="9"/>
      <c r="G29" s="9">
        <f t="shared" si="0"/>
        <v>355</v>
      </c>
      <c r="H29">
        <f t="shared" si="1"/>
        <v>0.1</v>
      </c>
      <c r="I29" s="10">
        <f t="shared" si="2"/>
        <v>0</v>
      </c>
      <c r="J29">
        <f t="shared" si="4"/>
        <v>-0.42</v>
      </c>
      <c r="P29">
        <v>610</v>
      </c>
    </row>
    <row r="30" spans="1:16" x14ac:dyDescent="0.25">
      <c r="A30" t="s">
        <v>20</v>
      </c>
      <c r="B30" t="s">
        <v>70</v>
      </c>
      <c r="C30" s="9"/>
      <c r="D30" s="9"/>
      <c r="E30" s="9">
        <v>2450</v>
      </c>
      <c r="F30" s="9"/>
      <c r="G30" s="9">
        <f t="shared" si="0"/>
        <v>2450</v>
      </c>
      <c r="H30">
        <f t="shared" si="1"/>
        <v>0.67</v>
      </c>
      <c r="I30" s="10">
        <f t="shared" si="2"/>
        <v>2E-3</v>
      </c>
      <c r="J30">
        <f t="shared" si="4"/>
        <v>0.47</v>
      </c>
      <c r="P30">
        <v>1670</v>
      </c>
    </row>
    <row r="31" spans="1:16" x14ac:dyDescent="0.25">
      <c r="A31" t="s">
        <v>20</v>
      </c>
      <c r="B31" t="s">
        <v>35</v>
      </c>
      <c r="C31" s="9"/>
      <c r="D31" s="9"/>
      <c r="E31" s="9">
        <v>2818</v>
      </c>
      <c r="F31" s="9"/>
      <c r="G31" s="9">
        <f t="shared" si="0"/>
        <v>2818</v>
      </c>
      <c r="H31">
        <f t="shared" si="1"/>
        <v>0.77</v>
      </c>
      <c r="I31" s="10">
        <f t="shared" si="2"/>
        <v>3.0000000000000001E-3</v>
      </c>
      <c r="J31">
        <f t="shared" si="4"/>
        <v>-0.44</v>
      </c>
      <c r="P31">
        <v>4991</v>
      </c>
    </row>
    <row r="32" spans="1:16" x14ac:dyDescent="0.25">
      <c r="A32" t="s">
        <v>20</v>
      </c>
      <c r="B32" t="s">
        <v>41</v>
      </c>
      <c r="C32" s="9"/>
      <c r="D32" s="9"/>
      <c r="E32" s="9">
        <v>13354</v>
      </c>
      <c r="F32" s="9"/>
      <c r="G32" s="9">
        <f t="shared" si="0"/>
        <v>13354</v>
      </c>
      <c r="H32">
        <f t="shared" si="1"/>
        <v>3.65</v>
      </c>
      <c r="I32" s="10">
        <f t="shared" si="2"/>
        <v>1.2E-2</v>
      </c>
      <c r="J32">
        <f t="shared" si="4"/>
        <v>1</v>
      </c>
      <c r="P32">
        <v>6666</v>
      </c>
    </row>
    <row r="33" spans="1:16" x14ac:dyDescent="0.25">
      <c r="A33" t="s">
        <v>20</v>
      </c>
      <c r="B33" t="s">
        <v>36</v>
      </c>
      <c r="C33" s="9"/>
      <c r="D33" s="9"/>
      <c r="E33" s="9">
        <v>8394</v>
      </c>
      <c r="F33" s="9"/>
      <c r="G33" s="9">
        <f t="shared" si="0"/>
        <v>8394</v>
      </c>
      <c r="H33">
        <f t="shared" si="1"/>
        <v>2.29</v>
      </c>
      <c r="I33" s="10">
        <f t="shared" si="2"/>
        <v>7.0000000000000001E-3</v>
      </c>
      <c r="J33">
        <f t="shared" si="4"/>
        <v>-0.38</v>
      </c>
      <c r="P33">
        <v>13560</v>
      </c>
    </row>
    <row r="34" spans="1:16" x14ac:dyDescent="0.25">
      <c r="A34" t="s">
        <v>20</v>
      </c>
      <c r="B34" t="s">
        <v>37</v>
      </c>
      <c r="C34" s="9"/>
      <c r="D34" s="9"/>
      <c r="E34" s="9">
        <v>54800</v>
      </c>
      <c r="F34" s="9"/>
      <c r="G34" s="9">
        <f t="shared" si="0"/>
        <v>54800</v>
      </c>
      <c r="H34">
        <f t="shared" si="1"/>
        <v>14.96</v>
      </c>
      <c r="I34" s="10">
        <f t="shared" si="2"/>
        <v>4.9000000000000002E-2</v>
      </c>
      <c r="J34">
        <f t="shared" si="4"/>
        <v>-0.18</v>
      </c>
      <c r="P34">
        <v>66560</v>
      </c>
    </row>
    <row r="35" spans="1:16" x14ac:dyDescent="0.25">
      <c r="A35" t="s">
        <v>20</v>
      </c>
      <c r="B35" t="s">
        <v>38</v>
      </c>
      <c r="C35" s="9"/>
      <c r="D35" s="9"/>
      <c r="E35" s="9">
        <v>5360</v>
      </c>
      <c r="F35" s="9"/>
      <c r="G35" s="9">
        <f t="shared" si="0"/>
        <v>5360</v>
      </c>
      <c r="H35">
        <f t="shared" si="1"/>
        <v>1.46</v>
      </c>
      <c r="I35" s="10">
        <f t="shared" si="2"/>
        <v>5.0000000000000001E-3</v>
      </c>
      <c r="J35">
        <f t="shared" si="4"/>
        <v>-0.12</v>
      </c>
      <c r="P35">
        <v>6100</v>
      </c>
    </row>
    <row r="36" spans="1:16" x14ac:dyDescent="0.25">
      <c r="A36" t="s">
        <v>20</v>
      </c>
      <c r="B36" t="s">
        <v>39</v>
      </c>
      <c r="C36" s="9"/>
      <c r="D36" s="9"/>
      <c r="E36" s="9">
        <v>26520</v>
      </c>
      <c r="F36" s="9"/>
      <c r="G36" s="9">
        <f t="shared" si="0"/>
        <v>26520</v>
      </c>
      <c r="H36">
        <f t="shared" si="1"/>
        <v>7.24</v>
      </c>
      <c r="I36" s="10">
        <f t="shared" si="2"/>
        <v>2.4E-2</v>
      </c>
      <c r="J36">
        <f t="shared" si="4"/>
        <v>-7.0000000000000007E-2</v>
      </c>
      <c r="P36">
        <v>28570</v>
      </c>
    </row>
    <row r="37" spans="1:16" x14ac:dyDescent="0.25">
      <c r="A37" t="s">
        <v>20</v>
      </c>
      <c r="B37" t="s">
        <v>40</v>
      </c>
      <c r="C37" s="9"/>
      <c r="D37" s="9"/>
      <c r="E37" s="9">
        <v>44000</v>
      </c>
      <c r="F37" s="9"/>
      <c r="G37" s="9">
        <f t="shared" si="0"/>
        <v>44000</v>
      </c>
      <c r="H37">
        <f t="shared" si="1"/>
        <v>12.02</v>
      </c>
      <c r="I37" s="10">
        <f t="shared" si="2"/>
        <v>3.9E-2</v>
      </c>
      <c r="J37">
        <f t="shared" si="4"/>
        <v>0.41</v>
      </c>
      <c r="P37">
        <v>31200</v>
      </c>
    </row>
    <row r="38" spans="1:16" x14ac:dyDescent="0.25">
      <c r="A38" t="s">
        <v>20</v>
      </c>
      <c r="B38" t="s">
        <v>23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J38">
        <f t="shared" si="4"/>
        <v>-1</v>
      </c>
      <c r="P38">
        <v>350</v>
      </c>
    </row>
    <row r="39" spans="1:16" x14ac:dyDescent="0.25">
      <c r="A39" t="s">
        <v>20</v>
      </c>
      <c r="B39" t="s">
        <v>168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20</v>
      </c>
      <c r="B40" t="s">
        <v>81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20</v>
      </c>
      <c r="B41" t="s">
        <v>115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A42" t="s">
        <v>44</v>
      </c>
      <c r="B42" t="s">
        <v>45</v>
      </c>
      <c r="C42" s="9">
        <v>171460</v>
      </c>
      <c r="D42" s="9"/>
      <c r="E42" s="9"/>
      <c r="F42" s="9"/>
      <c r="G42" s="9">
        <f t="shared" si="0"/>
        <v>171460</v>
      </c>
      <c r="H42">
        <f t="shared" si="1"/>
        <v>46.82</v>
      </c>
      <c r="I42" s="10">
        <f t="shared" si="2"/>
        <v>0.152</v>
      </c>
      <c r="J42">
        <f>ROUND(G42/P42-1,2)</f>
        <v>0.03</v>
      </c>
      <c r="P42">
        <v>166620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46770</v>
      </c>
      <c r="G43" s="9">
        <f t="shared" si="0"/>
        <v>46770</v>
      </c>
      <c r="H43">
        <f t="shared" si="1"/>
        <v>12.77</v>
      </c>
      <c r="I43" s="10">
        <f t="shared" si="2"/>
        <v>4.2000000000000003E-2</v>
      </c>
      <c r="J43">
        <f>ROUND(G43/P43-1,2)</f>
        <v>0.99</v>
      </c>
      <c r="P43">
        <v>23515</v>
      </c>
    </row>
    <row r="44" spans="1:16" x14ac:dyDescent="0.25">
      <c r="A44" t="s">
        <v>44</v>
      </c>
      <c r="B44" t="s">
        <v>46</v>
      </c>
      <c r="C44" s="9"/>
      <c r="D44" s="9"/>
      <c r="E44" s="9">
        <v>71180</v>
      </c>
      <c r="F44" s="9"/>
      <c r="G44" s="9">
        <f t="shared" si="0"/>
        <v>71180</v>
      </c>
      <c r="H44">
        <f t="shared" si="1"/>
        <v>19.440000000000001</v>
      </c>
      <c r="I44" s="10">
        <f t="shared" si="2"/>
        <v>6.3E-2</v>
      </c>
      <c r="J44">
        <f>ROUND(G44/P44-1,2)</f>
        <v>0.11</v>
      </c>
      <c r="P44">
        <v>64350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SUM(C8:C44)</f>
        <v>770660</v>
      </c>
      <c r="D49" s="12">
        <f t="shared" si="5"/>
        <v>396</v>
      </c>
      <c r="E49" s="12">
        <f t="shared" si="5"/>
        <v>306577</v>
      </c>
      <c r="F49" s="12">
        <f t="shared" si="5"/>
        <v>48410</v>
      </c>
      <c r="G49" s="12">
        <f t="shared" si="5"/>
        <v>1126043</v>
      </c>
      <c r="H49" s="11">
        <f t="shared" si="5"/>
        <v>307.49</v>
      </c>
      <c r="I49" s="4"/>
    </row>
    <row r="50" spans="1:10" x14ac:dyDescent="0.25">
      <c r="A50" s="11" t="s">
        <v>14</v>
      </c>
      <c r="C50" s="13">
        <f>ROUND(C49/G49,2)</f>
        <v>0.68</v>
      </c>
      <c r="D50" s="13">
        <f>ROUND(D49/G49,2)</f>
        <v>0</v>
      </c>
      <c r="E50" s="13">
        <f>ROUND(E49/G49,2)</f>
        <v>0.27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599200</v>
      </c>
      <c r="D54" s="15">
        <v>396</v>
      </c>
      <c r="E54" s="15">
        <v>235397</v>
      </c>
      <c r="F54" s="15">
        <v>1135</v>
      </c>
      <c r="G54" s="15">
        <f>SUM(C54:F54)</f>
        <v>836128</v>
      </c>
      <c r="H54" s="17">
        <f>ROUND(G54/3662,2)</f>
        <v>228.33</v>
      </c>
      <c r="I54" s="4"/>
      <c r="J54" s="4"/>
    </row>
    <row r="55" spans="1:10" x14ac:dyDescent="0.25">
      <c r="A55" s="33" t="s">
        <v>50</v>
      </c>
      <c r="B55" s="33"/>
      <c r="C55" s="15">
        <v>171460</v>
      </c>
      <c r="D55" s="15">
        <v>0</v>
      </c>
      <c r="E55" s="15">
        <v>71180</v>
      </c>
      <c r="F55" s="15">
        <v>46770</v>
      </c>
      <c r="G55" s="15">
        <f>SUM(C55:F55)</f>
        <v>289410</v>
      </c>
      <c r="H55" s="17">
        <f>ROUND(G55/3662,2)</f>
        <v>79.03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505</v>
      </c>
      <c r="G56" s="15">
        <f>SUM(C56:F56)</f>
        <v>505</v>
      </c>
      <c r="H56" s="17">
        <f>ROUND(G56/3662,2)</f>
        <v>0.14000000000000001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ROUND(0.8281, 4)</f>
        <v>0.82809999999999995</v>
      </c>
      <c r="D60" s="18">
        <f>ROUND(0.8334, 4)</f>
        <v>0.83340000000000003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ROUND(0.8133, 4)</f>
        <v>0.81330000000000002</v>
      </c>
      <c r="D61" s="18">
        <f>ROUND(0.8184, 4)</f>
        <v>0.81840000000000002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235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46.82</v>
      </c>
      <c r="D64" s="16">
        <v>71.930000000000007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47.31</v>
      </c>
      <c r="D65" s="16">
        <v>47.9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228.33</v>
      </c>
      <c r="D66" s="16">
        <v>242.4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79.03</v>
      </c>
      <c r="D67" s="16">
        <v>98.91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P79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236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875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27240</v>
      </c>
      <c r="D9" s="9"/>
      <c r="E9" s="9">
        <v>391.18</v>
      </c>
      <c r="F9" s="9"/>
      <c r="G9" s="9">
        <f t="shared" ref="G9:G32" si="0">SUM(C9:F9)</f>
        <v>27631.18</v>
      </c>
      <c r="H9">
        <f t="shared" ref="H9:H32" si="1">ROUND(G9/875,2)</f>
        <v>31.58</v>
      </c>
      <c r="I9" s="10">
        <f t="shared" ref="I9:I32" si="2">ROUND(G9/$G$49,3)</f>
        <v>0.114</v>
      </c>
      <c r="J9">
        <f t="shared" ref="J9:J25" si="3">ROUND(G9/P9-1,2)</f>
        <v>0.22</v>
      </c>
      <c r="P9">
        <v>22732.94</v>
      </c>
    </row>
    <row r="10" spans="1:16" x14ac:dyDescent="0.25">
      <c r="A10" t="s">
        <v>20</v>
      </c>
      <c r="B10" t="s">
        <v>22</v>
      </c>
      <c r="C10" s="9">
        <v>38020</v>
      </c>
      <c r="D10" s="9"/>
      <c r="E10" s="9"/>
      <c r="F10" s="9"/>
      <c r="G10" s="9">
        <f t="shared" si="0"/>
        <v>38020</v>
      </c>
      <c r="H10">
        <f t="shared" si="1"/>
        <v>43.45</v>
      </c>
      <c r="I10" s="10">
        <f t="shared" si="2"/>
        <v>0.157</v>
      </c>
      <c r="J10">
        <f t="shared" si="3"/>
        <v>0.04</v>
      </c>
      <c r="P10">
        <v>36715</v>
      </c>
    </row>
    <row r="11" spans="1:16" x14ac:dyDescent="0.25">
      <c r="A11" t="s">
        <v>20</v>
      </c>
      <c r="B11" t="s">
        <v>24</v>
      </c>
      <c r="C11" s="9"/>
      <c r="D11" s="9"/>
      <c r="E11" s="9">
        <v>6192.14</v>
      </c>
      <c r="F11" s="9"/>
      <c r="G11" s="9">
        <f t="shared" si="0"/>
        <v>6192.14</v>
      </c>
      <c r="H11">
        <f t="shared" si="1"/>
        <v>7.08</v>
      </c>
      <c r="I11" s="10">
        <f t="shared" si="2"/>
        <v>2.5999999999999999E-2</v>
      </c>
      <c r="J11">
        <f t="shared" si="3"/>
        <v>-0.53</v>
      </c>
      <c r="P11">
        <v>13205.42</v>
      </c>
    </row>
    <row r="12" spans="1:16" x14ac:dyDescent="0.25">
      <c r="A12" t="s">
        <v>20</v>
      </c>
      <c r="B12" t="s">
        <v>25</v>
      </c>
      <c r="C12" s="9">
        <v>31560</v>
      </c>
      <c r="D12" s="9"/>
      <c r="E12" s="9">
        <v>1017.15</v>
      </c>
      <c r="F12" s="9"/>
      <c r="G12" s="9">
        <f t="shared" si="0"/>
        <v>32577.15</v>
      </c>
      <c r="H12">
        <f t="shared" si="1"/>
        <v>37.229999999999997</v>
      </c>
      <c r="I12" s="10">
        <f t="shared" si="2"/>
        <v>0.13500000000000001</v>
      </c>
      <c r="J12">
        <f t="shared" si="3"/>
        <v>0.01</v>
      </c>
      <c r="P12">
        <v>32116.76</v>
      </c>
    </row>
    <row r="13" spans="1:16" x14ac:dyDescent="0.25">
      <c r="A13" t="s">
        <v>20</v>
      </c>
      <c r="B13" t="s">
        <v>26</v>
      </c>
      <c r="C13" s="9">
        <v>34290</v>
      </c>
      <c r="D13" s="9"/>
      <c r="E13" s="9"/>
      <c r="F13" s="9"/>
      <c r="G13" s="9">
        <f t="shared" si="0"/>
        <v>34290</v>
      </c>
      <c r="H13">
        <f t="shared" si="1"/>
        <v>39.19</v>
      </c>
      <c r="I13" s="10">
        <f t="shared" si="2"/>
        <v>0.14199999999999999</v>
      </c>
      <c r="J13">
        <f t="shared" si="3"/>
        <v>-0.17</v>
      </c>
      <c r="P13">
        <v>41170</v>
      </c>
    </row>
    <row r="14" spans="1:16" x14ac:dyDescent="0.25">
      <c r="A14" t="s">
        <v>20</v>
      </c>
      <c r="B14" t="s">
        <v>30</v>
      </c>
      <c r="C14" s="9"/>
      <c r="D14" s="9"/>
      <c r="E14" s="9">
        <v>1053.75</v>
      </c>
      <c r="F14" s="9"/>
      <c r="G14" s="9">
        <f t="shared" si="0"/>
        <v>1053.75</v>
      </c>
      <c r="H14">
        <f t="shared" si="1"/>
        <v>1.2</v>
      </c>
      <c r="I14" s="10">
        <f t="shared" si="2"/>
        <v>4.0000000000000001E-3</v>
      </c>
      <c r="J14">
        <f t="shared" si="3"/>
        <v>-0.41</v>
      </c>
      <c r="P14">
        <v>1780.21</v>
      </c>
    </row>
    <row r="15" spans="1:16" x14ac:dyDescent="0.25">
      <c r="A15" t="s">
        <v>20</v>
      </c>
      <c r="B15" t="s">
        <v>31</v>
      </c>
      <c r="C15" s="9"/>
      <c r="D15" s="9"/>
      <c r="E15" s="9">
        <v>104.12</v>
      </c>
      <c r="F15" s="9"/>
      <c r="G15" s="9">
        <f t="shared" si="0"/>
        <v>104.12</v>
      </c>
      <c r="H15">
        <f t="shared" si="1"/>
        <v>0.12</v>
      </c>
      <c r="I15" s="10">
        <f t="shared" si="2"/>
        <v>0</v>
      </c>
      <c r="J15">
        <f t="shared" si="3"/>
        <v>-0.39</v>
      </c>
      <c r="P15">
        <v>170.43</v>
      </c>
    </row>
    <row r="16" spans="1:16" x14ac:dyDescent="0.25">
      <c r="A16" t="s">
        <v>20</v>
      </c>
      <c r="B16" t="s">
        <v>32</v>
      </c>
      <c r="C16" s="9"/>
      <c r="D16" s="9"/>
      <c r="E16" s="9">
        <v>30</v>
      </c>
      <c r="F16" s="9"/>
      <c r="G16" s="9">
        <f t="shared" si="0"/>
        <v>30</v>
      </c>
      <c r="H16">
        <f t="shared" si="1"/>
        <v>0.03</v>
      </c>
      <c r="I16" s="10">
        <f t="shared" si="2"/>
        <v>0</v>
      </c>
      <c r="J16">
        <f t="shared" si="3"/>
        <v>-0.9</v>
      </c>
      <c r="P16">
        <v>312.20999999999998</v>
      </c>
    </row>
    <row r="17" spans="1:16" x14ac:dyDescent="0.25">
      <c r="A17" t="s">
        <v>20</v>
      </c>
      <c r="B17" t="s">
        <v>35</v>
      </c>
      <c r="C17" s="9"/>
      <c r="D17" s="9"/>
      <c r="E17" s="9">
        <v>328.12</v>
      </c>
      <c r="F17" s="9"/>
      <c r="G17" s="9">
        <f t="shared" si="0"/>
        <v>328.12</v>
      </c>
      <c r="H17">
        <f t="shared" si="1"/>
        <v>0.37</v>
      </c>
      <c r="I17" s="10">
        <f t="shared" si="2"/>
        <v>1E-3</v>
      </c>
      <c r="J17">
        <f t="shared" si="3"/>
        <v>-0.79</v>
      </c>
      <c r="P17">
        <v>1563.92</v>
      </c>
    </row>
    <row r="18" spans="1:16" x14ac:dyDescent="0.25">
      <c r="A18" t="s">
        <v>20</v>
      </c>
      <c r="B18" t="s">
        <v>36</v>
      </c>
      <c r="C18" s="9"/>
      <c r="D18" s="9"/>
      <c r="E18" s="9">
        <v>220.47</v>
      </c>
      <c r="F18" s="9"/>
      <c r="G18" s="9">
        <f t="shared" si="0"/>
        <v>220.47</v>
      </c>
      <c r="H18">
        <f t="shared" si="1"/>
        <v>0.25</v>
      </c>
      <c r="I18" s="10">
        <f t="shared" si="2"/>
        <v>1E-3</v>
      </c>
      <c r="J18">
        <f t="shared" si="3"/>
        <v>-0.91</v>
      </c>
      <c r="P18">
        <v>2414.25</v>
      </c>
    </row>
    <row r="19" spans="1:16" x14ac:dyDescent="0.25">
      <c r="A19" t="s">
        <v>20</v>
      </c>
      <c r="B19" t="s">
        <v>37</v>
      </c>
      <c r="C19" s="9"/>
      <c r="D19" s="9"/>
      <c r="E19" s="9">
        <v>8212.3700000000008</v>
      </c>
      <c r="F19" s="9"/>
      <c r="G19" s="9">
        <f t="shared" si="0"/>
        <v>8212.3700000000008</v>
      </c>
      <c r="H19">
        <f t="shared" si="1"/>
        <v>9.39</v>
      </c>
      <c r="I19" s="10">
        <f t="shared" si="2"/>
        <v>3.4000000000000002E-2</v>
      </c>
      <c r="J19">
        <f t="shared" si="3"/>
        <v>-0.35</v>
      </c>
      <c r="P19">
        <v>12665.82</v>
      </c>
    </row>
    <row r="20" spans="1:16" x14ac:dyDescent="0.25">
      <c r="A20" t="s">
        <v>20</v>
      </c>
      <c r="B20" t="s">
        <v>39</v>
      </c>
      <c r="C20" s="9"/>
      <c r="D20" s="9"/>
      <c r="E20" s="9">
        <v>3584.75</v>
      </c>
      <c r="F20" s="9"/>
      <c r="G20" s="9">
        <f t="shared" si="0"/>
        <v>3584.75</v>
      </c>
      <c r="H20">
        <f t="shared" si="1"/>
        <v>4.0999999999999996</v>
      </c>
      <c r="I20" s="10">
        <f t="shared" si="2"/>
        <v>1.4999999999999999E-2</v>
      </c>
      <c r="J20">
        <f t="shared" si="3"/>
        <v>-0.56999999999999995</v>
      </c>
      <c r="P20">
        <v>8384.59</v>
      </c>
    </row>
    <row r="21" spans="1:16" x14ac:dyDescent="0.25">
      <c r="A21" t="s">
        <v>20</v>
      </c>
      <c r="B21" t="s">
        <v>40</v>
      </c>
      <c r="C21" s="9"/>
      <c r="D21" s="9"/>
      <c r="E21" s="9">
        <v>704.07</v>
      </c>
      <c r="F21" s="9"/>
      <c r="G21" s="9">
        <f t="shared" si="0"/>
        <v>704.07</v>
      </c>
      <c r="H21">
        <f t="shared" si="1"/>
        <v>0.8</v>
      </c>
      <c r="I21" s="10">
        <f t="shared" si="2"/>
        <v>3.0000000000000001E-3</v>
      </c>
      <c r="J21">
        <f t="shared" si="3"/>
        <v>-0.47</v>
      </c>
      <c r="P21">
        <v>1320.85</v>
      </c>
    </row>
    <row r="22" spans="1:16" x14ac:dyDescent="0.25">
      <c r="A22" t="s">
        <v>20</v>
      </c>
      <c r="B22" t="s">
        <v>42</v>
      </c>
      <c r="C22" s="9"/>
      <c r="D22" s="9"/>
      <c r="E22" s="9"/>
      <c r="F22" s="9"/>
      <c r="G22" s="9">
        <f t="shared" si="0"/>
        <v>0</v>
      </c>
      <c r="H22">
        <f t="shared" si="1"/>
        <v>0</v>
      </c>
      <c r="I22" s="10">
        <f t="shared" si="2"/>
        <v>0</v>
      </c>
      <c r="J22">
        <f t="shared" si="3"/>
        <v>-1</v>
      </c>
      <c r="P22">
        <v>126.67</v>
      </c>
    </row>
    <row r="23" spans="1:16" x14ac:dyDescent="0.25">
      <c r="A23" t="s">
        <v>20</v>
      </c>
      <c r="B23" t="s">
        <v>29</v>
      </c>
      <c r="C23" s="9"/>
      <c r="D23" s="9"/>
      <c r="E23" s="9"/>
      <c r="F23" s="9"/>
      <c r="G23" s="9">
        <f t="shared" si="0"/>
        <v>0</v>
      </c>
      <c r="H23">
        <f t="shared" si="1"/>
        <v>0</v>
      </c>
      <c r="I23" s="10">
        <f t="shared" si="2"/>
        <v>0</v>
      </c>
      <c r="J23">
        <f t="shared" si="3"/>
        <v>-1</v>
      </c>
      <c r="P23">
        <v>71.430000000000007</v>
      </c>
    </row>
    <row r="24" spans="1:16" x14ac:dyDescent="0.25">
      <c r="A24" t="s">
        <v>20</v>
      </c>
      <c r="B24" t="s">
        <v>33</v>
      </c>
      <c r="C24" s="9"/>
      <c r="D24" s="9"/>
      <c r="E24" s="9"/>
      <c r="F24" s="9"/>
      <c r="G24" s="9">
        <f t="shared" si="0"/>
        <v>0</v>
      </c>
      <c r="H24">
        <f t="shared" si="1"/>
        <v>0</v>
      </c>
      <c r="I24" s="10">
        <f t="shared" si="2"/>
        <v>0</v>
      </c>
      <c r="J24">
        <f t="shared" si="3"/>
        <v>-1</v>
      </c>
      <c r="P24">
        <v>248.89</v>
      </c>
    </row>
    <row r="25" spans="1:16" x14ac:dyDescent="0.25">
      <c r="A25" t="s">
        <v>20</v>
      </c>
      <c r="B25" t="s">
        <v>34</v>
      </c>
      <c r="C25" s="9"/>
      <c r="D25" s="9"/>
      <c r="E25" s="9"/>
      <c r="F25" s="9"/>
      <c r="G25" s="9">
        <f t="shared" si="0"/>
        <v>0</v>
      </c>
      <c r="H25">
        <f t="shared" si="1"/>
        <v>0</v>
      </c>
      <c r="I25" s="10">
        <f t="shared" si="2"/>
        <v>0</v>
      </c>
      <c r="J25">
        <f t="shared" si="3"/>
        <v>-1</v>
      </c>
      <c r="P25">
        <v>450.5</v>
      </c>
    </row>
    <row r="26" spans="1:16" x14ac:dyDescent="0.25">
      <c r="A26" t="s">
        <v>20</v>
      </c>
      <c r="B26" t="s">
        <v>23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P26">
        <v>0</v>
      </c>
    </row>
    <row r="27" spans="1:16" x14ac:dyDescent="0.25">
      <c r="A27" t="s">
        <v>20</v>
      </c>
      <c r="B27" t="s">
        <v>43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84110</v>
      </c>
      <c r="D29" s="9"/>
      <c r="E29" s="9"/>
      <c r="F29" s="9">
        <v>200</v>
      </c>
      <c r="G29" s="9">
        <f t="shared" si="0"/>
        <v>84310</v>
      </c>
      <c r="H29">
        <f t="shared" si="1"/>
        <v>96.35</v>
      </c>
      <c r="I29" s="10">
        <f t="shared" si="2"/>
        <v>0.34799999999999998</v>
      </c>
      <c r="J29">
        <f>ROUND(G29/P29-1,2)</f>
        <v>0.13</v>
      </c>
      <c r="P29">
        <v>74760</v>
      </c>
    </row>
    <row r="30" spans="1:16" x14ac:dyDescent="0.25">
      <c r="A30" t="s">
        <v>44</v>
      </c>
      <c r="B30" t="s">
        <v>46</v>
      </c>
      <c r="C30" s="9"/>
      <c r="D30" s="9"/>
      <c r="E30" s="9">
        <v>4719.5200000000004</v>
      </c>
      <c r="F30" s="9"/>
      <c r="G30" s="9">
        <f t="shared" si="0"/>
        <v>4719.5200000000004</v>
      </c>
      <c r="H30">
        <f t="shared" si="1"/>
        <v>5.39</v>
      </c>
      <c r="I30" s="10">
        <f t="shared" si="2"/>
        <v>0.02</v>
      </c>
      <c r="J30">
        <f>ROUND(G30/P30-1,2)</f>
        <v>-0.54</v>
      </c>
      <c r="P30">
        <v>10355.200000000001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215220</v>
      </c>
      <c r="D49" s="12">
        <f t="shared" si="4"/>
        <v>0</v>
      </c>
      <c r="E49" s="12">
        <f t="shared" si="4"/>
        <v>26557.640000000003</v>
      </c>
      <c r="F49" s="12">
        <f t="shared" si="4"/>
        <v>200</v>
      </c>
      <c r="G49" s="12">
        <f t="shared" si="4"/>
        <v>241977.63999999998</v>
      </c>
      <c r="H49" s="11">
        <f t="shared" si="4"/>
        <v>276.52999999999997</v>
      </c>
      <c r="I49" s="4"/>
    </row>
    <row r="50" spans="1:10" x14ac:dyDescent="0.25">
      <c r="A50" s="11" t="s">
        <v>14</v>
      </c>
      <c r="C50" s="13">
        <f>ROUND(C49/G49,2)</f>
        <v>0.89</v>
      </c>
      <c r="D50" s="13">
        <f>ROUND(D49/G49,2)</f>
        <v>0</v>
      </c>
      <c r="E50" s="13">
        <f>ROUND(E49/G49,2)</f>
        <v>0.11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131110</v>
      </c>
      <c r="D54" s="15">
        <v>0</v>
      </c>
      <c r="E54" s="15">
        <v>21838.12</v>
      </c>
      <c r="F54" s="15">
        <v>0</v>
      </c>
      <c r="G54" s="15">
        <f>SUM(C54:F54)</f>
        <v>152948.12</v>
      </c>
      <c r="H54" s="17">
        <f>ROUND(G54/875,2)</f>
        <v>174.8</v>
      </c>
      <c r="I54" s="4"/>
      <c r="J54" s="4"/>
    </row>
    <row r="55" spans="1:10" x14ac:dyDescent="0.25">
      <c r="A55" s="33" t="s">
        <v>50</v>
      </c>
      <c r="B55" s="33"/>
      <c r="C55" s="15">
        <v>84110</v>
      </c>
      <c r="D55" s="15">
        <v>0</v>
      </c>
      <c r="E55" s="15">
        <v>4719.5200000000004</v>
      </c>
      <c r="F55" s="15">
        <v>200</v>
      </c>
      <c r="G55" s="15">
        <f>SUM(C55:F55)</f>
        <v>89029.52</v>
      </c>
      <c r="H55" s="17">
        <f>ROUND(G55/875,2)</f>
        <v>101.75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ROUND(G56/875,2)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ROUND(0.6403, 4)</f>
        <v>0.64029999999999998</v>
      </c>
      <c r="D60" s="19">
        <f>ROUND(0.6933, 4)</f>
        <v>0.69330000000000003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ROUND(0.5967, 4)</f>
        <v>0.59670000000000001</v>
      </c>
      <c r="D61" s="19">
        <f>ROUND(0.6591, 4)</f>
        <v>0.65910000000000002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237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96.35</v>
      </c>
      <c r="D64" s="17">
        <v>88.73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39.19</v>
      </c>
      <c r="D65" s="17">
        <v>47.47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174.8</v>
      </c>
      <c r="D66" s="17">
        <v>205.58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101.75</v>
      </c>
      <c r="D67" s="17">
        <v>105.29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68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84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2355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35</v>
      </c>
      <c r="F9" s="9"/>
      <c r="G9" s="9">
        <f t="shared" ref="G9:G40" si="0">SUM(C9:F9)</f>
        <v>35</v>
      </c>
      <c r="H9">
        <f t="shared" ref="H9:H40" si="1">ROUND(G9/2355,2)</f>
        <v>0.01</v>
      </c>
      <c r="I9" s="10">
        <f t="shared" ref="I9:I40" si="2">ROUND(G9/$G$49,3)</f>
        <v>0</v>
      </c>
      <c r="J9">
        <f t="shared" ref="J9:J14" si="3">ROUND(G9/P9-1,2)</f>
        <v>0.03</v>
      </c>
      <c r="P9">
        <v>34</v>
      </c>
    </row>
    <row r="10" spans="1:16" x14ac:dyDescent="0.25">
      <c r="A10" t="s">
        <v>20</v>
      </c>
      <c r="B10" t="s">
        <v>21</v>
      </c>
      <c r="C10" s="9">
        <v>84900</v>
      </c>
      <c r="D10" s="9"/>
      <c r="E10" s="9"/>
      <c r="F10" s="9">
        <v>620</v>
      </c>
      <c r="G10" s="9">
        <f t="shared" si="0"/>
        <v>85520</v>
      </c>
      <c r="H10">
        <f t="shared" si="1"/>
        <v>36.31</v>
      </c>
      <c r="I10" s="10">
        <f t="shared" si="2"/>
        <v>9.4E-2</v>
      </c>
      <c r="J10">
        <f t="shared" si="3"/>
        <v>0.15</v>
      </c>
      <c r="P10">
        <v>74080</v>
      </c>
    </row>
    <row r="11" spans="1:16" x14ac:dyDescent="0.25">
      <c r="A11" t="s">
        <v>20</v>
      </c>
      <c r="B11" t="s">
        <v>22</v>
      </c>
      <c r="C11" s="9">
        <v>101940</v>
      </c>
      <c r="D11" s="9"/>
      <c r="E11" s="9"/>
      <c r="F11" s="9"/>
      <c r="G11" s="9">
        <f t="shared" si="0"/>
        <v>101940</v>
      </c>
      <c r="H11">
        <f t="shared" si="1"/>
        <v>43.29</v>
      </c>
      <c r="I11" s="10">
        <f t="shared" si="2"/>
        <v>0.112</v>
      </c>
      <c r="J11">
        <f t="shared" si="3"/>
        <v>-0.09</v>
      </c>
      <c r="P11">
        <v>112400</v>
      </c>
    </row>
    <row r="12" spans="1:16" x14ac:dyDescent="0.25">
      <c r="A12" t="s">
        <v>20</v>
      </c>
      <c r="B12" t="s">
        <v>79</v>
      </c>
      <c r="C12" s="9"/>
      <c r="D12" s="9"/>
      <c r="E12" s="9">
        <v>76</v>
      </c>
      <c r="F12" s="9"/>
      <c r="G12" s="9">
        <f t="shared" si="0"/>
        <v>76</v>
      </c>
      <c r="H12">
        <f t="shared" si="1"/>
        <v>0.03</v>
      </c>
      <c r="I12" s="10">
        <f t="shared" si="2"/>
        <v>0</v>
      </c>
      <c r="J12">
        <f t="shared" si="3"/>
        <v>-0.39</v>
      </c>
      <c r="P12">
        <v>124</v>
      </c>
    </row>
    <row r="13" spans="1:16" x14ac:dyDescent="0.25">
      <c r="A13" t="s">
        <v>20</v>
      </c>
      <c r="B13" t="s">
        <v>42</v>
      </c>
      <c r="C13" s="9"/>
      <c r="D13" s="9"/>
      <c r="E13" s="9">
        <v>277</v>
      </c>
      <c r="F13" s="9"/>
      <c r="G13" s="9">
        <f t="shared" si="0"/>
        <v>277</v>
      </c>
      <c r="H13">
        <f t="shared" si="1"/>
        <v>0.12</v>
      </c>
      <c r="I13" s="10">
        <f t="shared" si="2"/>
        <v>0</v>
      </c>
      <c r="J13">
        <f t="shared" si="3"/>
        <v>0.8</v>
      </c>
      <c r="P13">
        <v>154</v>
      </c>
    </row>
    <row r="14" spans="1:16" x14ac:dyDescent="0.25">
      <c r="A14" t="s">
        <v>20</v>
      </c>
      <c r="B14" t="s">
        <v>23</v>
      </c>
      <c r="C14" s="9"/>
      <c r="D14" s="9"/>
      <c r="E14" s="9">
        <v>1600</v>
      </c>
      <c r="F14" s="9"/>
      <c r="G14" s="9">
        <f t="shared" si="0"/>
        <v>1600</v>
      </c>
      <c r="H14">
        <f t="shared" si="1"/>
        <v>0.68</v>
      </c>
      <c r="I14" s="10">
        <f t="shared" si="2"/>
        <v>2E-3</v>
      </c>
      <c r="J14">
        <f t="shared" si="3"/>
        <v>-0.13</v>
      </c>
      <c r="P14">
        <v>1840</v>
      </c>
    </row>
    <row r="15" spans="1:16" x14ac:dyDescent="0.25">
      <c r="A15" t="s">
        <v>20</v>
      </c>
      <c r="B15" t="s">
        <v>80</v>
      </c>
      <c r="C15" s="9"/>
      <c r="D15" s="9"/>
      <c r="E15" s="9"/>
      <c r="F15" s="9">
        <v>160</v>
      </c>
      <c r="G15" s="9">
        <f t="shared" si="0"/>
        <v>160</v>
      </c>
      <c r="H15">
        <f t="shared" si="1"/>
        <v>7.0000000000000007E-2</v>
      </c>
      <c r="I15" s="10">
        <f t="shared" si="2"/>
        <v>0</v>
      </c>
      <c r="P15">
        <v>0</v>
      </c>
    </row>
    <row r="16" spans="1:16" x14ac:dyDescent="0.25">
      <c r="A16" t="s">
        <v>20</v>
      </c>
      <c r="B16" t="s">
        <v>24</v>
      </c>
      <c r="C16" s="9"/>
      <c r="D16" s="9"/>
      <c r="E16" s="9">
        <v>48140</v>
      </c>
      <c r="F16" s="9"/>
      <c r="G16" s="9">
        <f t="shared" si="0"/>
        <v>48140</v>
      </c>
      <c r="H16">
        <f t="shared" si="1"/>
        <v>20.440000000000001</v>
      </c>
      <c r="I16" s="10">
        <f t="shared" si="2"/>
        <v>5.2999999999999999E-2</v>
      </c>
      <c r="J16">
        <f>ROUND(G16/P16-1,2)</f>
        <v>0.16</v>
      </c>
      <c r="P16">
        <v>41620</v>
      </c>
    </row>
    <row r="17" spans="1:16" x14ac:dyDescent="0.25">
      <c r="A17" t="s">
        <v>20</v>
      </c>
      <c r="B17" t="s">
        <v>25</v>
      </c>
      <c r="C17" s="9">
        <v>105090</v>
      </c>
      <c r="D17" s="9"/>
      <c r="E17" s="9">
        <v>10840</v>
      </c>
      <c r="F17" s="9">
        <v>850</v>
      </c>
      <c r="G17" s="9">
        <f t="shared" si="0"/>
        <v>116780</v>
      </c>
      <c r="H17">
        <f t="shared" si="1"/>
        <v>49.59</v>
      </c>
      <c r="I17" s="10">
        <f t="shared" si="2"/>
        <v>0.128</v>
      </c>
      <c r="J17">
        <f>ROUND(G17/P17-1,2)</f>
        <v>0.1</v>
      </c>
      <c r="P17">
        <v>106110</v>
      </c>
    </row>
    <row r="18" spans="1:16" x14ac:dyDescent="0.25">
      <c r="A18" t="s">
        <v>20</v>
      </c>
      <c r="B18" t="s">
        <v>69</v>
      </c>
      <c r="C18" s="9"/>
      <c r="D18" s="9"/>
      <c r="E18" s="9">
        <v>3180</v>
      </c>
      <c r="F18" s="9"/>
      <c r="G18" s="9">
        <f t="shared" si="0"/>
        <v>3180</v>
      </c>
      <c r="H18">
        <f t="shared" si="1"/>
        <v>1.35</v>
      </c>
      <c r="I18" s="10">
        <f t="shared" si="2"/>
        <v>3.0000000000000001E-3</v>
      </c>
      <c r="J18">
        <f>ROUND(G18/P18-1,2)</f>
        <v>-0.18</v>
      </c>
      <c r="P18">
        <v>3900</v>
      </c>
    </row>
    <row r="19" spans="1:16" x14ac:dyDescent="0.25">
      <c r="A19" t="s">
        <v>20</v>
      </c>
      <c r="B19" t="s">
        <v>26</v>
      </c>
      <c r="C19" s="9">
        <v>165990</v>
      </c>
      <c r="D19" s="9"/>
      <c r="E19" s="9"/>
      <c r="F19" s="9">
        <v>1350</v>
      </c>
      <c r="G19" s="9">
        <f t="shared" si="0"/>
        <v>167340</v>
      </c>
      <c r="H19">
        <f t="shared" si="1"/>
        <v>71.06</v>
      </c>
      <c r="I19" s="10">
        <f t="shared" si="2"/>
        <v>0.184</v>
      </c>
      <c r="J19">
        <f>ROUND(G19/P19-1,2)</f>
        <v>0.04</v>
      </c>
      <c r="P19">
        <v>160860</v>
      </c>
    </row>
    <row r="20" spans="1:16" x14ac:dyDescent="0.25">
      <c r="A20" t="s">
        <v>20</v>
      </c>
      <c r="B20" t="s">
        <v>27</v>
      </c>
      <c r="C20" s="9"/>
      <c r="D20" s="9"/>
      <c r="E20" s="9">
        <v>1156</v>
      </c>
      <c r="F20" s="9"/>
      <c r="G20" s="9">
        <f t="shared" si="0"/>
        <v>1156</v>
      </c>
      <c r="H20">
        <f t="shared" si="1"/>
        <v>0.49</v>
      </c>
      <c r="I20" s="10">
        <f t="shared" si="2"/>
        <v>1E-3</v>
      </c>
      <c r="P20">
        <v>0</v>
      </c>
    </row>
    <row r="21" spans="1:16" x14ac:dyDescent="0.25">
      <c r="A21" t="s">
        <v>20</v>
      </c>
      <c r="B21" t="s">
        <v>28</v>
      </c>
      <c r="C21" s="9"/>
      <c r="D21" s="9"/>
      <c r="E21" s="9">
        <v>438</v>
      </c>
      <c r="F21" s="9"/>
      <c r="G21" s="9">
        <f t="shared" si="0"/>
        <v>438</v>
      </c>
      <c r="H21">
        <f t="shared" si="1"/>
        <v>0.19</v>
      </c>
      <c r="I21" s="10">
        <f t="shared" si="2"/>
        <v>0</v>
      </c>
      <c r="P21">
        <v>0</v>
      </c>
    </row>
    <row r="22" spans="1:16" x14ac:dyDescent="0.25">
      <c r="A22" t="s">
        <v>20</v>
      </c>
      <c r="B22" t="s">
        <v>29</v>
      </c>
      <c r="C22" s="9"/>
      <c r="D22" s="9"/>
      <c r="E22" s="9">
        <v>239</v>
      </c>
      <c r="F22" s="9"/>
      <c r="G22" s="9">
        <f t="shared" si="0"/>
        <v>239</v>
      </c>
      <c r="H22">
        <f t="shared" si="1"/>
        <v>0.1</v>
      </c>
      <c r="I22" s="10">
        <f t="shared" si="2"/>
        <v>0</v>
      </c>
      <c r="P22">
        <v>0</v>
      </c>
    </row>
    <row r="23" spans="1:16" x14ac:dyDescent="0.25">
      <c r="A23" t="s">
        <v>20</v>
      </c>
      <c r="B23" t="s">
        <v>30</v>
      </c>
      <c r="C23" s="9"/>
      <c r="D23" s="9"/>
      <c r="E23" s="9">
        <v>3870</v>
      </c>
      <c r="F23" s="9"/>
      <c r="G23" s="9">
        <f t="shared" si="0"/>
        <v>3870</v>
      </c>
      <c r="H23">
        <f t="shared" si="1"/>
        <v>1.64</v>
      </c>
      <c r="I23" s="10">
        <f t="shared" si="2"/>
        <v>4.0000000000000001E-3</v>
      </c>
      <c r="J23">
        <f t="shared" ref="J23:J38" si="4">ROUND(G23/P23-1,2)</f>
        <v>-0.14000000000000001</v>
      </c>
      <c r="P23">
        <v>4520</v>
      </c>
    </row>
    <row r="24" spans="1:16" x14ac:dyDescent="0.25">
      <c r="A24" t="s">
        <v>20</v>
      </c>
      <c r="B24" t="s">
        <v>31</v>
      </c>
      <c r="C24" s="9"/>
      <c r="D24" s="9"/>
      <c r="E24" s="9">
        <v>960</v>
      </c>
      <c r="F24" s="9"/>
      <c r="G24" s="9">
        <f t="shared" si="0"/>
        <v>960</v>
      </c>
      <c r="H24">
        <f t="shared" si="1"/>
        <v>0.41</v>
      </c>
      <c r="I24" s="10">
        <f t="shared" si="2"/>
        <v>1E-3</v>
      </c>
      <c r="J24">
        <f t="shared" si="4"/>
        <v>-0.08</v>
      </c>
      <c r="P24">
        <v>1040</v>
      </c>
    </row>
    <row r="25" spans="1:16" x14ac:dyDescent="0.25">
      <c r="A25" t="s">
        <v>20</v>
      </c>
      <c r="B25" t="s">
        <v>33</v>
      </c>
      <c r="C25" s="9"/>
      <c r="D25" s="9"/>
      <c r="E25" s="9">
        <v>1860</v>
      </c>
      <c r="F25" s="9"/>
      <c r="G25" s="9">
        <f t="shared" si="0"/>
        <v>1860</v>
      </c>
      <c r="H25">
        <f t="shared" si="1"/>
        <v>0.79</v>
      </c>
      <c r="I25" s="10">
        <f t="shared" si="2"/>
        <v>2E-3</v>
      </c>
      <c r="J25">
        <f t="shared" si="4"/>
        <v>0.43</v>
      </c>
      <c r="P25">
        <v>1298</v>
      </c>
    </row>
    <row r="26" spans="1:16" x14ac:dyDescent="0.25">
      <c r="A26" t="s">
        <v>20</v>
      </c>
      <c r="B26" t="s">
        <v>43</v>
      </c>
      <c r="C26" s="9"/>
      <c r="D26" s="9">
        <v>359</v>
      </c>
      <c r="E26" s="9"/>
      <c r="F26" s="9"/>
      <c r="G26" s="9">
        <f t="shared" si="0"/>
        <v>359</v>
      </c>
      <c r="H26">
        <f t="shared" si="1"/>
        <v>0.15</v>
      </c>
      <c r="I26" s="10">
        <f t="shared" si="2"/>
        <v>0</v>
      </c>
      <c r="J26">
        <f t="shared" si="4"/>
        <v>0.49</v>
      </c>
      <c r="P26">
        <v>241</v>
      </c>
    </row>
    <row r="27" spans="1:16" x14ac:dyDescent="0.25">
      <c r="A27" t="s">
        <v>20</v>
      </c>
      <c r="B27" t="s">
        <v>70</v>
      </c>
      <c r="C27" s="9"/>
      <c r="D27" s="9"/>
      <c r="E27" s="9">
        <v>600</v>
      </c>
      <c r="F27" s="9"/>
      <c r="G27" s="9">
        <f t="shared" si="0"/>
        <v>600</v>
      </c>
      <c r="H27">
        <f t="shared" si="1"/>
        <v>0.25</v>
      </c>
      <c r="I27" s="10">
        <f t="shared" si="2"/>
        <v>1E-3</v>
      </c>
      <c r="J27">
        <f t="shared" si="4"/>
        <v>-0.55000000000000004</v>
      </c>
      <c r="P27">
        <v>1320</v>
      </c>
    </row>
    <row r="28" spans="1:16" x14ac:dyDescent="0.25">
      <c r="A28" t="s">
        <v>20</v>
      </c>
      <c r="B28" t="s">
        <v>34</v>
      </c>
      <c r="C28" s="9"/>
      <c r="D28" s="9"/>
      <c r="E28" s="9">
        <v>314</v>
      </c>
      <c r="F28" s="9"/>
      <c r="G28" s="9">
        <f t="shared" si="0"/>
        <v>314</v>
      </c>
      <c r="H28">
        <f t="shared" si="1"/>
        <v>0.13</v>
      </c>
      <c r="I28" s="10">
        <f t="shared" si="2"/>
        <v>0</v>
      </c>
      <c r="J28">
        <f t="shared" si="4"/>
        <v>0.38</v>
      </c>
      <c r="P28">
        <v>227</v>
      </c>
    </row>
    <row r="29" spans="1:16" x14ac:dyDescent="0.25">
      <c r="A29" t="s">
        <v>20</v>
      </c>
      <c r="B29" t="s">
        <v>35</v>
      </c>
      <c r="C29" s="9"/>
      <c r="D29" s="9"/>
      <c r="E29" s="9">
        <v>4490</v>
      </c>
      <c r="F29" s="9"/>
      <c r="G29" s="9">
        <f t="shared" si="0"/>
        <v>4490</v>
      </c>
      <c r="H29">
        <f t="shared" si="1"/>
        <v>1.91</v>
      </c>
      <c r="I29" s="10">
        <f t="shared" si="2"/>
        <v>5.0000000000000001E-3</v>
      </c>
      <c r="J29">
        <f t="shared" si="4"/>
        <v>0.61</v>
      </c>
      <c r="P29">
        <v>2785</v>
      </c>
    </row>
    <row r="30" spans="1:16" x14ac:dyDescent="0.25">
      <c r="A30" t="s">
        <v>20</v>
      </c>
      <c r="B30" t="s">
        <v>41</v>
      </c>
      <c r="C30" s="9"/>
      <c r="D30" s="9"/>
      <c r="E30" s="9">
        <v>7680</v>
      </c>
      <c r="F30" s="9"/>
      <c r="G30" s="9">
        <f t="shared" si="0"/>
        <v>7680</v>
      </c>
      <c r="H30">
        <f t="shared" si="1"/>
        <v>3.26</v>
      </c>
      <c r="I30" s="10">
        <f t="shared" si="2"/>
        <v>8.0000000000000002E-3</v>
      </c>
      <c r="J30">
        <f t="shared" si="4"/>
        <v>0.73</v>
      </c>
      <c r="P30">
        <v>4428</v>
      </c>
    </row>
    <row r="31" spans="1:16" x14ac:dyDescent="0.25">
      <c r="A31" t="s">
        <v>20</v>
      </c>
      <c r="B31" t="s">
        <v>36</v>
      </c>
      <c r="C31" s="9"/>
      <c r="D31" s="9"/>
      <c r="E31" s="9">
        <v>4450</v>
      </c>
      <c r="F31" s="9"/>
      <c r="G31" s="9">
        <f t="shared" si="0"/>
        <v>4450</v>
      </c>
      <c r="H31">
        <f t="shared" si="1"/>
        <v>1.89</v>
      </c>
      <c r="I31" s="10">
        <f t="shared" si="2"/>
        <v>5.0000000000000001E-3</v>
      </c>
      <c r="J31">
        <f t="shared" si="4"/>
        <v>-0.25</v>
      </c>
      <c r="P31">
        <v>5960</v>
      </c>
    </row>
    <row r="32" spans="1:16" x14ac:dyDescent="0.25">
      <c r="A32" t="s">
        <v>20</v>
      </c>
      <c r="B32" t="s">
        <v>37</v>
      </c>
      <c r="C32" s="9"/>
      <c r="D32" s="9"/>
      <c r="E32" s="9">
        <v>61310</v>
      </c>
      <c r="F32" s="9"/>
      <c r="G32" s="9">
        <f t="shared" si="0"/>
        <v>61310</v>
      </c>
      <c r="H32">
        <f t="shared" si="1"/>
        <v>26.03</v>
      </c>
      <c r="I32" s="10">
        <f t="shared" si="2"/>
        <v>6.7000000000000004E-2</v>
      </c>
      <c r="J32">
        <f t="shared" si="4"/>
        <v>0.05</v>
      </c>
      <c r="P32">
        <v>58520</v>
      </c>
    </row>
    <row r="33" spans="1:16" x14ac:dyDescent="0.25">
      <c r="A33" t="s">
        <v>20</v>
      </c>
      <c r="B33" t="s">
        <v>38</v>
      </c>
      <c r="C33" s="9"/>
      <c r="D33" s="9"/>
      <c r="E33" s="9">
        <v>6575</v>
      </c>
      <c r="F33" s="9"/>
      <c r="G33" s="9">
        <f t="shared" si="0"/>
        <v>6575</v>
      </c>
      <c r="H33">
        <f t="shared" si="1"/>
        <v>2.79</v>
      </c>
      <c r="I33" s="10">
        <f t="shared" si="2"/>
        <v>7.0000000000000001E-3</v>
      </c>
      <c r="J33">
        <f t="shared" si="4"/>
        <v>0.05</v>
      </c>
      <c r="P33">
        <v>6275</v>
      </c>
    </row>
    <row r="34" spans="1:16" x14ac:dyDescent="0.25">
      <c r="A34" t="s">
        <v>20</v>
      </c>
      <c r="B34" t="s">
        <v>39</v>
      </c>
      <c r="C34" s="9"/>
      <c r="D34" s="9"/>
      <c r="E34" s="9">
        <v>17340</v>
      </c>
      <c r="F34" s="9"/>
      <c r="G34" s="9">
        <f t="shared" si="0"/>
        <v>17340</v>
      </c>
      <c r="H34">
        <f t="shared" si="1"/>
        <v>7.36</v>
      </c>
      <c r="I34" s="10">
        <f t="shared" si="2"/>
        <v>1.9E-2</v>
      </c>
      <c r="J34">
        <f t="shared" si="4"/>
        <v>0.31</v>
      </c>
      <c r="P34">
        <v>13190</v>
      </c>
    </row>
    <row r="35" spans="1:16" x14ac:dyDescent="0.25">
      <c r="A35" t="s">
        <v>20</v>
      </c>
      <c r="B35" t="s">
        <v>40</v>
      </c>
      <c r="C35" s="9"/>
      <c r="D35" s="9"/>
      <c r="E35" s="9">
        <v>91490</v>
      </c>
      <c r="F35" s="9"/>
      <c r="G35" s="9">
        <f t="shared" si="0"/>
        <v>91490</v>
      </c>
      <c r="H35">
        <f t="shared" si="1"/>
        <v>38.85</v>
      </c>
      <c r="I35" s="10">
        <f t="shared" si="2"/>
        <v>0.10100000000000001</v>
      </c>
      <c r="J35">
        <f t="shared" si="4"/>
        <v>0.6</v>
      </c>
      <c r="P35">
        <v>57220</v>
      </c>
    </row>
    <row r="36" spans="1:16" x14ac:dyDescent="0.25">
      <c r="A36" t="s">
        <v>44</v>
      </c>
      <c r="B36" t="s">
        <v>45</v>
      </c>
      <c r="C36" s="9">
        <v>112710</v>
      </c>
      <c r="D36" s="9"/>
      <c r="E36" s="9"/>
      <c r="F36" s="9">
        <v>2070</v>
      </c>
      <c r="G36" s="9">
        <f t="shared" si="0"/>
        <v>114780</v>
      </c>
      <c r="H36">
        <f t="shared" si="1"/>
        <v>48.74</v>
      </c>
      <c r="I36" s="10">
        <f t="shared" si="2"/>
        <v>0.126</v>
      </c>
      <c r="J36">
        <f t="shared" si="4"/>
        <v>-0.45</v>
      </c>
      <c r="P36">
        <v>208650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>
        <v>19540</v>
      </c>
      <c r="G37" s="9">
        <f t="shared" si="0"/>
        <v>19540</v>
      </c>
      <c r="H37">
        <f t="shared" si="1"/>
        <v>8.3000000000000007</v>
      </c>
      <c r="I37" s="10">
        <f t="shared" si="2"/>
        <v>2.1000000000000001E-2</v>
      </c>
      <c r="J37">
        <f t="shared" si="4"/>
        <v>-0.33</v>
      </c>
      <c r="P37">
        <v>29280</v>
      </c>
    </row>
    <row r="38" spans="1:16" x14ac:dyDescent="0.25">
      <c r="A38" t="s">
        <v>44</v>
      </c>
      <c r="B38" t="s">
        <v>46</v>
      </c>
      <c r="C38" s="9"/>
      <c r="D38" s="9"/>
      <c r="E38" s="9">
        <v>46800</v>
      </c>
      <c r="F38" s="9"/>
      <c r="G38" s="9">
        <f t="shared" si="0"/>
        <v>46800</v>
      </c>
      <c r="H38">
        <f t="shared" si="1"/>
        <v>19.87</v>
      </c>
      <c r="I38" s="10">
        <f t="shared" si="2"/>
        <v>5.0999999999999997E-2</v>
      </c>
      <c r="J38">
        <f t="shared" si="4"/>
        <v>0.02</v>
      </c>
      <c r="P38">
        <v>46020</v>
      </c>
    </row>
    <row r="39" spans="1:16" x14ac:dyDescent="0.25">
      <c r="A39" t="s">
        <v>16</v>
      </c>
      <c r="B39" t="s">
        <v>19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16</v>
      </c>
      <c r="B40" t="s">
        <v>66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SUM(C8:C40)</f>
        <v>570630</v>
      </c>
      <c r="D49" s="12">
        <f t="shared" si="5"/>
        <v>359</v>
      </c>
      <c r="E49" s="12">
        <f t="shared" si="5"/>
        <v>313720</v>
      </c>
      <c r="F49" s="12">
        <f t="shared" si="5"/>
        <v>24590</v>
      </c>
      <c r="G49" s="12">
        <f t="shared" si="5"/>
        <v>909299</v>
      </c>
      <c r="H49" s="11">
        <f t="shared" si="5"/>
        <v>386.1</v>
      </c>
      <c r="I49" s="4"/>
    </row>
    <row r="50" spans="1:10" x14ac:dyDescent="0.25">
      <c r="A50" s="11" t="s">
        <v>14</v>
      </c>
      <c r="C50" s="13">
        <f>ROUND(C49/G49,2)</f>
        <v>0.63</v>
      </c>
      <c r="D50" s="13">
        <f>ROUND(D49/G49,2)</f>
        <v>0</v>
      </c>
      <c r="E50" s="13">
        <f>ROUND(E49/G49,2)</f>
        <v>0.35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457920</v>
      </c>
      <c r="D54" s="15">
        <v>359</v>
      </c>
      <c r="E54" s="15">
        <v>266920</v>
      </c>
      <c r="F54" s="15">
        <v>2980</v>
      </c>
      <c r="G54" s="15">
        <f>SUM(C54:F54)</f>
        <v>728179</v>
      </c>
      <c r="H54" s="17">
        <f>ROUND(G54/2355,2)</f>
        <v>309.20999999999998</v>
      </c>
      <c r="I54" s="4"/>
      <c r="J54" s="4"/>
    </row>
    <row r="55" spans="1:10" x14ac:dyDescent="0.25">
      <c r="A55" s="33" t="s">
        <v>50</v>
      </c>
      <c r="B55" s="33"/>
      <c r="C55" s="15">
        <v>112710</v>
      </c>
      <c r="D55" s="15">
        <v>0</v>
      </c>
      <c r="E55" s="15">
        <v>46800</v>
      </c>
      <c r="F55" s="15">
        <v>21610</v>
      </c>
      <c r="G55" s="15">
        <f>SUM(C55:F55)</f>
        <v>181120</v>
      </c>
      <c r="H55" s="17">
        <f>ROUND(G55/2355,2)</f>
        <v>76.91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ROUND(G56/2355,2)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ROUND(0.8574, 4)</f>
        <v>0.85740000000000005</v>
      </c>
      <c r="D60" s="19">
        <f>ROUND(0.7577, 4)</f>
        <v>0.75770000000000004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ROUND(0.8446, 4)</f>
        <v>0.84460000000000002</v>
      </c>
      <c r="D61" s="19">
        <f>ROUND(0.747, 4)</f>
        <v>0.747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85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48.74</v>
      </c>
      <c r="D64" s="17">
        <v>83.91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71.06</v>
      </c>
      <c r="D65" s="17">
        <v>67.290000000000006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309.20999999999998</v>
      </c>
      <c r="D66" s="17">
        <v>280.79000000000002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7">
        <v>76.91</v>
      </c>
      <c r="D67" s="17">
        <v>110.73</v>
      </c>
      <c r="E67" s="17">
        <v>115.16</v>
      </c>
      <c r="F67" s="17">
        <v>80.39</v>
      </c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1.7109375" hidden="1" customWidth="1"/>
  </cols>
  <sheetData>
    <row r="2" spans="1:16" ht="18.75" x14ac:dyDescent="0.3">
      <c r="A2" s="1" t="s">
        <v>0</v>
      </c>
      <c r="B2" s="8" t="s">
        <v>238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1220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33</v>
      </c>
      <c r="G9" s="9">
        <f t="shared" ref="G9:G44" si="0">SUM(C9:F9)</f>
        <v>33</v>
      </c>
      <c r="H9">
        <f t="shared" ref="H9:H44" si="1">ROUND(G9/1220,2)</f>
        <v>0.03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17</v>
      </c>
      <c r="C10" s="9"/>
      <c r="D10" s="9"/>
      <c r="E10" s="9"/>
      <c r="F10" s="9">
        <v>12</v>
      </c>
      <c r="G10" s="9">
        <f t="shared" si="0"/>
        <v>12</v>
      </c>
      <c r="H10">
        <f t="shared" si="1"/>
        <v>0.01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270</v>
      </c>
      <c r="G11" s="9">
        <f t="shared" si="0"/>
        <v>270</v>
      </c>
      <c r="H11">
        <f t="shared" si="1"/>
        <v>0.22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67</v>
      </c>
      <c r="C12" s="9"/>
      <c r="D12" s="9"/>
      <c r="E12" s="9">
        <v>125</v>
      </c>
      <c r="F12" s="9"/>
      <c r="G12" s="9">
        <f t="shared" si="0"/>
        <v>125</v>
      </c>
      <c r="H12">
        <f t="shared" si="1"/>
        <v>0.1</v>
      </c>
      <c r="I12" s="10">
        <f t="shared" si="2"/>
        <v>0</v>
      </c>
      <c r="J12">
        <f>ROUND(G12/P12-1,2)</f>
        <v>0.39</v>
      </c>
      <c r="P12">
        <v>90</v>
      </c>
    </row>
    <row r="13" spans="1:16" x14ac:dyDescent="0.25">
      <c r="A13" t="s">
        <v>20</v>
      </c>
      <c r="B13" t="s">
        <v>68</v>
      </c>
      <c r="C13" s="9"/>
      <c r="D13" s="9"/>
      <c r="E13" s="9">
        <v>4600</v>
      </c>
      <c r="F13" s="9"/>
      <c r="G13" s="9">
        <f t="shared" si="0"/>
        <v>4600</v>
      </c>
      <c r="H13">
        <f t="shared" si="1"/>
        <v>3.77</v>
      </c>
      <c r="I13" s="10">
        <f t="shared" si="2"/>
        <v>5.0000000000000001E-3</v>
      </c>
      <c r="P13">
        <v>0</v>
      </c>
    </row>
    <row r="14" spans="1:16" x14ac:dyDescent="0.25">
      <c r="A14" t="s">
        <v>20</v>
      </c>
      <c r="B14" t="s">
        <v>21</v>
      </c>
      <c r="C14" s="9">
        <v>46560</v>
      </c>
      <c r="D14" s="9"/>
      <c r="E14" s="9">
        <v>14798.06</v>
      </c>
      <c r="F14" s="9">
        <v>30</v>
      </c>
      <c r="G14" s="9">
        <f t="shared" si="0"/>
        <v>61388.06</v>
      </c>
      <c r="H14">
        <f t="shared" si="1"/>
        <v>50.32</v>
      </c>
      <c r="I14" s="10">
        <f t="shared" si="2"/>
        <v>6.8000000000000005E-2</v>
      </c>
      <c r="J14">
        <f>ROUND(G14/P14-1,2)</f>
        <v>-0.49</v>
      </c>
      <c r="P14">
        <v>119402.68</v>
      </c>
    </row>
    <row r="15" spans="1:16" x14ac:dyDescent="0.25">
      <c r="A15" t="s">
        <v>20</v>
      </c>
      <c r="B15" t="s">
        <v>22</v>
      </c>
      <c r="C15" s="9">
        <v>63405</v>
      </c>
      <c r="D15" s="9"/>
      <c r="E15" s="9"/>
      <c r="F15" s="9"/>
      <c r="G15" s="9">
        <f t="shared" si="0"/>
        <v>63405</v>
      </c>
      <c r="H15">
        <f t="shared" si="1"/>
        <v>51.97</v>
      </c>
      <c r="I15" s="10">
        <f t="shared" si="2"/>
        <v>7.0000000000000007E-2</v>
      </c>
      <c r="J15">
        <f>ROUND(G15/P15-1,2)</f>
        <v>0.38</v>
      </c>
      <c r="P15">
        <v>45915</v>
      </c>
    </row>
    <row r="16" spans="1:16" x14ac:dyDescent="0.25">
      <c r="A16" t="s">
        <v>20</v>
      </c>
      <c r="B16" t="s">
        <v>79</v>
      </c>
      <c r="C16" s="9"/>
      <c r="D16" s="9"/>
      <c r="E16" s="9"/>
      <c r="F16" s="9">
        <v>60</v>
      </c>
      <c r="G16" s="9">
        <f t="shared" si="0"/>
        <v>60</v>
      </c>
      <c r="H16">
        <f t="shared" si="1"/>
        <v>0.05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42</v>
      </c>
      <c r="C17" s="9"/>
      <c r="D17" s="9"/>
      <c r="E17" s="9">
        <v>344.28</v>
      </c>
      <c r="F17" s="9"/>
      <c r="G17" s="9">
        <f t="shared" si="0"/>
        <v>344.28</v>
      </c>
      <c r="H17">
        <f t="shared" si="1"/>
        <v>0.28000000000000003</v>
      </c>
      <c r="I17" s="10">
        <f t="shared" si="2"/>
        <v>0</v>
      </c>
      <c r="J17">
        <f>ROUND(G17/P17-1,2)</f>
        <v>2.1</v>
      </c>
      <c r="P17">
        <v>111</v>
      </c>
    </row>
    <row r="18" spans="1:16" x14ac:dyDescent="0.25">
      <c r="A18" t="s">
        <v>20</v>
      </c>
      <c r="B18" t="s">
        <v>23</v>
      </c>
      <c r="C18" s="9"/>
      <c r="D18" s="9"/>
      <c r="E18" s="9">
        <v>2045.72</v>
      </c>
      <c r="F18" s="9"/>
      <c r="G18" s="9">
        <f t="shared" si="0"/>
        <v>2045.72</v>
      </c>
      <c r="H18">
        <f t="shared" si="1"/>
        <v>1.68</v>
      </c>
      <c r="I18" s="10">
        <f t="shared" si="2"/>
        <v>2E-3</v>
      </c>
      <c r="J18">
        <f>ROUND(G18/P18-1,2)</f>
        <v>1.03</v>
      </c>
      <c r="P18">
        <v>1010</v>
      </c>
    </row>
    <row r="19" spans="1:16" x14ac:dyDescent="0.25">
      <c r="A19" t="s">
        <v>20</v>
      </c>
      <c r="B19" t="s">
        <v>185</v>
      </c>
      <c r="C19" s="9"/>
      <c r="D19" s="9"/>
      <c r="E19" s="9"/>
      <c r="F19" s="9">
        <v>65</v>
      </c>
      <c r="G19" s="9">
        <f t="shared" si="0"/>
        <v>65</v>
      </c>
      <c r="H19">
        <f t="shared" si="1"/>
        <v>0.05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186</v>
      </c>
      <c r="C20" s="9"/>
      <c r="D20" s="9"/>
      <c r="E20" s="9"/>
      <c r="F20" s="9">
        <v>1540</v>
      </c>
      <c r="G20" s="9">
        <f t="shared" si="0"/>
        <v>1540</v>
      </c>
      <c r="H20">
        <f t="shared" si="1"/>
        <v>1.26</v>
      </c>
      <c r="I20" s="10">
        <f t="shared" si="2"/>
        <v>2E-3</v>
      </c>
      <c r="P20">
        <v>0</v>
      </c>
    </row>
    <row r="21" spans="1:16" x14ac:dyDescent="0.25">
      <c r="A21" t="s">
        <v>20</v>
      </c>
      <c r="B21" t="s">
        <v>24</v>
      </c>
      <c r="C21" s="9"/>
      <c r="D21" s="9"/>
      <c r="E21" s="9">
        <v>121735.97</v>
      </c>
      <c r="F21" s="9"/>
      <c r="G21" s="9">
        <f t="shared" si="0"/>
        <v>121735.97</v>
      </c>
      <c r="H21">
        <f t="shared" si="1"/>
        <v>99.78</v>
      </c>
      <c r="I21" s="10">
        <f t="shared" si="2"/>
        <v>0.13400000000000001</v>
      </c>
      <c r="J21">
        <f t="shared" ref="J21:J30" si="3">ROUND(G21/P21-1,2)</f>
        <v>2.42</v>
      </c>
      <c r="P21">
        <v>35586.33</v>
      </c>
    </row>
    <row r="22" spans="1:16" x14ac:dyDescent="0.25">
      <c r="A22" t="s">
        <v>20</v>
      </c>
      <c r="B22" t="s">
        <v>25</v>
      </c>
      <c r="C22" s="9">
        <v>53450</v>
      </c>
      <c r="D22" s="9"/>
      <c r="E22" s="9">
        <v>47686.67</v>
      </c>
      <c r="F22" s="9">
        <v>60</v>
      </c>
      <c r="G22" s="9">
        <f t="shared" si="0"/>
        <v>101196.67</v>
      </c>
      <c r="H22">
        <f t="shared" si="1"/>
        <v>82.95</v>
      </c>
      <c r="I22" s="10">
        <f t="shared" si="2"/>
        <v>0.112</v>
      </c>
      <c r="J22">
        <f t="shared" si="3"/>
        <v>0.31</v>
      </c>
      <c r="P22">
        <v>77318.31</v>
      </c>
    </row>
    <row r="23" spans="1:16" x14ac:dyDescent="0.25">
      <c r="A23" t="s">
        <v>20</v>
      </c>
      <c r="B23" t="s">
        <v>69</v>
      </c>
      <c r="C23" s="9"/>
      <c r="D23" s="9"/>
      <c r="E23" s="9">
        <v>11570</v>
      </c>
      <c r="F23" s="9"/>
      <c r="G23" s="9">
        <f t="shared" si="0"/>
        <v>11570</v>
      </c>
      <c r="H23">
        <f t="shared" si="1"/>
        <v>9.48</v>
      </c>
      <c r="I23" s="10">
        <f t="shared" si="2"/>
        <v>1.2999999999999999E-2</v>
      </c>
      <c r="J23">
        <f t="shared" si="3"/>
        <v>0.9</v>
      </c>
      <c r="P23">
        <v>6095</v>
      </c>
    </row>
    <row r="24" spans="1:16" x14ac:dyDescent="0.25">
      <c r="A24" t="s">
        <v>20</v>
      </c>
      <c r="B24" t="s">
        <v>26</v>
      </c>
      <c r="C24" s="9">
        <v>39160</v>
      </c>
      <c r="D24" s="9"/>
      <c r="E24" s="9"/>
      <c r="F24" s="9"/>
      <c r="G24" s="9">
        <f t="shared" si="0"/>
        <v>39160</v>
      </c>
      <c r="H24">
        <f t="shared" si="1"/>
        <v>32.1</v>
      </c>
      <c r="I24" s="10">
        <f t="shared" si="2"/>
        <v>4.2999999999999997E-2</v>
      </c>
      <c r="J24">
        <f t="shared" si="3"/>
        <v>-0.39</v>
      </c>
      <c r="P24">
        <v>64170</v>
      </c>
    </row>
    <row r="25" spans="1:16" x14ac:dyDescent="0.25">
      <c r="A25" t="s">
        <v>20</v>
      </c>
      <c r="B25" t="s">
        <v>27</v>
      </c>
      <c r="C25" s="9"/>
      <c r="D25" s="9"/>
      <c r="E25" s="9">
        <v>1831</v>
      </c>
      <c r="F25" s="9"/>
      <c r="G25" s="9">
        <f t="shared" si="0"/>
        <v>1831</v>
      </c>
      <c r="H25">
        <f t="shared" si="1"/>
        <v>1.5</v>
      </c>
      <c r="I25" s="10">
        <f t="shared" si="2"/>
        <v>2E-3</v>
      </c>
      <c r="J25">
        <f t="shared" si="3"/>
        <v>6.86</v>
      </c>
      <c r="P25">
        <v>233</v>
      </c>
    </row>
    <row r="26" spans="1:16" x14ac:dyDescent="0.25">
      <c r="A26" t="s">
        <v>20</v>
      </c>
      <c r="B26" t="s">
        <v>28</v>
      </c>
      <c r="C26" s="9"/>
      <c r="D26" s="9"/>
      <c r="E26" s="9">
        <v>979</v>
      </c>
      <c r="F26" s="9"/>
      <c r="G26" s="9">
        <f t="shared" si="0"/>
        <v>979</v>
      </c>
      <c r="H26">
        <f t="shared" si="1"/>
        <v>0.8</v>
      </c>
      <c r="I26" s="10">
        <f t="shared" si="2"/>
        <v>1E-3</v>
      </c>
      <c r="J26">
        <f t="shared" si="3"/>
        <v>3.49</v>
      </c>
      <c r="P26">
        <v>218</v>
      </c>
    </row>
    <row r="27" spans="1:16" x14ac:dyDescent="0.25">
      <c r="A27" t="s">
        <v>20</v>
      </c>
      <c r="B27" t="s">
        <v>29</v>
      </c>
      <c r="C27" s="9"/>
      <c r="D27" s="9"/>
      <c r="E27" s="9">
        <v>51.48</v>
      </c>
      <c r="F27" s="9"/>
      <c r="G27" s="9">
        <f t="shared" si="0"/>
        <v>51.48</v>
      </c>
      <c r="H27">
        <f t="shared" si="1"/>
        <v>0.04</v>
      </c>
      <c r="I27" s="10">
        <f t="shared" si="2"/>
        <v>0</v>
      </c>
      <c r="J27">
        <f t="shared" si="3"/>
        <v>2.02</v>
      </c>
      <c r="P27">
        <v>17.03</v>
      </c>
    </row>
    <row r="28" spans="1:16" x14ac:dyDescent="0.25">
      <c r="A28" t="s">
        <v>20</v>
      </c>
      <c r="B28" t="s">
        <v>30</v>
      </c>
      <c r="C28" s="9"/>
      <c r="D28" s="9"/>
      <c r="E28" s="9">
        <v>4605.3900000000003</v>
      </c>
      <c r="F28" s="9"/>
      <c r="G28" s="9">
        <f t="shared" si="0"/>
        <v>4605.3900000000003</v>
      </c>
      <c r="H28">
        <f t="shared" si="1"/>
        <v>3.77</v>
      </c>
      <c r="I28" s="10">
        <f t="shared" si="2"/>
        <v>5.0000000000000001E-3</v>
      </c>
      <c r="J28">
        <f t="shared" si="3"/>
        <v>0.36</v>
      </c>
      <c r="P28">
        <v>3376.62</v>
      </c>
    </row>
    <row r="29" spans="1:16" x14ac:dyDescent="0.25">
      <c r="A29" t="s">
        <v>20</v>
      </c>
      <c r="B29" t="s">
        <v>31</v>
      </c>
      <c r="C29" s="9"/>
      <c r="D29" s="9"/>
      <c r="E29" s="9">
        <v>935.6</v>
      </c>
      <c r="F29" s="9"/>
      <c r="G29" s="9">
        <f t="shared" si="0"/>
        <v>935.6</v>
      </c>
      <c r="H29">
        <f t="shared" si="1"/>
        <v>0.77</v>
      </c>
      <c r="I29" s="10">
        <f t="shared" si="2"/>
        <v>1E-3</v>
      </c>
      <c r="J29">
        <f t="shared" si="3"/>
        <v>1.4</v>
      </c>
      <c r="P29">
        <v>389.19</v>
      </c>
    </row>
    <row r="30" spans="1:16" x14ac:dyDescent="0.25">
      <c r="A30" t="s">
        <v>20</v>
      </c>
      <c r="B30" t="s">
        <v>33</v>
      </c>
      <c r="C30" s="9"/>
      <c r="D30" s="9"/>
      <c r="E30" s="9">
        <v>2902.37</v>
      </c>
      <c r="F30" s="9"/>
      <c r="G30" s="9">
        <f t="shared" si="0"/>
        <v>2902.37</v>
      </c>
      <c r="H30">
        <f t="shared" si="1"/>
        <v>2.38</v>
      </c>
      <c r="I30" s="10">
        <f t="shared" si="2"/>
        <v>3.0000000000000001E-3</v>
      </c>
      <c r="J30">
        <f t="shared" si="3"/>
        <v>2.72</v>
      </c>
      <c r="P30">
        <v>780.54</v>
      </c>
    </row>
    <row r="31" spans="1:16" x14ac:dyDescent="0.25">
      <c r="A31" t="s">
        <v>20</v>
      </c>
      <c r="B31" t="s">
        <v>43</v>
      </c>
      <c r="C31" s="9"/>
      <c r="D31" s="9">
        <v>200</v>
      </c>
      <c r="E31" s="9">
        <v>162.72999999999999</v>
      </c>
      <c r="F31" s="9"/>
      <c r="G31" s="9">
        <f t="shared" si="0"/>
        <v>362.73</v>
      </c>
      <c r="H31">
        <f t="shared" si="1"/>
        <v>0.3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35</v>
      </c>
      <c r="C32" s="9"/>
      <c r="D32" s="9"/>
      <c r="E32" s="9">
        <v>2953.26</v>
      </c>
      <c r="F32" s="9"/>
      <c r="G32" s="9">
        <f t="shared" si="0"/>
        <v>2953.26</v>
      </c>
      <c r="H32">
        <f t="shared" si="1"/>
        <v>2.42</v>
      </c>
      <c r="I32" s="10">
        <f t="shared" si="2"/>
        <v>3.0000000000000001E-3</v>
      </c>
      <c r="J32">
        <f t="shared" ref="J32:J40" si="4">ROUND(G32/P32-1,2)</f>
        <v>1.18</v>
      </c>
      <c r="P32">
        <v>1353.74</v>
      </c>
    </row>
    <row r="33" spans="1:16" x14ac:dyDescent="0.25">
      <c r="A33" t="s">
        <v>20</v>
      </c>
      <c r="B33" t="s">
        <v>41</v>
      </c>
      <c r="C33" s="9"/>
      <c r="D33" s="9"/>
      <c r="E33" s="9">
        <v>14975</v>
      </c>
      <c r="F33" s="9"/>
      <c r="G33" s="9">
        <f t="shared" si="0"/>
        <v>14975</v>
      </c>
      <c r="H33">
        <f t="shared" si="1"/>
        <v>12.27</v>
      </c>
      <c r="I33" s="10">
        <f t="shared" si="2"/>
        <v>1.7000000000000001E-2</v>
      </c>
      <c r="J33">
        <f t="shared" si="4"/>
        <v>0.81</v>
      </c>
      <c r="P33">
        <v>8260</v>
      </c>
    </row>
    <row r="34" spans="1:16" x14ac:dyDescent="0.25">
      <c r="A34" t="s">
        <v>20</v>
      </c>
      <c r="B34" t="s">
        <v>36</v>
      </c>
      <c r="C34" s="9"/>
      <c r="D34" s="9"/>
      <c r="E34" s="9">
        <v>9523.66</v>
      </c>
      <c r="F34" s="9"/>
      <c r="G34" s="9">
        <f t="shared" si="0"/>
        <v>9523.66</v>
      </c>
      <c r="H34">
        <f t="shared" si="1"/>
        <v>7.81</v>
      </c>
      <c r="I34" s="10">
        <f t="shared" si="2"/>
        <v>1.0999999999999999E-2</v>
      </c>
      <c r="J34">
        <f t="shared" si="4"/>
        <v>1.04</v>
      </c>
      <c r="P34">
        <v>4673.16</v>
      </c>
    </row>
    <row r="35" spans="1:16" x14ac:dyDescent="0.25">
      <c r="A35" t="s">
        <v>20</v>
      </c>
      <c r="B35" t="s">
        <v>37</v>
      </c>
      <c r="C35" s="9"/>
      <c r="D35" s="9"/>
      <c r="E35" s="9">
        <v>127228.73</v>
      </c>
      <c r="F35" s="9"/>
      <c r="G35" s="9">
        <f t="shared" si="0"/>
        <v>127228.73</v>
      </c>
      <c r="H35">
        <f t="shared" si="1"/>
        <v>104.29</v>
      </c>
      <c r="I35" s="10">
        <f t="shared" si="2"/>
        <v>0.14000000000000001</v>
      </c>
      <c r="J35">
        <f t="shared" si="4"/>
        <v>1.93</v>
      </c>
      <c r="P35">
        <v>43493.15</v>
      </c>
    </row>
    <row r="36" spans="1:16" x14ac:dyDescent="0.25">
      <c r="A36" t="s">
        <v>20</v>
      </c>
      <c r="B36" t="s">
        <v>38</v>
      </c>
      <c r="C36" s="9"/>
      <c r="D36" s="9"/>
      <c r="E36" s="9">
        <v>8151.35</v>
      </c>
      <c r="F36" s="9"/>
      <c r="G36" s="9">
        <f t="shared" si="0"/>
        <v>8151.35</v>
      </c>
      <c r="H36">
        <f t="shared" si="1"/>
        <v>6.68</v>
      </c>
      <c r="I36" s="10">
        <f t="shared" si="2"/>
        <v>8.9999999999999993E-3</v>
      </c>
      <c r="J36">
        <f t="shared" si="4"/>
        <v>1.58</v>
      </c>
      <c r="P36">
        <v>3162.7</v>
      </c>
    </row>
    <row r="37" spans="1:16" x14ac:dyDescent="0.25">
      <c r="A37" t="s">
        <v>20</v>
      </c>
      <c r="B37" t="s">
        <v>39</v>
      </c>
      <c r="C37" s="9"/>
      <c r="D37" s="9"/>
      <c r="E37" s="9">
        <v>34057.410000000003</v>
      </c>
      <c r="F37" s="9"/>
      <c r="G37" s="9">
        <f t="shared" si="0"/>
        <v>34057.410000000003</v>
      </c>
      <c r="H37">
        <f t="shared" si="1"/>
        <v>27.92</v>
      </c>
      <c r="I37" s="10">
        <f t="shared" si="2"/>
        <v>3.7999999999999999E-2</v>
      </c>
      <c r="J37">
        <f t="shared" si="4"/>
        <v>1.87</v>
      </c>
      <c r="P37">
        <v>11871.68</v>
      </c>
    </row>
    <row r="38" spans="1:16" x14ac:dyDescent="0.25">
      <c r="A38" t="s">
        <v>20</v>
      </c>
      <c r="B38" t="s">
        <v>40</v>
      </c>
      <c r="C38" s="9"/>
      <c r="D38" s="9"/>
      <c r="E38" s="9">
        <v>36639.47</v>
      </c>
      <c r="F38" s="9"/>
      <c r="G38" s="9">
        <f t="shared" si="0"/>
        <v>36639.47</v>
      </c>
      <c r="H38">
        <f t="shared" si="1"/>
        <v>30.03</v>
      </c>
      <c r="I38" s="10">
        <f t="shared" si="2"/>
        <v>0.04</v>
      </c>
      <c r="J38">
        <f t="shared" si="4"/>
        <v>1.96</v>
      </c>
      <c r="P38">
        <v>12363.21</v>
      </c>
    </row>
    <row r="39" spans="1:16" x14ac:dyDescent="0.25">
      <c r="A39" t="s">
        <v>20</v>
      </c>
      <c r="B39" t="s">
        <v>34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J39">
        <f t="shared" si="4"/>
        <v>-1</v>
      </c>
      <c r="P39">
        <v>322.60000000000002</v>
      </c>
    </row>
    <row r="40" spans="1:16" x14ac:dyDescent="0.25">
      <c r="A40" t="s">
        <v>20</v>
      </c>
      <c r="B40" t="s">
        <v>70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J40">
        <f t="shared" si="4"/>
        <v>-1</v>
      </c>
      <c r="P40">
        <v>700</v>
      </c>
    </row>
    <row r="41" spans="1:16" x14ac:dyDescent="0.25">
      <c r="A41" t="s">
        <v>20</v>
      </c>
      <c r="B41" t="s">
        <v>32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A42" t="s">
        <v>44</v>
      </c>
      <c r="B42" t="s">
        <v>45</v>
      </c>
      <c r="C42" s="9">
        <v>201520</v>
      </c>
      <c r="D42" s="9"/>
      <c r="E42" s="9"/>
      <c r="F42" s="9">
        <v>660</v>
      </c>
      <c r="G42" s="9">
        <f t="shared" si="0"/>
        <v>202180</v>
      </c>
      <c r="H42">
        <f t="shared" si="1"/>
        <v>165.72</v>
      </c>
      <c r="I42" s="10">
        <f t="shared" si="2"/>
        <v>0.223</v>
      </c>
      <c r="J42">
        <f>ROUND(G42/P42-1,2)</f>
        <v>0.62</v>
      </c>
      <c r="P42">
        <v>124930</v>
      </c>
    </row>
    <row r="43" spans="1:16" x14ac:dyDescent="0.25">
      <c r="A43" t="s">
        <v>44</v>
      </c>
      <c r="B43" t="s">
        <v>46</v>
      </c>
      <c r="C43" s="9"/>
      <c r="D43" s="9"/>
      <c r="E43" s="9">
        <v>51837.919999999998</v>
      </c>
      <c r="F43" s="9"/>
      <c r="G43" s="9">
        <f t="shared" si="0"/>
        <v>51837.919999999998</v>
      </c>
      <c r="H43">
        <f t="shared" si="1"/>
        <v>42.49</v>
      </c>
      <c r="I43" s="10">
        <f t="shared" si="2"/>
        <v>5.7000000000000002E-2</v>
      </c>
      <c r="J43">
        <f>ROUND(G43/P43-1,2)</f>
        <v>1.39</v>
      </c>
      <c r="P43">
        <v>21673.08</v>
      </c>
    </row>
    <row r="44" spans="1:16" x14ac:dyDescent="0.25">
      <c r="A44" t="s">
        <v>44</v>
      </c>
      <c r="B44" t="s">
        <v>47</v>
      </c>
      <c r="C44" s="9"/>
      <c r="D44" s="9"/>
      <c r="E44" s="9"/>
      <c r="F44" s="9"/>
      <c r="G44" s="9">
        <f t="shared" si="0"/>
        <v>0</v>
      </c>
      <c r="H44">
        <f t="shared" si="1"/>
        <v>0</v>
      </c>
      <c r="I44" s="10">
        <f t="shared" si="2"/>
        <v>0</v>
      </c>
      <c r="P44">
        <v>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SUM(C8:C44)</f>
        <v>404095</v>
      </c>
      <c r="D49" s="12">
        <f t="shared" si="5"/>
        <v>200</v>
      </c>
      <c r="E49" s="12">
        <f t="shared" si="5"/>
        <v>499740.07</v>
      </c>
      <c r="F49" s="12">
        <f t="shared" si="5"/>
        <v>2730</v>
      </c>
      <c r="G49" s="12">
        <f t="shared" si="5"/>
        <v>906765.07</v>
      </c>
      <c r="H49" s="11">
        <f t="shared" si="5"/>
        <v>743.24000000000012</v>
      </c>
      <c r="I49" s="4"/>
    </row>
    <row r="50" spans="1:10" x14ac:dyDescent="0.25">
      <c r="A50" s="11" t="s">
        <v>14</v>
      </c>
      <c r="C50" s="13">
        <f>ROUND(C49/G49,2)</f>
        <v>0.45</v>
      </c>
      <c r="D50" s="13">
        <f>ROUND(D49/G49,2)</f>
        <v>0</v>
      </c>
      <c r="E50" s="13">
        <f>ROUND(E49/G49,2)</f>
        <v>0.55000000000000004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202575</v>
      </c>
      <c r="D54" s="15">
        <v>200</v>
      </c>
      <c r="E54" s="15">
        <v>447902.15</v>
      </c>
      <c r="F54" s="15">
        <v>1755</v>
      </c>
      <c r="G54" s="15">
        <f>SUM(C54:F54)</f>
        <v>652432.15</v>
      </c>
      <c r="H54" s="17">
        <f>ROUND(G54/1220,2)</f>
        <v>534.78</v>
      </c>
      <c r="I54" s="4"/>
      <c r="J54" s="4"/>
    </row>
    <row r="55" spans="1:10" x14ac:dyDescent="0.25">
      <c r="A55" s="33" t="s">
        <v>50</v>
      </c>
      <c r="B55" s="33"/>
      <c r="C55" s="15">
        <v>201520</v>
      </c>
      <c r="D55" s="15">
        <v>0</v>
      </c>
      <c r="E55" s="15">
        <v>51837.919999999998</v>
      </c>
      <c r="F55" s="15">
        <v>660</v>
      </c>
      <c r="G55" s="15">
        <f>SUM(C55:F55)</f>
        <v>254017.91999999998</v>
      </c>
      <c r="H55" s="17">
        <f>ROUND(G55/1220,2)</f>
        <v>208.21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315</v>
      </c>
      <c r="G56" s="15">
        <f>SUM(C56:F56)</f>
        <v>315</v>
      </c>
      <c r="H56" s="17">
        <f>ROUND(G56/1220,2)</f>
        <v>0.26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ROUND(0.7346, 4)</f>
        <v>0.73460000000000003</v>
      </c>
      <c r="D60" s="19">
        <f>ROUND(0.769, 4)</f>
        <v>0.76900000000000002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ROUND(0.7054, 4)</f>
        <v>0.70540000000000003</v>
      </c>
      <c r="D61" s="19">
        <f>ROUND(0.5937, 4)</f>
        <v>0.59370000000000001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239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165.72</v>
      </c>
      <c r="D64" s="16">
        <v>107.83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32.1</v>
      </c>
      <c r="D65" s="16">
        <v>52.3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534.78</v>
      </c>
      <c r="D66" s="16">
        <v>419.03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208.21</v>
      </c>
      <c r="D67" s="16">
        <v>133.47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P67"/>
  <sheetViews>
    <sheetView topLeftCell="A30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240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566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21230</v>
      </c>
      <c r="D9" s="9"/>
      <c r="E9" s="9"/>
      <c r="F9" s="9"/>
      <c r="G9" s="9">
        <f t="shared" ref="G9:G36" si="0">SUM(C9:F9)</f>
        <v>21230</v>
      </c>
      <c r="H9">
        <f t="shared" ref="H9:H36" si="1">ROUND(G9/566,2)</f>
        <v>37.51</v>
      </c>
      <c r="I9" s="10">
        <f t="shared" ref="I9:I36" si="2">ROUND(G9/$G$49,3)</f>
        <v>0.112</v>
      </c>
      <c r="J9">
        <f t="shared" ref="J9:J26" si="3">ROUND(G9/P9-1,2)</f>
        <v>0.02</v>
      </c>
      <c r="P9">
        <v>20750</v>
      </c>
    </row>
    <row r="10" spans="1:16" x14ac:dyDescent="0.25">
      <c r="A10" t="s">
        <v>20</v>
      </c>
      <c r="B10" t="s">
        <v>22</v>
      </c>
      <c r="C10" s="9">
        <v>30590</v>
      </c>
      <c r="D10" s="9"/>
      <c r="E10" s="9"/>
      <c r="F10" s="9"/>
      <c r="G10" s="9">
        <f t="shared" si="0"/>
        <v>30590</v>
      </c>
      <c r="H10">
        <f t="shared" si="1"/>
        <v>54.05</v>
      </c>
      <c r="I10" s="10">
        <f t="shared" si="2"/>
        <v>0.161</v>
      </c>
      <c r="J10">
        <f t="shared" si="3"/>
        <v>0.06</v>
      </c>
      <c r="P10">
        <v>28770</v>
      </c>
    </row>
    <row r="11" spans="1:16" x14ac:dyDescent="0.25">
      <c r="A11" t="s">
        <v>20</v>
      </c>
      <c r="B11" t="s">
        <v>79</v>
      </c>
      <c r="C11" s="9"/>
      <c r="D11" s="9"/>
      <c r="E11" s="9"/>
      <c r="F11" s="9">
        <v>43</v>
      </c>
      <c r="G11" s="9">
        <f t="shared" si="0"/>
        <v>43</v>
      </c>
      <c r="H11">
        <f t="shared" si="1"/>
        <v>0.08</v>
      </c>
      <c r="I11" s="10">
        <f t="shared" si="2"/>
        <v>0</v>
      </c>
      <c r="J11">
        <f t="shared" si="3"/>
        <v>1.69</v>
      </c>
      <c r="P11">
        <v>16</v>
      </c>
    </row>
    <row r="12" spans="1:16" x14ac:dyDescent="0.25">
      <c r="A12" t="s">
        <v>20</v>
      </c>
      <c r="B12" t="s">
        <v>42</v>
      </c>
      <c r="C12" s="9"/>
      <c r="D12" s="9"/>
      <c r="E12" s="9"/>
      <c r="F12" s="9">
        <v>34</v>
      </c>
      <c r="G12" s="9">
        <f t="shared" si="0"/>
        <v>34</v>
      </c>
      <c r="H12">
        <f t="shared" si="1"/>
        <v>0.06</v>
      </c>
      <c r="I12" s="10">
        <f t="shared" si="2"/>
        <v>0</v>
      </c>
      <c r="J12">
        <f t="shared" si="3"/>
        <v>-0.17</v>
      </c>
      <c r="P12">
        <v>41</v>
      </c>
    </row>
    <row r="13" spans="1:16" x14ac:dyDescent="0.25">
      <c r="A13" t="s">
        <v>20</v>
      </c>
      <c r="B13" t="s">
        <v>25</v>
      </c>
      <c r="C13" s="9">
        <v>19240</v>
      </c>
      <c r="D13" s="9"/>
      <c r="E13" s="9"/>
      <c r="F13" s="9"/>
      <c r="G13" s="9">
        <f t="shared" si="0"/>
        <v>19240</v>
      </c>
      <c r="H13">
        <f t="shared" si="1"/>
        <v>33.99</v>
      </c>
      <c r="I13" s="10">
        <f t="shared" si="2"/>
        <v>0.10199999999999999</v>
      </c>
      <c r="J13">
        <f t="shared" si="3"/>
        <v>0.05</v>
      </c>
      <c r="P13">
        <v>18395</v>
      </c>
    </row>
    <row r="14" spans="1:16" x14ac:dyDescent="0.25">
      <c r="A14" t="s">
        <v>20</v>
      </c>
      <c r="B14" t="s">
        <v>26</v>
      </c>
      <c r="C14" s="9">
        <v>25820</v>
      </c>
      <c r="D14" s="9"/>
      <c r="E14" s="9"/>
      <c r="F14" s="9">
        <v>100</v>
      </c>
      <c r="G14" s="9">
        <f t="shared" si="0"/>
        <v>25920</v>
      </c>
      <c r="H14">
        <f t="shared" si="1"/>
        <v>45.8</v>
      </c>
      <c r="I14" s="10">
        <f t="shared" si="2"/>
        <v>0.13700000000000001</v>
      </c>
      <c r="J14">
        <f t="shared" si="3"/>
        <v>0.01</v>
      </c>
      <c r="P14">
        <v>25780</v>
      </c>
    </row>
    <row r="15" spans="1:16" x14ac:dyDescent="0.25">
      <c r="A15" t="s">
        <v>20</v>
      </c>
      <c r="B15" t="s">
        <v>27</v>
      </c>
      <c r="C15" s="9"/>
      <c r="D15" s="9"/>
      <c r="E15" s="9">
        <v>920</v>
      </c>
      <c r="F15" s="9"/>
      <c r="G15" s="9">
        <f t="shared" si="0"/>
        <v>920</v>
      </c>
      <c r="H15">
        <f t="shared" si="1"/>
        <v>1.63</v>
      </c>
      <c r="I15" s="10">
        <f t="shared" si="2"/>
        <v>5.0000000000000001E-3</v>
      </c>
      <c r="J15">
        <f t="shared" si="3"/>
        <v>0.4</v>
      </c>
      <c r="P15">
        <v>656</v>
      </c>
    </row>
    <row r="16" spans="1:16" x14ac:dyDescent="0.25">
      <c r="A16" t="s">
        <v>20</v>
      </c>
      <c r="B16" t="s">
        <v>29</v>
      </c>
      <c r="C16" s="9"/>
      <c r="D16" s="9"/>
      <c r="E16" s="9"/>
      <c r="F16" s="9">
        <v>20</v>
      </c>
      <c r="G16" s="9">
        <f t="shared" si="0"/>
        <v>20</v>
      </c>
      <c r="H16">
        <f t="shared" si="1"/>
        <v>0.04</v>
      </c>
      <c r="I16" s="10">
        <f t="shared" si="2"/>
        <v>0</v>
      </c>
      <c r="J16">
        <f t="shared" si="3"/>
        <v>-0.71</v>
      </c>
      <c r="P16">
        <v>70</v>
      </c>
    </row>
    <row r="17" spans="1:16" x14ac:dyDescent="0.25">
      <c r="A17" t="s">
        <v>20</v>
      </c>
      <c r="B17" t="s">
        <v>30</v>
      </c>
      <c r="C17" s="9"/>
      <c r="D17" s="9"/>
      <c r="E17" s="9"/>
      <c r="F17" s="9">
        <v>940</v>
      </c>
      <c r="G17" s="9">
        <f t="shared" si="0"/>
        <v>940</v>
      </c>
      <c r="H17">
        <f t="shared" si="1"/>
        <v>1.66</v>
      </c>
      <c r="I17" s="10">
        <f t="shared" si="2"/>
        <v>5.0000000000000001E-3</v>
      </c>
      <c r="J17">
        <f t="shared" si="3"/>
        <v>0.31</v>
      </c>
      <c r="P17">
        <v>720</v>
      </c>
    </row>
    <row r="18" spans="1:16" x14ac:dyDescent="0.25">
      <c r="A18" t="s">
        <v>20</v>
      </c>
      <c r="B18" t="s">
        <v>31</v>
      </c>
      <c r="C18" s="9"/>
      <c r="D18" s="9"/>
      <c r="E18" s="9"/>
      <c r="F18" s="9">
        <v>180</v>
      </c>
      <c r="G18" s="9">
        <f t="shared" si="0"/>
        <v>180</v>
      </c>
      <c r="H18">
        <f t="shared" si="1"/>
        <v>0.32</v>
      </c>
      <c r="I18" s="10">
        <f t="shared" si="2"/>
        <v>1E-3</v>
      </c>
      <c r="J18">
        <f t="shared" si="3"/>
        <v>0.64</v>
      </c>
      <c r="P18">
        <v>110</v>
      </c>
    </row>
    <row r="19" spans="1:16" x14ac:dyDescent="0.25">
      <c r="A19" t="s">
        <v>20</v>
      </c>
      <c r="B19" t="s">
        <v>32</v>
      </c>
      <c r="C19" s="9"/>
      <c r="D19" s="9"/>
      <c r="E19" s="9"/>
      <c r="F19" s="9">
        <v>240</v>
      </c>
      <c r="G19" s="9">
        <f t="shared" si="0"/>
        <v>240</v>
      </c>
      <c r="H19">
        <f t="shared" si="1"/>
        <v>0.42</v>
      </c>
      <c r="I19" s="10">
        <f t="shared" si="2"/>
        <v>1E-3</v>
      </c>
      <c r="J19">
        <f t="shared" si="3"/>
        <v>7</v>
      </c>
      <c r="P19">
        <v>30</v>
      </c>
    </row>
    <row r="20" spans="1:16" x14ac:dyDescent="0.25">
      <c r="A20" t="s">
        <v>20</v>
      </c>
      <c r="B20" t="s">
        <v>33</v>
      </c>
      <c r="C20" s="9"/>
      <c r="D20" s="9"/>
      <c r="E20" s="9"/>
      <c r="F20" s="9">
        <v>440</v>
      </c>
      <c r="G20" s="9">
        <f t="shared" si="0"/>
        <v>440</v>
      </c>
      <c r="H20">
        <f t="shared" si="1"/>
        <v>0.78</v>
      </c>
      <c r="I20" s="10">
        <f t="shared" si="2"/>
        <v>2E-3</v>
      </c>
      <c r="J20">
        <f t="shared" si="3"/>
        <v>0.19</v>
      </c>
      <c r="P20">
        <v>370</v>
      </c>
    </row>
    <row r="21" spans="1:16" x14ac:dyDescent="0.25">
      <c r="A21" t="s">
        <v>20</v>
      </c>
      <c r="B21" t="s">
        <v>43</v>
      </c>
      <c r="C21" s="9"/>
      <c r="D21" s="9">
        <v>48</v>
      </c>
      <c r="E21" s="9"/>
      <c r="F21" s="9"/>
      <c r="G21" s="9">
        <f t="shared" si="0"/>
        <v>48</v>
      </c>
      <c r="H21">
        <f t="shared" si="1"/>
        <v>0.08</v>
      </c>
      <c r="I21" s="10">
        <f t="shared" si="2"/>
        <v>0</v>
      </c>
      <c r="J21">
        <f t="shared" si="3"/>
        <v>0.71</v>
      </c>
      <c r="P21">
        <v>28</v>
      </c>
    </row>
    <row r="22" spans="1:16" x14ac:dyDescent="0.25">
      <c r="A22" t="s">
        <v>20</v>
      </c>
      <c r="B22" t="s">
        <v>34</v>
      </c>
      <c r="C22" s="9"/>
      <c r="D22" s="9">
        <v>85</v>
      </c>
      <c r="E22" s="9"/>
      <c r="F22" s="9">
        <v>356</v>
      </c>
      <c r="G22" s="9">
        <f t="shared" si="0"/>
        <v>441</v>
      </c>
      <c r="H22">
        <f t="shared" si="1"/>
        <v>0.78</v>
      </c>
      <c r="I22" s="10">
        <f t="shared" si="2"/>
        <v>2E-3</v>
      </c>
      <c r="J22">
        <f t="shared" si="3"/>
        <v>-0.43</v>
      </c>
      <c r="P22">
        <v>772</v>
      </c>
    </row>
    <row r="23" spans="1:16" x14ac:dyDescent="0.25">
      <c r="A23" t="s">
        <v>20</v>
      </c>
      <c r="B23" t="s">
        <v>35</v>
      </c>
      <c r="C23" s="9"/>
      <c r="D23" s="9"/>
      <c r="E23" s="9"/>
      <c r="F23" s="9">
        <v>630</v>
      </c>
      <c r="G23" s="9">
        <f t="shared" si="0"/>
        <v>630</v>
      </c>
      <c r="H23">
        <f t="shared" si="1"/>
        <v>1.1100000000000001</v>
      </c>
      <c r="I23" s="10">
        <f t="shared" si="2"/>
        <v>3.0000000000000001E-3</v>
      </c>
      <c r="J23">
        <f t="shared" si="3"/>
        <v>0.21</v>
      </c>
      <c r="P23">
        <v>520</v>
      </c>
    </row>
    <row r="24" spans="1:16" x14ac:dyDescent="0.25">
      <c r="A24" t="s">
        <v>20</v>
      </c>
      <c r="B24" t="s">
        <v>41</v>
      </c>
      <c r="C24" s="9"/>
      <c r="D24" s="9"/>
      <c r="E24" s="9"/>
      <c r="F24" s="9">
        <v>675</v>
      </c>
      <c r="G24" s="9">
        <f t="shared" si="0"/>
        <v>675</v>
      </c>
      <c r="H24">
        <f t="shared" si="1"/>
        <v>1.19</v>
      </c>
      <c r="I24" s="10">
        <f t="shared" si="2"/>
        <v>4.0000000000000001E-3</v>
      </c>
      <c r="J24">
        <f t="shared" si="3"/>
        <v>-0.18</v>
      </c>
      <c r="P24">
        <v>820</v>
      </c>
    </row>
    <row r="25" spans="1:16" x14ac:dyDescent="0.25">
      <c r="A25" t="s">
        <v>20</v>
      </c>
      <c r="B25" t="s">
        <v>36</v>
      </c>
      <c r="C25" s="9"/>
      <c r="D25" s="9"/>
      <c r="E25" s="9"/>
      <c r="F25" s="9">
        <v>1210</v>
      </c>
      <c r="G25" s="9">
        <f t="shared" si="0"/>
        <v>1210</v>
      </c>
      <c r="H25">
        <f t="shared" si="1"/>
        <v>2.14</v>
      </c>
      <c r="I25" s="10">
        <f t="shared" si="2"/>
        <v>6.0000000000000001E-3</v>
      </c>
      <c r="J25">
        <f t="shared" si="3"/>
        <v>1.05</v>
      </c>
      <c r="P25">
        <v>590</v>
      </c>
    </row>
    <row r="26" spans="1:16" x14ac:dyDescent="0.25">
      <c r="A26" t="s">
        <v>20</v>
      </c>
      <c r="B26" t="s">
        <v>37</v>
      </c>
      <c r="C26" s="9"/>
      <c r="D26" s="9"/>
      <c r="E26" s="9">
        <v>12220</v>
      </c>
      <c r="F26" s="9">
        <v>3820</v>
      </c>
      <c r="G26" s="9">
        <f t="shared" si="0"/>
        <v>16040</v>
      </c>
      <c r="H26">
        <f t="shared" si="1"/>
        <v>28.34</v>
      </c>
      <c r="I26" s="10">
        <f t="shared" si="2"/>
        <v>8.5000000000000006E-2</v>
      </c>
      <c r="J26">
        <f t="shared" si="3"/>
        <v>0.31</v>
      </c>
      <c r="P26">
        <v>12200</v>
      </c>
    </row>
    <row r="27" spans="1:16" x14ac:dyDescent="0.25">
      <c r="A27" t="s">
        <v>20</v>
      </c>
      <c r="B27" t="s">
        <v>38</v>
      </c>
      <c r="C27" s="9"/>
      <c r="D27" s="9"/>
      <c r="E27" s="9">
        <v>1430</v>
      </c>
      <c r="F27" s="9"/>
      <c r="G27" s="9">
        <f t="shared" si="0"/>
        <v>1430</v>
      </c>
      <c r="H27">
        <f t="shared" si="1"/>
        <v>2.5299999999999998</v>
      </c>
      <c r="I27" s="10">
        <f t="shared" si="2"/>
        <v>8.0000000000000002E-3</v>
      </c>
      <c r="P27">
        <v>0</v>
      </c>
    </row>
    <row r="28" spans="1:16" x14ac:dyDescent="0.25">
      <c r="A28" t="s">
        <v>20</v>
      </c>
      <c r="B28" t="s">
        <v>39</v>
      </c>
      <c r="C28" s="9"/>
      <c r="D28" s="9"/>
      <c r="E28" s="9">
        <v>3070</v>
      </c>
      <c r="F28" s="9"/>
      <c r="G28" s="9">
        <f t="shared" si="0"/>
        <v>3070</v>
      </c>
      <c r="H28">
        <f t="shared" si="1"/>
        <v>5.42</v>
      </c>
      <c r="I28" s="10">
        <f t="shared" si="2"/>
        <v>1.6E-2</v>
      </c>
      <c r="J28">
        <f>ROUND(G28/P28-1,2)</f>
        <v>-0.22</v>
      </c>
      <c r="P28">
        <v>3930</v>
      </c>
    </row>
    <row r="29" spans="1:16" x14ac:dyDescent="0.25">
      <c r="A29" t="s">
        <v>20</v>
      </c>
      <c r="B29" t="s">
        <v>70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23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69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J31">
        <f>ROUND(G31/P31-1,2)</f>
        <v>-1</v>
      </c>
      <c r="P31">
        <v>910</v>
      </c>
    </row>
    <row r="32" spans="1:16" x14ac:dyDescent="0.25">
      <c r="A32" t="s">
        <v>44</v>
      </c>
      <c r="B32" t="s">
        <v>45</v>
      </c>
      <c r="C32" s="9">
        <v>60335</v>
      </c>
      <c r="D32" s="9"/>
      <c r="E32" s="9"/>
      <c r="F32" s="9">
        <v>100</v>
      </c>
      <c r="G32" s="9">
        <f t="shared" si="0"/>
        <v>60435</v>
      </c>
      <c r="H32">
        <f t="shared" si="1"/>
        <v>106.78</v>
      </c>
      <c r="I32" s="10">
        <f t="shared" si="2"/>
        <v>0.31900000000000001</v>
      </c>
      <c r="J32">
        <f>ROUND(G32/P32-1,2)</f>
        <v>-0.06</v>
      </c>
      <c r="P32">
        <v>63975</v>
      </c>
    </row>
    <row r="33" spans="1:16" x14ac:dyDescent="0.25">
      <c r="A33" t="s">
        <v>44</v>
      </c>
      <c r="B33" t="s">
        <v>46</v>
      </c>
      <c r="C33" s="9"/>
      <c r="D33" s="9"/>
      <c r="E33" s="9">
        <v>5760</v>
      </c>
      <c r="F33" s="9"/>
      <c r="G33" s="9">
        <f t="shared" si="0"/>
        <v>5760</v>
      </c>
      <c r="H33">
        <f t="shared" si="1"/>
        <v>10.18</v>
      </c>
      <c r="I33" s="10">
        <f t="shared" si="2"/>
        <v>0.03</v>
      </c>
      <c r="J33">
        <f>ROUND(G33/P33-1,2)</f>
        <v>0.28999999999999998</v>
      </c>
      <c r="P33">
        <v>4480</v>
      </c>
    </row>
    <row r="34" spans="1:16" x14ac:dyDescent="0.25">
      <c r="A34" t="s">
        <v>44</v>
      </c>
      <c r="B34" t="s">
        <v>47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16</v>
      </c>
      <c r="B35" t="s">
        <v>17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16</v>
      </c>
      <c r="B36" t="s">
        <v>66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157215</v>
      </c>
      <c r="D49" s="12">
        <f t="shared" si="4"/>
        <v>133</v>
      </c>
      <c r="E49" s="12">
        <f t="shared" si="4"/>
        <v>23400</v>
      </c>
      <c r="F49" s="12">
        <f t="shared" si="4"/>
        <v>8788</v>
      </c>
      <c r="G49" s="12">
        <f t="shared" si="4"/>
        <v>189536</v>
      </c>
      <c r="H49" s="11">
        <f t="shared" si="4"/>
        <v>334.89</v>
      </c>
      <c r="I49" s="4"/>
    </row>
    <row r="50" spans="1:10" x14ac:dyDescent="0.25">
      <c r="A50" s="11" t="s">
        <v>14</v>
      </c>
      <c r="C50" s="13">
        <f>ROUND(C49/G49,2)</f>
        <v>0.83</v>
      </c>
      <c r="D50" s="13">
        <f>ROUND(D49/G49,2)</f>
        <v>0</v>
      </c>
      <c r="E50" s="13">
        <f>ROUND(E49/G49,2)</f>
        <v>0.12</v>
      </c>
      <c r="F50" s="13">
        <f>ROUND(F49/G49,2)</f>
        <v>0.05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96880</v>
      </c>
      <c r="D54" s="15">
        <v>133</v>
      </c>
      <c r="E54" s="15">
        <v>17640</v>
      </c>
      <c r="F54" s="15">
        <v>8688</v>
      </c>
      <c r="G54" s="15">
        <f>SUM(C54:F54)</f>
        <v>123341</v>
      </c>
      <c r="H54" s="17">
        <f>ROUND(G54/566,2)</f>
        <v>217.92</v>
      </c>
      <c r="I54" s="4"/>
      <c r="J54" s="4"/>
    </row>
    <row r="55" spans="1:10" x14ac:dyDescent="0.25">
      <c r="A55" s="33" t="s">
        <v>50</v>
      </c>
      <c r="B55" s="33"/>
      <c r="C55" s="15">
        <v>60335</v>
      </c>
      <c r="D55" s="15">
        <v>0</v>
      </c>
      <c r="E55" s="15">
        <v>5760</v>
      </c>
      <c r="F55" s="15">
        <v>100</v>
      </c>
      <c r="G55" s="15">
        <f>SUM(C55:F55)</f>
        <v>66195</v>
      </c>
      <c r="H55" s="17">
        <f>ROUND(G55/566,2)</f>
        <v>116.95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ROUND(G56/566,2)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ROUND(0.6779, 4)</f>
        <v>0.67789999999999995</v>
      </c>
      <c r="D60" s="19">
        <f>ROUND(0.6496, 4)</f>
        <v>0.64959999999999996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ROUND(0.6635, 4)</f>
        <v>0.66349999999999998</v>
      </c>
      <c r="D61" s="19">
        <f>ROUND(0.6351, 4)</f>
        <v>0.6351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241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106.78</v>
      </c>
      <c r="D64" s="17">
        <v>102.89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45.8</v>
      </c>
      <c r="D65" s="17">
        <v>45.34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6">
        <v>217.92</v>
      </c>
      <c r="D66" s="16">
        <v>200.96</v>
      </c>
      <c r="E66" s="16">
        <v>291.85000000000002</v>
      </c>
      <c r="F66" s="16">
        <v>285.41000000000003</v>
      </c>
    </row>
    <row r="67" spans="1:10" x14ac:dyDescent="0.25">
      <c r="A67" s="32" t="s">
        <v>62</v>
      </c>
      <c r="B67" s="32"/>
      <c r="C67" s="16">
        <v>116.95</v>
      </c>
      <c r="D67" s="16">
        <v>116.99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P79"/>
  <sheetViews>
    <sheetView topLeftCell="A27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242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8887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215</v>
      </c>
      <c r="F9" s="9"/>
      <c r="G9" s="9">
        <f t="shared" ref="G9:G34" si="0">SUM(C9:F9)</f>
        <v>215</v>
      </c>
      <c r="H9">
        <f t="shared" ref="H9:H34" si="1">ROUND(G9/8887,2)</f>
        <v>0.02</v>
      </c>
      <c r="I9" s="10">
        <f t="shared" ref="I9:I34" si="2">ROUND(G9/$G$49,3)</f>
        <v>0</v>
      </c>
      <c r="J9">
        <f t="shared" ref="J9:J31" si="3">ROUND(G9/P9-1,2)</f>
        <v>0.41</v>
      </c>
      <c r="P9">
        <v>153</v>
      </c>
    </row>
    <row r="10" spans="1:16" x14ac:dyDescent="0.25">
      <c r="A10" t="s">
        <v>20</v>
      </c>
      <c r="B10" t="s">
        <v>21</v>
      </c>
      <c r="C10" s="9"/>
      <c r="D10" s="9"/>
      <c r="E10" s="9">
        <v>2440</v>
      </c>
      <c r="F10" s="9"/>
      <c r="G10" s="9">
        <f t="shared" si="0"/>
        <v>2440</v>
      </c>
      <c r="H10">
        <f t="shared" si="1"/>
        <v>0.27</v>
      </c>
      <c r="I10" s="10">
        <f t="shared" si="2"/>
        <v>3.0000000000000001E-3</v>
      </c>
      <c r="J10">
        <f t="shared" si="3"/>
        <v>1.18</v>
      </c>
      <c r="P10">
        <v>1120</v>
      </c>
    </row>
    <row r="11" spans="1:16" x14ac:dyDescent="0.25">
      <c r="A11" t="s">
        <v>20</v>
      </c>
      <c r="B11" t="s">
        <v>79</v>
      </c>
      <c r="C11" s="9"/>
      <c r="D11" s="9"/>
      <c r="E11" s="9">
        <v>293</v>
      </c>
      <c r="F11" s="9"/>
      <c r="G11" s="9">
        <f t="shared" si="0"/>
        <v>293</v>
      </c>
      <c r="H11">
        <f t="shared" si="1"/>
        <v>0.03</v>
      </c>
      <c r="I11" s="10">
        <f t="shared" si="2"/>
        <v>0</v>
      </c>
      <c r="J11">
        <f t="shared" si="3"/>
        <v>-7.0000000000000007E-2</v>
      </c>
      <c r="P11">
        <v>314</v>
      </c>
    </row>
    <row r="12" spans="1:16" x14ac:dyDescent="0.25">
      <c r="A12" t="s">
        <v>20</v>
      </c>
      <c r="B12" t="s">
        <v>42</v>
      </c>
      <c r="C12" s="9"/>
      <c r="D12" s="9"/>
      <c r="E12" s="9">
        <v>403</v>
      </c>
      <c r="F12" s="9"/>
      <c r="G12" s="9">
        <f t="shared" si="0"/>
        <v>403</v>
      </c>
      <c r="H12">
        <f t="shared" si="1"/>
        <v>0.05</v>
      </c>
      <c r="I12" s="10">
        <f t="shared" si="2"/>
        <v>0</v>
      </c>
      <c r="J12">
        <f t="shared" si="3"/>
        <v>0.16</v>
      </c>
      <c r="P12">
        <v>348</v>
      </c>
    </row>
    <row r="13" spans="1:16" x14ac:dyDescent="0.25">
      <c r="A13" t="s">
        <v>20</v>
      </c>
      <c r="B13" t="s">
        <v>23</v>
      </c>
      <c r="C13" s="9"/>
      <c r="D13" s="9"/>
      <c r="E13" s="9">
        <v>2880</v>
      </c>
      <c r="F13" s="9"/>
      <c r="G13" s="9">
        <f t="shared" si="0"/>
        <v>2880</v>
      </c>
      <c r="H13">
        <f t="shared" si="1"/>
        <v>0.32</v>
      </c>
      <c r="I13" s="10">
        <f t="shared" si="2"/>
        <v>3.0000000000000001E-3</v>
      </c>
      <c r="J13">
        <f t="shared" si="3"/>
        <v>0.1</v>
      </c>
      <c r="P13">
        <v>2630</v>
      </c>
    </row>
    <row r="14" spans="1:16" x14ac:dyDescent="0.25">
      <c r="A14" t="s">
        <v>20</v>
      </c>
      <c r="B14" t="s">
        <v>24</v>
      </c>
      <c r="C14" s="9"/>
      <c r="D14" s="9"/>
      <c r="E14" s="9">
        <v>77740</v>
      </c>
      <c r="F14" s="9"/>
      <c r="G14" s="9">
        <f t="shared" si="0"/>
        <v>77740</v>
      </c>
      <c r="H14">
        <f t="shared" si="1"/>
        <v>8.75</v>
      </c>
      <c r="I14" s="10">
        <f t="shared" si="2"/>
        <v>9.0999999999999998E-2</v>
      </c>
      <c r="J14">
        <f t="shared" si="3"/>
        <v>0.04</v>
      </c>
      <c r="P14">
        <v>74540</v>
      </c>
    </row>
    <row r="15" spans="1:16" x14ac:dyDescent="0.25">
      <c r="A15" t="s">
        <v>20</v>
      </c>
      <c r="B15" t="s">
        <v>25</v>
      </c>
      <c r="C15" s="9"/>
      <c r="D15" s="9"/>
      <c r="E15" s="9">
        <v>15110</v>
      </c>
      <c r="F15" s="9"/>
      <c r="G15" s="9">
        <f t="shared" si="0"/>
        <v>15110</v>
      </c>
      <c r="H15">
        <f t="shared" si="1"/>
        <v>1.7</v>
      </c>
      <c r="I15" s="10">
        <f t="shared" si="2"/>
        <v>1.7999999999999999E-2</v>
      </c>
      <c r="J15">
        <f t="shared" si="3"/>
        <v>-0.14000000000000001</v>
      </c>
      <c r="P15">
        <v>17605</v>
      </c>
    </row>
    <row r="16" spans="1:16" x14ac:dyDescent="0.25">
      <c r="A16" t="s">
        <v>20</v>
      </c>
      <c r="B16" t="s">
        <v>69</v>
      </c>
      <c r="C16" s="9"/>
      <c r="D16" s="9"/>
      <c r="E16" s="9">
        <v>9510</v>
      </c>
      <c r="F16" s="9"/>
      <c r="G16" s="9">
        <f t="shared" si="0"/>
        <v>9510</v>
      </c>
      <c r="H16">
        <f t="shared" si="1"/>
        <v>1.07</v>
      </c>
      <c r="I16" s="10">
        <f t="shared" si="2"/>
        <v>1.0999999999999999E-2</v>
      </c>
      <c r="J16">
        <f t="shared" si="3"/>
        <v>-0.03</v>
      </c>
      <c r="P16">
        <v>9755</v>
      </c>
    </row>
    <row r="17" spans="1:16" x14ac:dyDescent="0.25">
      <c r="A17" t="s">
        <v>20</v>
      </c>
      <c r="B17" t="s">
        <v>27</v>
      </c>
      <c r="C17" s="9"/>
      <c r="D17" s="9"/>
      <c r="E17" s="9">
        <v>253</v>
      </c>
      <c r="F17" s="9"/>
      <c r="G17" s="9">
        <f t="shared" si="0"/>
        <v>253</v>
      </c>
      <c r="H17">
        <f t="shared" si="1"/>
        <v>0.03</v>
      </c>
      <c r="I17" s="10">
        <f t="shared" si="2"/>
        <v>0</v>
      </c>
      <c r="J17">
        <f t="shared" si="3"/>
        <v>-0.64</v>
      </c>
      <c r="P17">
        <v>701</v>
      </c>
    </row>
    <row r="18" spans="1:16" x14ac:dyDescent="0.25">
      <c r="A18" t="s">
        <v>20</v>
      </c>
      <c r="B18" t="s">
        <v>28</v>
      </c>
      <c r="C18" s="9"/>
      <c r="D18" s="9"/>
      <c r="E18" s="9">
        <v>204</v>
      </c>
      <c r="F18" s="9"/>
      <c r="G18" s="9">
        <f t="shared" si="0"/>
        <v>204</v>
      </c>
      <c r="H18">
        <f t="shared" si="1"/>
        <v>0.02</v>
      </c>
      <c r="I18" s="10">
        <f t="shared" si="2"/>
        <v>0</v>
      </c>
      <c r="J18">
        <f t="shared" si="3"/>
        <v>-0.09</v>
      </c>
      <c r="P18">
        <v>225</v>
      </c>
    </row>
    <row r="19" spans="1:16" x14ac:dyDescent="0.25">
      <c r="A19" t="s">
        <v>20</v>
      </c>
      <c r="B19" t="s">
        <v>30</v>
      </c>
      <c r="C19" s="9"/>
      <c r="D19" s="9"/>
      <c r="E19" s="9">
        <v>18260</v>
      </c>
      <c r="F19" s="9"/>
      <c r="G19" s="9">
        <f t="shared" si="0"/>
        <v>18260</v>
      </c>
      <c r="H19">
        <f t="shared" si="1"/>
        <v>2.0499999999999998</v>
      </c>
      <c r="I19" s="10">
        <f t="shared" si="2"/>
        <v>2.1000000000000001E-2</v>
      </c>
      <c r="J19">
        <f t="shared" si="3"/>
        <v>0.08</v>
      </c>
      <c r="P19">
        <v>16860</v>
      </c>
    </row>
    <row r="20" spans="1:16" x14ac:dyDescent="0.25">
      <c r="A20" t="s">
        <v>20</v>
      </c>
      <c r="B20" t="s">
        <v>31</v>
      </c>
      <c r="C20" s="9"/>
      <c r="D20" s="9"/>
      <c r="E20" s="9">
        <v>2320</v>
      </c>
      <c r="F20" s="9"/>
      <c r="G20" s="9">
        <f t="shared" si="0"/>
        <v>2320</v>
      </c>
      <c r="H20">
        <f t="shared" si="1"/>
        <v>0.26</v>
      </c>
      <c r="I20" s="10">
        <f t="shared" si="2"/>
        <v>3.0000000000000001E-3</v>
      </c>
      <c r="J20">
        <f t="shared" si="3"/>
        <v>-0.2</v>
      </c>
      <c r="P20">
        <v>2910</v>
      </c>
    </row>
    <row r="21" spans="1:16" x14ac:dyDescent="0.25">
      <c r="A21" t="s">
        <v>20</v>
      </c>
      <c r="B21" t="s">
        <v>33</v>
      </c>
      <c r="C21" s="9"/>
      <c r="D21" s="9"/>
      <c r="E21" s="9">
        <v>4250</v>
      </c>
      <c r="F21" s="9"/>
      <c r="G21" s="9">
        <f t="shared" si="0"/>
        <v>4250</v>
      </c>
      <c r="H21">
        <f t="shared" si="1"/>
        <v>0.48</v>
      </c>
      <c r="I21" s="10">
        <f t="shared" si="2"/>
        <v>5.0000000000000001E-3</v>
      </c>
      <c r="J21">
        <f t="shared" si="3"/>
        <v>0.22</v>
      </c>
      <c r="P21">
        <v>3490</v>
      </c>
    </row>
    <row r="22" spans="1:16" x14ac:dyDescent="0.25">
      <c r="A22" t="s">
        <v>20</v>
      </c>
      <c r="B22" t="s">
        <v>43</v>
      </c>
      <c r="C22" s="9"/>
      <c r="D22" s="9">
        <v>52</v>
      </c>
      <c r="E22" s="9">
        <v>133</v>
      </c>
      <c r="F22" s="9"/>
      <c r="G22" s="9">
        <f t="shared" si="0"/>
        <v>185</v>
      </c>
      <c r="H22">
        <f t="shared" si="1"/>
        <v>0.02</v>
      </c>
      <c r="I22" s="10">
        <f t="shared" si="2"/>
        <v>0</v>
      </c>
      <c r="J22">
        <f t="shared" si="3"/>
        <v>-7.0000000000000007E-2</v>
      </c>
      <c r="P22">
        <v>198</v>
      </c>
    </row>
    <row r="23" spans="1:16" x14ac:dyDescent="0.25">
      <c r="A23" t="s">
        <v>20</v>
      </c>
      <c r="B23" t="s">
        <v>34</v>
      </c>
      <c r="C23" s="9"/>
      <c r="D23" s="9"/>
      <c r="E23" s="9">
        <v>504</v>
      </c>
      <c r="F23" s="9"/>
      <c r="G23" s="9">
        <f t="shared" si="0"/>
        <v>504</v>
      </c>
      <c r="H23">
        <f t="shared" si="1"/>
        <v>0.06</v>
      </c>
      <c r="I23" s="10">
        <f t="shared" si="2"/>
        <v>1E-3</v>
      </c>
      <c r="J23">
        <f t="shared" si="3"/>
        <v>0</v>
      </c>
      <c r="P23">
        <v>506</v>
      </c>
    </row>
    <row r="24" spans="1:16" x14ac:dyDescent="0.25">
      <c r="A24" t="s">
        <v>20</v>
      </c>
      <c r="B24" t="s">
        <v>70</v>
      </c>
      <c r="C24" s="9"/>
      <c r="D24" s="9"/>
      <c r="E24" s="9">
        <v>5722</v>
      </c>
      <c r="F24" s="9"/>
      <c r="G24" s="9">
        <f t="shared" si="0"/>
        <v>5722</v>
      </c>
      <c r="H24">
        <f t="shared" si="1"/>
        <v>0.64</v>
      </c>
      <c r="I24" s="10">
        <f t="shared" si="2"/>
        <v>7.0000000000000001E-3</v>
      </c>
      <c r="J24">
        <f t="shared" si="3"/>
        <v>0.56000000000000005</v>
      </c>
      <c r="P24">
        <v>3660</v>
      </c>
    </row>
    <row r="25" spans="1:16" x14ac:dyDescent="0.25">
      <c r="A25" t="s">
        <v>20</v>
      </c>
      <c r="B25" t="s">
        <v>35</v>
      </c>
      <c r="C25" s="9"/>
      <c r="D25" s="9"/>
      <c r="E25" s="9">
        <v>6050</v>
      </c>
      <c r="F25" s="9"/>
      <c r="G25" s="9">
        <f t="shared" si="0"/>
        <v>6050</v>
      </c>
      <c r="H25">
        <f t="shared" si="1"/>
        <v>0.68</v>
      </c>
      <c r="I25" s="10">
        <f t="shared" si="2"/>
        <v>7.0000000000000001E-3</v>
      </c>
      <c r="J25">
        <f t="shared" si="3"/>
        <v>-0.61</v>
      </c>
      <c r="P25">
        <v>15330</v>
      </c>
    </row>
    <row r="26" spans="1:16" x14ac:dyDescent="0.25">
      <c r="A26" t="s">
        <v>20</v>
      </c>
      <c r="B26" t="s">
        <v>41</v>
      </c>
      <c r="C26" s="9"/>
      <c r="D26" s="9"/>
      <c r="E26" s="9">
        <v>16630</v>
      </c>
      <c r="F26" s="9"/>
      <c r="G26" s="9">
        <f t="shared" si="0"/>
        <v>16630</v>
      </c>
      <c r="H26">
        <f t="shared" si="1"/>
        <v>1.87</v>
      </c>
      <c r="I26" s="10">
        <f t="shared" si="2"/>
        <v>1.9E-2</v>
      </c>
      <c r="J26">
        <f t="shared" si="3"/>
        <v>-0.21</v>
      </c>
      <c r="P26">
        <v>20991</v>
      </c>
    </row>
    <row r="27" spans="1:16" x14ac:dyDescent="0.25">
      <c r="A27" t="s">
        <v>20</v>
      </c>
      <c r="B27" t="s">
        <v>36</v>
      </c>
      <c r="C27" s="9"/>
      <c r="D27" s="9"/>
      <c r="E27" s="9">
        <v>22410</v>
      </c>
      <c r="F27" s="9"/>
      <c r="G27" s="9">
        <f t="shared" si="0"/>
        <v>22410</v>
      </c>
      <c r="H27">
        <f t="shared" si="1"/>
        <v>2.52</v>
      </c>
      <c r="I27" s="10">
        <f t="shared" si="2"/>
        <v>2.5999999999999999E-2</v>
      </c>
      <c r="J27">
        <f t="shared" si="3"/>
        <v>-0.37</v>
      </c>
      <c r="P27">
        <v>35780</v>
      </c>
    </row>
    <row r="28" spans="1:16" x14ac:dyDescent="0.25">
      <c r="A28" t="s">
        <v>20</v>
      </c>
      <c r="B28" t="s">
        <v>37</v>
      </c>
      <c r="C28" s="9"/>
      <c r="D28" s="9"/>
      <c r="E28" s="9">
        <v>175685</v>
      </c>
      <c r="F28" s="9"/>
      <c r="G28" s="9">
        <f t="shared" si="0"/>
        <v>175685</v>
      </c>
      <c r="H28">
        <f t="shared" si="1"/>
        <v>19.77</v>
      </c>
      <c r="I28" s="10">
        <f t="shared" si="2"/>
        <v>0.20499999999999999</v>
      </c>
      <c r="J28">
        <f t="shared" si="3"/>
        <v>0.03</v>
      </c>
      <c r="P28">
        <v>170160</v>
      </c>
    </row>
    <row r="29" spans="1:16" x14ac:dyDescent="0.25">
      <c r="A29" t="s">
        <v>20</v>
      </c>
      <c r="B29" t="s">
        <v>38</v>
      </c>
      <c r="C29" s="9"/>
      <c r="D29" s="9"/>
      <c r="E29" s="9">
        <v>6710</v>
      </c>
      <c r="F29" s="9"/>
      <c r="G29" s="9">
        <f t="shared" si="0"/>
        <v>6710</v>
      </c>
      <c r="H29">
        <f t="shared" si="1"/>
        <v>0.76</v>
      </c>
      <c r="I29" s="10">
        <f t="shared" si="2"/>
        <v>8.0000000000000002E-3</v>
      </c>
      <c r="J29">
        <f t="shared" si="3"/>
        <v>0.05</v>
      </c>
      <c r="P29">
        <v>6415</v>
      </c>
    </row>
    <row r="30" spans="1:16" x14ac:dyDescent="0.25">
      <c r="A30" t="s">
        <v>20</v>
      </c>
      <c r="B30" t="s">
        <v>39</v>
      </c>
      <c r="C30" s="9"/>
      <c r="D30" s="9"/>
      <c r="E30" s="9">
        <v>34670</v>
      </c>
      <c r="F30" s="9"/>
      <c r="G30" s="9">
        <f t="shared" si="0"/>
        <v>34670</v>
      </c>
      <c r="H30">
        <f t="shared" si="1"/>
        <v>3.9</v>
      </c>
      <c r="I30" s="10">
        <f t="shared" si="2"/>
        <v>0.04</v>
      </c>
      <c r="J30">
        <f t="shared" si="3"/>
        <v>-0.04</v>
      </c>
      <c r="P30">
        <v>36180</v>
      </c>
    </row>
    <row r="31" spans="1:16" x14ac:dyDescent="0.25">
      <c r="A31" t="s">
        <v>20</v>
      </c>
      <c r="B31" t="s">
        <v>40</v>
      </c>
      <c r="C31" s="9"/>
      <c r="D31" s="9"/>
      <c r="E31" s="9">
        <v>377150</v>
      </c>
      <c r="F31" s="9"/>
      <c r="G31" s="9">
        <f t="shared" si="0"/>
        <v>377150</v>
      </c>
      <c r="H31">
        <f t="shared" si="1"/>
        <v>42.44</v>
      </c>
      <c r="I31" s="10">
        <f t="shared" si="2"/>
        <v>0.439</v>
      </c>
      <c r="J31">
        <f t="shared" si="3"/>
        <v>0.11</v>
      </c>
      <c r="P31">
        <v>339250</v>
      </c>
    </row>
    <row r="32" spans="1:16" x14ac:dyDescent="0.25">
      <c r="A32" t="s">
        <v>20</v>
      </c>
      <c r="B32" t="s">
        <v>32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44</v>
      </c>
      <c r="B33" t="s">
        <v>46</v>
      </c>
      <c r="C33" s="9"/>
      <c r="D33" s="9"/>
      <c r="E33" s="9">
        <v>79060</v>
      </c>
      <c r="F33" s="9"/>
      <c r="G33" s="9">
        <f t="shared" si="0"/>
        <v>79060</v>
      </c>
      <c r="H33">
        <f t="shared" si="1"/>
        <v>8.9</v>
      </c>
      <c r="I33" s="10">
        <f t="shared" si="2"/>
        <v>9.1999999999999998E-2</v>
      </c>
      <c r="J33">
        <f>ROUND(G33/P33-1,2)</f>
        <v>-0.03</v>
      </c>
      <c r="P33">
        <v>81360</v>
      </c>
    </row>
    <row r="34" spans="1:16" x14ac:dyDescent="0.25">
      <c r="A34" t="s">
        <v>16</v>
      </c>
      <c r="B34" t="s">
        <v>19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SUM(C8:C34)</f>
        <v>0</v>
      </c>
      <c r="D49" s="12">
        <f t="shared" si="4"/>
        <v>52</v>
      </c>
      <c r="E49" s="12">
        <f t="shared" si="4"/>
        <v>858602</v>
      </c>
      <c r="F49" s="12">
        <f t="shared" si="4"/>
        <v>0</v>
      </c>
      <c r="G49" s="12">
        <f t="shared" si="4"/>
        <v>858654</v>
      </c>
      <c r="H49" s="11">
        <f t="shared" si="4"/>
        <v>96.61</v>
      </c>
      <c r="I49" s="4"/>
    </row>
    <row r="50" spans="1:10" x14ac:dyDescent="0.25">
      <c r="A50" s="11" t="s">
        <v>14</v>
      </c>
      <c r="C50" s="13">
        <f>ROUND(C49/G49,2)</f>
        <v>0</v>
      </c>
      <c r="D50" s="13">
        <f>ROUND(D49/G49,2)</f>
        <v>0</v>
      </c>
      <c r="E50" s="13">
        <f>ROUND(E49/G49,2)</f>
        <v>1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0</v>
      </c>
      <c r="D54" s="15">
        <v>52</v>
      </c>
      <c r="E54" s="15">
        <v>779542</v>
      </c>
      <c r="F54" s="15">
        <v>0</v>
      </c>
      <c r="G54" s="15">
        <f>SUM(C54:F54)</f>
        <v>779594</v>
      </c>
      <c r="H54" s="17">
        <f>ROUND(G54/8887,2)</f>
        <v>87.72</v>
      </c>
      <c r="I54" s="4"/>
      <c r="J54" s="4"/>
    </row>
    <row r="55" spans="1:10" x14ac:dyDescent="0.25">
      <c r="A55" s="33" t="s">
        <v>50</v>
      </c>
      <c r="B55" s="33"/>
      <c r="C55" s="15">
        <v>0</v>
      </c>
      <c r="D55" s="15">
        <v>0</v>
      </c>
      <c r="E55" s="15">
        <v>79060</v>
      </c>
      <c r="F55" s="15">
        <v>0</v>
      </c>
      <c r="G55" s="15">
        <f>SUM(C55:F55)</f>
        <v>79060</v>
      </c>
      <c r="H55" s="17">
        <f>ROUND(G55/8887,2)</f>
        <v>8.9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ROUND(G56/8887,2)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ROUND(0.989, 4)</f>
        <v>0.98899999999999999</v>
      </c>
      <c r="D60" s="19">
        <f>ROUND(0.9885, 4)</f>
        <v>0.98850000000000005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ROUND(0.9879, 4)</f>
        <v>0.9879</v>
      </c>
      <c r="D61" s="19">
        <f>ROUND(0.9879, 4)</f>
        <v>0.9879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243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/>
      <c r="D64" s="17"/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/>
      <c r="D65" s="17"/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87.72</v>
      </c>
      <c r="D66" s="17">
        <v>91.91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8.9</v>
      </c>
      <c r="D67" s="17">
        <v>9.51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P67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4.71093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1.7109375" hidden="1" customWidth="1"/>
  </cols>
  <sheetData>
    <row r="2" spans="1:16" ht="18.75" x14ac:dyDescent="0.3">
      <c r="A2" s="1" t="s">
        <v>0</v>
      </c>
      <c r="B2" s="8" t="s">
        <v>244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9833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13</v>
      </c>
      <c r="G9" s="9">
        <f t="shared" ref="G9:G46" si="0">SUM(C9:F9)</f>
        <v>13</v>
      </c>
      <c r="H9">
        <f t="shared" ref="H9:H46" si="1">ROUND(G9/9833,2)</f>
        <v>0</v>
      </c>
      <c r="I9" s="10">
        <f t="shared" ref="I9:I46" si="2">ROUND(G9/$G$49,3)</f>
        <v>0</v>
      </c>
      <c r="P9">
        <v>0</v>
      </c>
    </row>
    <row r="10" spans="1:16" x14ac:dyDescent="0.25">
      <c r="A10" t="s">
        <v>16</v>
      </c>
      <c r="B10" t="s">
        <v>66</v>
      </c>
      <c r="C10" s="9"/>
      <c r="D10" s="9"/>
      <c r="E10" s="9"/>
      <c r="F10" s="9">
        <v>300</v>
      </c>
      <c r="G10" s="9">
        <f t="shared" si="0"/>
        <v>300</v>
      </c>
      <c r="H10">
        <f t="shared" si="1"/>
        <v>0.03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280</v>
      </c>
      <c r="G11" s="9">
        <f t="shared" si="0"/>
        <v>280</v>
      </c>
      <c r="H11">
        <f t="shared" si="1"/>
        <v>0.03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132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983</v>
      </c>
      <c r="F13" s="9"/>
      <c r="G13" s="9">
        <f t="shared" si="0"/>
        <v>983</v>
      </c>
      <c r="H13">
        <f t="shared" si="1"/>
        <v>0.1</v>
      </c>
      <c r="I13" s="10">
        <f t="shared" si="2"/>
        <v>0</v>
      </c>
      <c r="J13">
        <f t="shared" ref="J13:J18" si="3">ROUND(G13/P13-1,2)</f>
        <v>0.26</v>
      </c>
      <c r="P13">
        <v>783</v>
      </c>
    </row>
    <row r="14" spans="1:16" x14ac:dyDescent="0.25">
      <c r="A14" t="s">
        <v>20</v>
      </c>
      <c r="B14" t="s">
        <v>68</v>
      </c>
      <c r="C14" s="9"/>
      <c r="D14" s="9"/>
      <c r="E14" s="9">
        <v>11320</v>
      </c>
      <c r="F14" s="9">
        <v>50380</v>
      </c>
      <c r="G14" s="9">
        <f t="shared" si="0"/>
        <v>61700</v>
      </c>
      <c r="H14">
        <f t="shared" si="1"/>
        <v>6.27</v>
      </c>
      <c r="I14" s="10">
        <f t="shared" si="2"/>
        <v>1.2E-2</v>
      </c>
      <c r="J14">
        <f t="shared" si="3"/>
        <v>18.78</v>
      </c>
      <c r="P14">
        <v>3120</v>
      </c>
    </row>
    <row r="15" spans="1:16" x14ac:dyDescent="0.25">
      <c r="A15" t="s">
        <v>20</v>
      </c>
      <c r="B15" t="s">
        <v>21</v>
      </c>
      <c r="C15" s="9">
        <v>300390</v>
      </c>
      <c r="D15" s="9"/>
      <c r="E15" s="9">
        <v>94550.96</v>
      </c>
      <c r="F15" s="9">
        <v>38770</v>
      </c>
      <c r="G15" s="9">
        <f t="shared" si="0"/>
        <v>433710.96</v>
      </c>
      <c r="H15">
        <f t="shared" si="1"/>
        <v>44.11</v>
      </c>
      <c r="I15" s="10">
        <f t="shared" si="2"/>
        <v>8.1000000000000003E-2</v>
      </c>
      <c r="J15">
        <f t="shared" si="3"/>
        <v>0.04</v>
      </c>
      <c r="P15">
        <v>418391.66</v>
      </c>
    </row>
    <row r="16" spans="1:16" x14ac:dyDescent="0.25">
      <c r="A16" t="s">
        <v>20</v>
      </c>
      <c r="B16" t="s">
        <v>22</v>
      </c>
      <c r="C16" s="9">
        <v>440900</v>
      </c>
      <c r="D16" s="9"/>
      <c r="E16" s="9">
        <v>9015.1200000000008</v>
      </c>
      <c r="F16" s="9"/>
      <c r="G16" s="9">
        <f t="shared" si="0"/>
        <v>449915.12</v>
      </c>
      <c r="H16">
        <f t="shared" si="1"/>
        <v>45.76</v>
      </c>
      <c r="I16" s="10">
        <f t="shared" si="2"/>
        <v>8.4000000000000005E-2</v>
      </c>
      <c r="J16">
        <f t="shared" si="3"/>
        <v>-0.22</v>
      </c>
      <c r="P16">
        <v>576490</v>
      </c>
    </row>
    <row r="17" spans="1:16" x14ac:dyDescent="0.25">
      <c r="A17" t="s">
        <v>20</v>
      </c>
      <c r="B17" t="s">
        <v>42</v>
      </c>
      <c r="C17" s="9"/>
      <c r="D17" s="9"/>
      <c r="E17" s="9">
        <v>1163.6600000000001</v>
      </c>
      <c r="F17" s="9"/>
      <c r="G17" s="9">
        <f t="shared" si="0"/>
        <v>1163.6600000000001</v>
      </c>
      <c r="H17">
        <f t="shared" si="1"/>
        <v>0.12</v>
      </c>
      <c r="I17" s="10">
        <f t="shared" si="2"/>
        <v>0</v>
      </c>
      <c r="J17">
        <f t="shared" si="3"/>
        <v>0.31</v>
      </c>
      <c r="P17">
        <v>889.98</v>
      </c>
    </row>
    <row r="18" spans="1:16" x14ac:dyDescent="0.25">
      <c r="A18" t="s">
        <v>20</v>
      </c>
      <c r="B18" t="s">
        <v>23</v>
      </c>
      <c r="C18" s="9"/>
      <c r="D18" s="9"/>
      <c r="E18" s="9">
        <v>6118.75</v>
      </c>
      <c r="F18" s="9"/>
      <c r="G18" s="9">
        <f t="shared" si="0"/>
        <v>6118.75</v>
      </c>
      <c r="H18">
        <f t="shared" si="1"/>
        <v>0.62</v>
      </c>
      <c r="I18" s="10">
        <f t="shared" si="2"/>
        <v>1E-3</v>
      </c>
      <c r="J18">
        <f t="shared" si="3"/>
        <v>0.76</v>
      </c>
      <c r="P18">
        <v>3475</v>
      </c>
    </row>
    <row r="19" spans="1:16" x14ac:dyDescent="0.25">
      <c r="A19" t="s">
        <v>20</v>
      </c>
      <c r="B19" t="s">
        <v>103</v>
      </c>
      <c r="C19" s="9"/>
      <c r="D19" s="9"/>
      <c r="E19" s="9"/>
      <c r="F19" s="9">
        <v>163</v>
      </c>
      <c r="G19" s="9">
        <f t="shared" si="0"/>
        <v>163</v>
      </c>
      <c r="H19">
        <f t="shared" si="1"/>
        <v>0.02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359583.98</v>
      </c>
      <c r="F20" s="9"/>
      <c r="G20" s="9">
        <f t="shared" si="0"/>
        <v>359583.98</v>
      </c>
      <c r="H20">
        <f t="shared" si="1"/>
        <v>36.57</v>
      </c>
      <c r="I20" s="10">
        <f t="shared" si="2"/>
        <v>6.7000000000000004E-2</v>
      </c>
      <c r="J20">
        <f t="shared" ref="J20:J41" si="4">ROUND(G20/P20-1,2)</f>
        <v>0.03</v>
      </c>
      <c r="P20">
        <v>348031.71</v>
      </c>
    </row>
    <row r="21" spans="1:16" x14ac:dyDescent="0.25">
      <c r="A21" t="s">
        <v>20</v>
      </c>
      <c r="B21" t="s">
        <v>25</v>
      </c>
      <c r="C21" s="9">
        <v>477704</v>
      </c>
      <c r="D21" s="9"/>
      <c r="E21" s="9">
        <v>211988.86</v>
      </c>
      <c r="F21" s="9">
        <v>38596</v>
      </c>
      <c r="G21" s="9">
        <f t="shared" si="0"/>
        <v>728288.86</v>
      </c>
      <c r="H21">
        <f t="shared" si="1"/>
        <v>74.069999999999993</v>
      </c>
      <c r="I21" s="10">
        <f t="shared" si="2"/>
        <v>0.13700000000000001</v>
      </c>
      <c r="J21">
        <f t="shared" si="4"/>
        <v>-0.02</v>
      </c>
      <c r="P21">
        <v>739734.03</v>
      </c>
    </row>
    <row r="22" spans="1:16" x14ac:dyDescent="0.25">
      <c r="A22" t="s">
        <v>20</v>
      </c>
      <c r="B22" t="s">
        <v>69</v>
      </c>
      <c r="C22" s="9"/>
      <c r="D22" s="9"/>
      <c r="E22" s="9">
        <v>14670</v>
      </c>
      <c r="F22" s="9"/>
      <c r="G22" s="9">
        <f t="shared" si="0"/>
        <v>14670</v>
      </c>
      <c r="H22">
        <f t="shared" si="1"/>
        <v>1.49</v>
      </c>
      <c r="I22" s="10">
        <f t="shared" si="2"/>
        <v>3.0000000000000001E-3</v>
      </c>
      <c r="J22">
        <f t="shared" si="4"/>
        <v>-7.0000000000000007E-2</v>
      </c>
      <c r="P22">
        <v>15825</v>
      </c>
    </row>
    <row r="23" spans="1:16" x14ac:dyDescent="0.25">
      <c r="A23" t="s">
        <v>20</v>
      </c>
      <c r="B23" t="s">
        <v>26</v>
      </c>
      <c r="C23" s="9">
        <v>652280</v>
      </c>
      <c r="D23" s="9"/>
      <c r="E23" s="9"/>
      <c r="F23" s="9">
        <v>3500</v>
      </c>
      <c r="G23" s="9">
        <f t="shared" si="0"/>
        <v>655780</v>
      </c>
      <c r="H23">
        <f t="shared" si="1"/>
        <v>66.69</v>
      </c>
      <c r="I23" s="10">
        <f t="shared" si="2"/>
        <v>0.123</v>
      </c>
      <c r="J23">
        <f t="shared" si="4"/>
        <v>-0.13</v>
      </c>
      <c r="P23">
        <v>751010</v>
      </c>
    </row>
    <row r="24" spans="1:16" x14ac:dyDescent="0.25">
      <c r="A24" t="s">
        <v>20</v>
      </c>
      <c r="B24" t="s">
        <v>27</v>
      </c>
      <c r="C24" s="9"/>
      <c r="D24" s="9"/>
      <c r="E24" s="9">
        <v>3721</v>
      </c>
      <c r="F24" s="9"/>
      <c r="G24" s="9">
        <f t="shared" si="0"/>
        <v>3721</v>
      </c>
      <c r="H24">
        <f t="shared" si="1"/>
        <v>0.38</v>
      </c>
      <c r="I24" s="10">
        <f t="shared" si="2"/>
        <v>1E-3</v>
      </c>
      <c r="J24">
        <f t="shared" si="4"/>
        <v>5.08</v>
      </c>
      <c r="P24">
        <v>612</v>
      </c>
    </row>
    <row r="25" spans="1:16" x14ac:dyDescent="0.25">
      <c r="A25" t="s">
        <v>20</v>
      </c>
      <c r="B25" t="s">
        <v>28</v>
      </c>
      <c r="C25" s="9"/>
      <c r="D25" s="9"/>
      <c r="E25" s="9">
        <v>1727</v>
      </c>
      <c r="F25" s="9"/>
      <c r="G25" s="9">
        <f t="shared" si="0"/>
        <v>1727</v>
      </c>
      <c r="H25">
        <f t="shared" si="1"/>
        <v>0.18</v>
      </c>
      <c r="I25" s="10">
        <f t="shared" si="2"/>
        <v>0</v>
      </c>
      <c r="J25">
        <f t="shared" si="4"/>
        <v>3.24</v>
      </c>
      <c r="P25">
        <v>407</v>
      </c>
    </row>
    <row r="26" spans="1:16" x14ac:dyDescent="0.25">
      <c r="A26" t="s">
        <v>20</v>
      </c>
      <c r="B26" t="s">
        <v>29</v>
      </c>
      <c r="C26" s="9"/>
      <c r="D26" s="9"/>
      <c r="E26" s="9">
        <v>1055.3900000000001</v>
      </c>
      <c r="F26" s="9"/>
      <c r="G26" s="9">
        <f t="shared" si="0"/>
        <v>1055.3900000000001</v>
      </c>
      <c r="H26">
        <f t="shared" si="1"/>
        <v>0.11</v>
      </c>
      <c r="I26" s="10">
        <f t="shared" si="2"/>
        <v>0</v>
      </c>
      <c r="J26">
        <f t="shared" si="4"/>
        <v>0.44</v>
      </c>
      <c r="P26">
        <v>734</v>
      </c>
    </row>
    <row r="27" spans="1:16" x14ac:dyDescent="0.25">
      <c r="A27" t="s">
        <v>20</v>
      </c>
      <c r="B27" t="s">
        <v>30</v>
      </c>
      <c r="C27" s="9"/>
      <c r="D27" s="9"/>
      <c r="E27" s="9">
        <v>22434.639999999999</v>
      </c>
      <c r="F27" s="9"/>
      <c r="G27" s="9">
        <f t="shared" si="0"/>
        <v>22434.639999999999</v>
      </c>
      <c r="H27">
        <f t="shared" si="1"/>
        <v>2.2799999999999998</v>
      </c>
      <c r="I27" s="10">
        <f t="shared" si="2"/>
        <v>4.0000000000000001E-3</v>
      </c>
      <c r="J27">
        <f t="shared" si="4"/>
        <v>-0.17</v>
      </c>
      <c r="P27">
        <v>27094.67</v>
      </c>
    </row>
    <row r="28" spans="1:16" x14ac:dyDescent="0.25">
      <c r="A28" t="s">
        <v>20</v>
      </c>
      <c r="B28" t="s">
        <v>31</v>
      </c>
      <c r="C28" s="9"/>
      <c r="D28" s="9"/>
      <c r="E28" s="9">
        <v>5505.86</v>
      </c>
      <c r="F28" s="9"/>
      <c r="G28" s="9">
        <f t="shared" si="0"/>
        <v>5505.86</v>
      </c>
      <c r="H28">
        <f t="shared" si="1"/>
        <v>0.56000000000000005</v>
      </c>
      <c r="I28" s="10">
        <f t="shared" si="2"/>
        <v>1E-3</v>
      </c>
      <c r="J28">
        <f t="shared" si="4"/>
        <v>0.01</v>
      </c>
      <c r="P28">
        <v>5476.35</v>
      </c>
    </row>
    <row r="29" spans="1:16" x14ac:dyDescent="0.25">
      <c r="A29" t="s">
        <v>20</v>
      </c>
      <c r="B29" t="s">
        <v>32</v>
      </c>
      <c r="C29" s="9"/>
      <c r="D29" s="9"/>
      <c r="E29" s="9">
        <v>1274.6199999999999</v>
      </c>
      <c r="F29" s="9"/>
      <c r="G29" s="9">
        <f t="shared" si="0"/>
        <v>1274.6199999999999</v>
      </c>
      <c r="H29">
        <f t="shared" si="1"/>
        <v>0.13</v>
      </c>
      <c r="I29" s="10">
        <f t="shared" si="2"/>
        <v>0</v>
      </c>
      <c r="J29">
        <f t="shared" si="4"/>
        <v>0.19</v>
      </c>
      <c r="P29">
        <v>1075.1600000000001</v>
      </c>
    </row>
    <row r="30" spans="1:16" x14ac:dyDescent="0.25">
      <c r="A30" t="s">
        <v>20</v>
      </c>
      <c r="B30" t="s">
        <v>33</v>
      </c>
      <c r="C30" s="9"/>
      <c r="D30" s="9"/>
      <c r="E30" s="9">
        <v>5895.57</v>
      </c>
      <c r="F30" s="9"/>
      <c r="G30" s="9">
        <f t="shared" si="0"/>
        <v>5895.57</v>
      </c>
      <c r="H30">
        <f t="shared" si="1"/>
        <v>0.6</v>
      </c>
      <c r="I30" s="10">
        <f t="shared" si="2"/>
        <v>1E-3</v>
      </c>
      <c r="J30">
        <f t="shared" si="4"/>
        <v>0.15</v>
      </c>
      <c r="P30">
        <v>5120.46</v>
      </c>
    </row>
    <row r="31" spans="1:16" x14ac:dyDescent="0.25">
      <c r="A31" t="s">
        <v>20</v>
      </c>
      <c r="B31" t="s">
        <v>43</v>
      </c>
      <c r="C31" s="9"/>
      <c r="D31" s="9">
        <v>935</v>
      </c>
      <c r="E31" s="9">
        <v>1505</v>
      </c>
      <c r="F31" s="9"/>
      <c r="G31" s="9">
        <f t="shared" si="0"/>
        <v>2440</v>
      </c>
      <c r="H31">
        <f t="shared" si="1"/>
        <v>0.25</v>
      </c>
      <c r="I31" s="10">
        <f t="shared" si="2"/>
        <v>0</v>
      </c>
      <c r="J31">
        <f t="shared" si="4"/>
        <v>0.03</v>
      </c>
      <c r="P31">
        <v>2361</v>
      </c>
    </row>
    <row r="32" spans="1:16" x14ac:dyDescent="0.25">
      <c r="A32" t="s">
        <v>20</v>
      </c>
      <c r="B32" t="s">
        <v>70</v>
      </c>
      <c r="C32" s="9"/>
      <c r="D32" s="9"/>
      <c r="E32" s="9">
        <v>7850</v>
      </c>
      <c r="F32" s="9"/>
      <c r="G32" s="9">
        <f t="shared" si="0"/>
        <v>7850</v>
      </c>
      <c r="H32">
        <f t="shared" si="1"/>
        <v>0.8</v>
      </c>
      <c r="I32" s="10">
        <f t="shared" si="2"/>
        <v>1E-3</v>
      </c>
      <c r="J32">
        <f t="shared" si="4"/>
        <v>-0.03</v>
      </c>
      <c r="P32">
        <v>8125</v>
      </c>
    </row>
    <row r="33" spans="1:16" x14ac:dyDescent="0.25">
      <c r="A33" t="s">
        <v>20</v>
      </c>
      <c r="B33" t="s">
        <v>34</v>
      </c>
      <c r="C33" s="9"/>
      <c r="D33" s="9"/>
      <c r="E33" s="9">
        <v>1984.84</v>
      </c>
      <c r="F33" s="9"/>
      <c r="G33" s="9">
        <f t="shared" si="0"/>
        <v>1984.84</v>
      </c>
      <c r="H33">
        <f t="shared" si="1"/>
        <v>0.2</v>
      </c>
      <c r="I33" s="10">
        <f t="shared" si="2"/>
        <v>0</v>
      </c>
      <c r="J33">
        <f t="shared" si="4"/>
        <v>0.43</v>
      </c>
      <c r="P33">
        <v>1390.95</v>
      </c>
    </row>
    <row r="34" spans="1:16" x14ac:dyDescent="0.25">
      <c r="A34" t="s">
        <v>20</v>
      </c>
      <c r="B34" t="s">
        <v>35</v>
      </c>
      <c r="C34" s="9"/>
      <c r="D34" s="9"/>
      <c r="E34" s="9">
        <v>13599.86</v>
      </c>
      <c r="F34" s="9"/>
      <c r="G34" s="9">
        <f t="shared" si="0"/>
        <v>13599.86</v>
      </c>
      <c r="H34">
        <f t="shared" si="1"/>
        <v>1.38</v>
      </c>
      <c r="I34" s="10">
        <f t="shared" si="2"/>
        <v>3.0000000000000001E-3</v>
      </c>
      <c r="J34">
        <f t="shared" si="4"/>
        <v>-0.05</v>
      </c>
      <c r="P34">
        <v>14305.7</v>
      </c>
    </row>
    <row r="35" spans="1:16" x14ac:dyDescent="0.25">
      <c r="A35" t="s">
        <v>20</v>
      </c>
      <c r="B35" t="s">
        <v>36</v>
      </c>
      <c r="C35" s="9"/>
      <c r="D35" s="9"/>
      <c r="E35" s="9">
        <v>22896.78</v>
      </c>
      <c r="F35" s="9"/>
      <c r="G35" s="9">
        <f t="shared" si="0"/>
        <v>22896.78</v>
      </c>
      <c r="H35">
        <f t="shared" si="1"/>
        <v>2.33</v>
      </c>
      <c r="I35" s="10">
        <f t="shared" si="2"/>
        <v>4.0000000000000001E-3</v>
      </c>
      <c r="J35">
        <f t="shared" si="4"/>
        <v>-0.32</v>
      </c>
      <c r="P35">
        <v>33894.9</v>
      </c>
    </row>
    <row r="36" spans="1:16" x14ac:dyDescent="0.25">
      <c r="A36" t="s">
        <v>20</v>
      </c>
      <c r="B36" t="s">
        <v>41</v>
      </c>
      <c r="C36" s="9"/>
      <c r="D36" s="9"/>
      <c r="E36" s="9">
        <v>57064</v>
      </c>
      <c r="F36" s="9"/>
      <c r="G36" s="9">
        <f t="shared" si="0"/>
        <v>57064</v>
      </c>
      <c r="H36">
        <f t="shared" si="1"/>
        <v>5.8</v>
      </c>
      <c r="I36" s="10">
        <f t="shared" si="2"/>
        <v>1.0999999999999999E-2</v>
      </c>
      <c r="J36">
        <f t="shared" si="4"/>
        <v>0.65</v>
      </c>
      <c r="P36">
        <v>34649</v>
      </c>
    </row>
    <row r="37" spans="1:16" x14ac:dyDescent="0.25">
      <c r="A37" t="s">
        <v>20</v>
      </c>
      <c r="B37" t="s">
        <v>37</v>
      </c>
      <c r="C37" s="9"/>
      <c r="D37" s="9"/>
      <c r="E37" s="9">
        <v>406095.97</v>
      </c>
      <c r="F37" s="9"/>
      <c r="G37" s="9">
        <f t="shared" si="0"/>
        <v>406095.97</v>
      </c>
      <c r="H37">
        <f t="shared" si="1"/>
        <v>41.3</v>
      </c>
      <c r="I37" s="10">
        <f t="shared" si="2"/>
        <v>7.5999999999999998E-2</v>
      </c>
      <c r="J37">
        <f t="shared" si="4"/>
        <v>0.34</v>
      </c>
      <c r="P37">
        <v>303039.53000000003</v>
      </c>
    </row>
    <row r="38" spans="1:16" x14ac:dyDescent="0.25">
      <c r="A38" t="s">
        <v>20</v>
      </c>
      <c r="B38" t="s">
        <v>38</v>
      </c>
      <c r="C38" s="9"/>
      <c r="D38" s="9"/>
      <c r="E38" s="9">
        <v>33304.81</v>
      </c>
      <c r="F38" s="9"/>
      <c r="G38" s="9">
        <f t="shared" si="0"/>
        <v>33304.81</v>
      </c>
      <c r="H38">
        <f t="shared" si="1"/>
        <v>3.39</v>
      </c>
      <c r="I38" s="10">
        <f t="shared" si="2"/>
        <v>6.0000000000000001E-3</v>
      </c>
      <c r="J38">
        <f t="shared" si="4"/>
        <v>0.31</v>
      </c>
      <c r="P38">
        <v>25327.43</v>
      </c>
    </row>
    <row r="39" spans="1:16" x14ac:dyDescent="0.25">
      <c r="A39" t="s">
        <v>20</v>
      </c>
      <c r="B39" t="s">
        <v>39</v>
      </c>
      <c r="C39" s="9"/>
      <c r="D39" s="9"/>
      <c r="E39" s="9">
        <v>120081.93</v>
      </c>
      <c r="F39" s="9"/>
      <c r="G39" s="9">
        <f t="shared" si="0"/>
        <v>120081.93</v>
      </c>
      <c r="H39">
        <f t="shared" si="1"/>
        <v>12.21</v>
      </c>
      <c r="I39" s="10">
        <f t="shared" si="2"/>
        <v>2.3E-2</v>
      </c>
      <c r="J39">
        <f t="shared" si="4"/>
        <v>0.14000000000000001</v>
      </c>
      <c r="P39">
        <v>105782.79</v>
      </c>
    </row>
    <row r="40" spans="1:16" x14ac:dyDescent="0.25">
      <c r="A40" t="s">
        <v>20</v>
      </c>
      <c r="B40" t="s">
        <v>40</v>
      </c>
      <c r="C40" s="9"/>
      <c r="D40" s="9"/>
      <c r="E40" s="9">
        <v>279773.71999999997</v>
      </c>
      <c r="F40" s="9"/>
      <c r="G40" s="9">
        <f t="shared" si="0"/>
        <v>279773.71999999997</v>
      </c>
      <c r="H40">
        <f t="shared" si="1"/>
        <v>28.45</v>
      </c>
      <c r="I40" s="10">
        <f t="shared" si="2"/>
        <v>5.1999999999999998E-2</v>
      </c>
      <c r="J40">
        <f t="shared" si="4"/>
        <v>0.24</v>
      </c>
      <c r="P40">
        <v>226529.28</v>
      </c>
    </row>
    <row r="41" spans="1:16" x14ac:dyDescent="0.25">
      <c r="A41" t="s">
        <v>20</v>
      </c>
      <c r="B41" t="s">
        <v>185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J41">
        <f t="shared" si="4"/>
        <v>-1</v>
      </c>
      <c r="P41">
        <v>195</v>
      </c>
    </row>
    <row r="42" spans="1:16" x14ac:dyDescent="0.25">
      <c r="A42" t="s">
        <v>20</v>
      </c>
      <c r="B42" t="s">
        <v>74</v>
      </c>
      <c r="C42" s="9"/>
      <c r="D42" s="9"/>
      <c r="E42" s="9"/>
      <c r="F42" s="9"/>
      <c r="G42" s="9">
        <f t="shared" si="0"/>
        <v>0</v>
      </c>
      <c r="H42">
        <f t="shared" si="1"/>
        <v>0</v>
      </c>
      <c r="I42" s="10">
        <f t="shared" si="2"/>
        <v>0</v>
      </c>
      <c r="P42">
        <v>0</v>
      </c>
    </row>
    <row r="43" spans="1:16" x14ac:dyDescent="0.25">
      <c r="A43" t="s">
        <v>20</v>
      </c>
      <c r="B43" t="s">
        <v>94</v>
      </c>
      <c r="C43" s="9"/>
      <c r="D43" s="9"/>
      <c r="E43" s="9"/>
      <c r="F43" s="9"/>
      <c r="G43" s="9">
        <f t="shared" si="0"/>
        <v>0</v>
      </c>
      <c r="H43">
        <f t="shared" si="1"/>
        <v>0</v>
      </c>
      <c r="I43" s="10">
        <f t="shared" si="2"/>
        <v>0</v>
      </c>
      <c r="P43">
        <v>0</v>
      </c>
    </row>
    <row r="44" spans="1:16" x14ac:dyDescent="0.25">
      <c r="A44" t="s">
        <v>44</v>
      </c>
      <c r="B44" t="s">
        <v>45</v>
      </c>
      <c r="C44" s="9">
        <v>1221450</v>
      </c>
      <c r="D44" s="9"/>
      <c r="E44" s="9"/>
      <c r="F44" s="9">
        <v>18320</v>
      </c>
      <c r="G44" s="9">
        <f t="shared" si="0"/>
        <v>1239770</v>
      </c>
      <c r="H44">
        <f t="shared" si="1"/>
        <v>126.08</v>
      </c>
      <c r="I44" s="10">
        <f t="shared" si="2"/>
        <v>0.23300000000000001</v>
      </c>
      <c r="J44">
        <f>ROUND(G44/P44-1,2)</f>
        <v>0.01</v>
      </c>
      <c r="P44">
        <v>1222575</v>
      </c>
    </row>
    <row r="45" spans="1:16" x14ac:dyDescent="0.25">
      <c r="A45" t="s">
        <v>44</v>
      </c>
      <c r="B45" t="s">
        <v>47</v>
      </c>
      <c r="C45" s="9"/>
      <c r="D45" s="9"/>
      <c r="E45" s="9"/>
      <c r="F45" s="9">
        <v>84835</v>
      </c>
      <c r="G45" s="9">
        <f t="shared" si="0"/>
        <v>84835</v>
      </c>
      <c r="H45">
        <f t="shared" si="1"/>
        <v>8.6300000000000008</v>
      </c>
      <c r="I45" s="10">
        <f t="shared" si="2"/>
        <v>1.6E-2</v>
      </c>
      <c r="J45">
        <f>ROUND(G45/P45-1,2)</f>
        <v>-0.26</v>
      </c>
      <c r="P45">
        <v>115000</v>
      </c>
    </row>
    <row r="46" spans="1:16" x14ac:dyDescent="0.25">
      <c r="A46" t="s">
        <v>44</v>
      </c>
      <c r="B46" t="s">
        <v>46</v>
      </c>
      <c r="C46" s="9"/>
      <c r="D46" s="9"/>
      <c r="E46" s="9">
        <v>308232.56</v>
      </c>
      <c r="F46" s="9"/>
      <c r="G46" s="9">
        <f t="shared" si="0"/>
        <v>308232.56</v>
      </c>
      <c r="H46">
        <f t="shared" si="1"/>
        <v>31.35</v>
      </c>
      <c r="I46" s="10">
        <f t="shared" si="2"/>
        <v>5.8000000000000003E-2</v>
      </c>
      <c r="J46">
        <f>ROUND(G46/P46-1,2)</f>
        <v>0.41</v>
      </c>
      <c r="P46">
        <v>218891.78</v>
      </c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SUM(C8:C46)</f>
        <v>3092724</v>
      </c>
      <c r="D49" s="12">
        <f t="shared" si="5"/>
        <v>935</v>
      </c>
      <c r="E49" s="12">
        <f t="shared" si="5"/>
        <v>2003397.88</v>
      </c>
      <c r="F49" s="12">
        <f t="shared" si="5"/>
        <v>235157</v>
      </c>
      <c r="G49" s="12">
        <f t="shared" si="5"/>
        <v>5332213.879999999</v>
      </c>
      <c r="H49" s="11">
        <f t="shared" si="5"/>
        <v>542.29</v>
      </c>
      <c r="I49" s="4"/>
    </row>
    <row r="50" spans="1:10" x14ac:dyDescent="0.25">
      <c r="A50" s="11" t="s">
        <v>14</v>
      </c>
      <c r="C50" s="13">
        <f>ROUND(C49/G49,2)</f>
        <v>0.57999999999999996</v>
      </c>
      <c r="D50" s="13">
        <f>ROUND(D49/G49,2)</f>
        <v>0</v>
      </c>
      <c r="E50" s="13">
        <f>ROUND(E49/G49,2)</f>
        <v>0.38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1871274</v>
      </c>
      <c r="D54" s="15">
        <v>935</v>
      </c>
      <c r="E54" s="15">
        <v>1695165.32</v>
      </c>
      <c r="F54" s="15">
        <v>131409</v>
      </c>
      <c r="G54" s="15">
        <f>SUM(C54:F54)</f>
        <v>3698783.3200000003</v>
      </c>
      <c r="H54" s="17">
        <f>ROUND(G54/9833,2)</f>
        <v>376.16</v>
      </c>
      <c r="I54" s="4"/>
      <c r="J54" s="4"/>
    </row>
    <row r="55" spans="1:10" x14ac:dyDescent="0.25">
      <c r="A55" s="33" t="s">
        <v>50</v>
      </c>
      <c r="B55" s="33"/>
      <c r="C55" s="15">
        <v>1221450</v>
      </c>
      <c r="D55" s="15">
        <v>0</v>
      </c>
      <c r="E55" s="15">
        <v>308232.56</v>
      </c>
      <c r="F55" s="15">
        <v>103155</v>
      </c>
      <c r="G55" s="15">
        <f>SUM(C55:F55)</f>
        <v>1632837.56</v>
      </c>
      <c r="H55" s="17">
        <f>ROUND(G55/9833,2)</f>
        <v>166.06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593</v>
      </c>
      <c r="G56" s="15">
        <f>SUM(C56:F56)</f>
        <v>593</v>
      </c>
      <c r="H56" s="17">
        <f>ROUND(G56/9833,2)</f>
        <v>0.06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ROUND(0.7412, 4)</f>
        <v>0.74119999999999997</v>
      </c>
      <c r="D60" s="19">
        <f>ROUND(0.7402, 4)</f>
        <v>0.74019999999999997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ROUND(0.7088, 4)</f>
        <v>0.70879999999999999</v>
      </c>
      <c r="D61" s="19">
        <f>ROUND(0.7081, 4)</f>
        <v>0.70809999999999995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245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126.08</v>
      </c>
      <c r="D64" s="17">
        <v>123.18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66.69</v>
      </c>
      <c r="D65" s="17">
        <v>77.11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6">
        <v>376.16</v>
      </c>
      <c r="D66" s="16">
        <v>376.19</v>
      </c>
      <c r="E66" s="16">
        <v>291.85000000000002</v>
      </c>
      <c r="F66" s="16">
        <v>285.41000000000003</v>
      </c>
    </row>
    <row r="67" spans="1:10" x14ac:dyDescent="0.25">
      <c r="A67" s="32" t="s">
        <v>62</v>
      </c>
      <c r="B67" s="32"/>
      <c r="C67" s="16">
        <v>166.06</v>
      </c>
      <c r="D67" s="16">
        <v>155.86000000000001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68.2851562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246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2084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28</v>
      </c>
      <c r="G9" s="9">
        <f t="shared" ref="G9:G44" si="0">SUM(C9:F9)</f>
        <v>28</v>
      </c>
      <c r="H9">
        <f t="shared" ref="H9:H44" si="1">ROUND(G9/2084,2)</f>
        <v>0.01</v>
      </c>
      <c r="I9" s="10">
        <f t="shared" ref="I9:I44" si="2">ROUND(G9/$G$49,3)</f>
        <v>0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1010</v>
      </c>
      <c r="G10" s="9">
        <f t="shared" si="0"/>
        <v>1010</v>
      </c>
      <c r="H10">
        <f t="shared" si="1"/>
        <v>0.48</v>
      </c>
      <c r="I10" s="10">
        <f t="shared" si="2"/>
        <v>1E-3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66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50</v>
      </c>
      <c r="F13" s="9"/>
      <c r="G13" s="9">
        <f t="shared" si="0"/>
        <v>50</v>
      </c>
      <c r="H13">
        <f t="shared" si="1"/>
        <v>0.02</v>
      </c>
      <c r="I13" s="10">
        <f t="shared" si="2"/>
        <v>0</v>
      </c>
      <c r="P13">
        <v>0</v>
      </c>
    </row>
    <row r="14" spans="1:16" x14ac:dyDescent="0.25">
      <c r="A14" t="s">
        <v>20</v>
      </c>
      <c r="B14" t="s">
        <v>21</v>
      </c>
      <c r="C14" s="9">
        <v>66730</v>
      </c>
      <c r="D14" s="9"/>
      <c r="E14" s="9"/>
      <c r="F14" s="9"/>
      <c r="G14" s="9">
        <f t="shared" si="0"/>
        <v>66730</v>
      </c>
      <c r="H14">
        <f t="shared" si="1"/>
        <v>32.020000000000003</v>
      </c>
      <c r="I14" s="10">
        <f t="shared" si="2"/>
        <v>7.1999999999999995E-2</v>
      </c>
      <c r="J14">
        <f>ROUND(G14/P14-1,2)</f>
        <v>0</v>
      </c>
      <c r="P14">
        <v>66520</v>
      </c>
    </row>
    <row r="15" spans="1:16" x14ac:dyDescent="0.25">
      <c r="A15" t="s">
        <v>20</v>
      </c>
      <c r="B15" t="s">
        <v>22</v>
      </c>
      <c r="C15" s="9">
        <v>104350</v>
      </c>
      <c r="D15" s="9"/>
      <c r="E15" s="9"/>
      <c r="F15" s="9"/>
      <c r="G15" s="9">
        <f t="shared" si="0"/>
        <v>104350</v>
      </c>
      <c r="H15">
        <f t="shared" si="1"/>
        <v>50.07</v>
      </c>
      <c r="I15" s="10">
        <f t="shared" si="2"/>
        <v>0.113</v>
      </c>
      <c r="J15">
        <f>ROUND(G15/P15-1,2)</f>
        <v>-0.02</v>
      </c>
      <c r="P15">
        <v>106950</v>
      </c>
    </row>
    <row r="16" spans="1:16" x14ac:dyDescent="0.25">
      <c r="A16" t="s">
        <v>20</v>
      </c>
      <c r="B16" t="s">
        <v>79</v>
      </c>
      <c r="C16" s="9"/>
      <c r="D16" s="9"/>
      <c r="E16" s="9">
        <v>190</v>
      </c>
      <c r="F16" s="9"/>
      <c r="G16" s="9">
        <f t="shared" si="0"/>
        <v>190</v>
      </c>
      <c r="H16">
        <f t="shared" si="1"/>
        <v>0.09</v>
      </c>
      <c r="I16" s="10">
        <f t="shared" si="2"/>
        <v>0</v>
      </c>
      <c r="J16">
        <f>ROUND(G16/P16-1,2)</f>
        <v>0.98</v>
      </c>
      <c r="P16">
        <v>96</v>
      </c>
    </row>
    <row r="17" spans="1:16" x14ac:dyDescent="0.25">
      <c r="A17" t="s">
        <v>20</v>
      </c>
      <c r="B17" t="s">
        <v>42</v>
      </c>
      <c r="C17" s="9"/>
      <c r="D17" s="9"/>
      <c r="E17" s="9">
        <v>175</v>
      </c>
      <c r="F17" s="9"/>
      <c r="G17" s="9">
        <f t="shared" si="0"/>
        <v>175</v>
      </c>
      <c r="H17">
        <f t="shared" si="1"/>
        <v>0.08</v>
      </c>
      <c r="I17" s="10">
        <f t="shared" si="2"/>
        <v>0</v>
      </c>
      <c r="J17">
        <f>ROUND(G17/P17-1,2)</f>
        <v>0.45</v>
      </c>
      <c r="P17">
        <v>121</v>
      </c>
    </row>
    <row r="18" spans="1:16" x14ac:dyDescent="0.25">
      <c r="A18" t="s">
        <v>20</v>
      </c>
      <c r="B18" t="s">
        <v>23</v>
      </c>
      <c r="C18" s="9"/>
      <c r="D18" s="9"/>
      <c r="E18" s="9">
        <v>1960</v>
      </c>
      <c r="F18" s="9"/>
      <c r="G18" s="9">
        <f t="shared" si="0"/>
        <v>1960</v>
      </c>
      <c r="H18">
        <f t="shared" si="1"/>
        <v>0.94</v>
      </c>
      <c r="I18" s="10">
        <f t="shared" si="2"/>
        <v>2E-3</v>
      </c>
      <c r="J18">
        <f>ROUND(G18/P18-1,2)</f>
        <v>-0.11</v>
      </c>
      <c r="P18">
        <v>2210</v>
      </c>
    </row>
    <row r="19" spans="1:16" x14ac:dyDescent="0.25">
      <c r="A19" t="s">
        <v>20</v>
      </c>
      <c r="B19" t="s">
        <v>80</v>
      </c>
      <c r="C19" s="9"/>
      <c r="D19" s="9"/>
      <c r="E19" s="9"/>
      <c r="F19" s="9">
        <v>926</v>
      </c>
      <c r="G19" s="9">
        <f t="shared" si="0"/>
        <v>926</v>
      </c>
      <c r="H19">
        <f t="shared" si="1"/>
        <v>0.44</v>
      </c>
      <c r="I19" s="10">
        <f t="shared" si="2"/>
        <v>1E-3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103720</v>
      </c>
      <c r="F20" s="9"/>
      <c r="G20" s="9">
        <f t="shared" si="0"/>
        <v>103720</v>
      </c>
      <c r="H20">
        <f t="shared" si="1"/>
        <v>49.77</v>
      </c>
      <c r="I20" s="10">
        <f t="shared" si="2"/>
        <v>0.112</v>
      </c>
      <c r="J20">
        <f>ROUND(G20/P20-1,2)</f>
        <v>0.01</v>
      </c>
      <c r="P20">
        <v>102800</v>
      </c>
    </row>
    <row r="21" spans="1:16" x14ac:dyDescent="0.25">
      <c r="A21" t="s">
        <v>20</v>
      </c>
      <c r="B21" t="s">
        <v>25</v>
      </c>
      <c r="C21" s="9">
        <v>88740</v>
      </c>
      <c r="D21" s="9"/>
      <c r="E21" s="9"/>
      <c r="F21" s="9"/>
      <c r="G21" s="9">
        <f t="shared" si="0"/>
        <v>88740</v>
      </c>
      <c r="H21">
        <f t="shared" si="1"/>
        <v>42.58</v>
      </c>
      <c r="I21" s="10">
        <f t="shared" si="2"/>
        <v>9.6000000000000002E-2</v>
      </c>
      <c r="J21">
        <f>ROUND(G21/P21-1,2)</f>
        <v>0.04</v>
      </c>
      <c r="P21">
        <v>85680</v>
      </c>
    </row>
    <row r="22" spans="1:16" x14ac:dyDescent="0.25">
      <c r="A22" t="s">
        <v>20</v>
      </c>
      <c r="B22" t="s">
        <v>69</v>
      </c>
      <c r="C22" s="9"/>
      <c r="D22" s="9"/>
      <c r="E22" s="9">
        <v>4230</v>
      </c>
      <c r="F22" s="9"/>
      <c r="G22" s="9">
        <f t="shared" si="0"/>
        <v>4230</v>
      </c>
      <c r="H22">
        <f t="shared" si="1"/>
        <v>2.0299999999999998</v>
      </c>
      <c r="I22" s="10">
        <f t="shared" si="2"/>
        <v>5.0000000000000001E-3</v>
      </c>
      <c r="J22">
        <f>ROUND(G22/P22-1,2)</f>
        <v>0.06</v>
      </c>
      <c r="P22">
        <v>3995</v>
      </c>
    </row>
    <row r="23" spans="1:16" x14ac:dyDescent="0.25">
      <c r="A23" t="s">
        <v>20</v>
      </c>
      <c r="B23" t="s">
        <v>26</v>
      </c>
      <c r="C23" s="9">
        <v>118450</v>
      </c>
      <c r="D23" s="9"/>
      <c r="E23" s="9"/>
      <c r="F23" s="9">
        <v>750</v>
      </c>
      <c r="G23" s="9">
        <f t="shared" si="0"/>
        <v>119200</v>
      </c>
      <c r="H23">
        <f t="shared" si="1"/>
        <v>57.2</v>
      </c>
      <c r="I23" s="10">
        <f t="shared" si="2"/>
        <v>0.129</v>
      </c>
      <c r="J23">
        <f>ROUND(G23/P23-1,2)</f>
        <v>-0.04</v>
      </c>
      <c r="P23">
        <v>123940</v>
      </c>
    </row>
    <row r="24" spans="1:16" x14ac:dyDescent="0.25">
      <c r="A24" t="s">
        <v>20</v>
      </c>
      <c r="B24" t="s">
        <v>27</v>
      </c>
      <c r="C24" s="9"/>
      <c r="D24" s="9"/>
      <c r="E24" s="9">
        <v>194</v>
      </c>
      <c r="F24" s="9"/>
      <c r="G24" s="9">
        <f t="shared" si="0"/>
        <v>194</v>
      </c>
      <c r="H24">
        <f t="shared" si="1"/>
        <v>0.09</v>
      </c>
      <c r="I24" s="10">
        <f t="shared" si="2"/>
        <v>0</v>
      </c>
      <c r="P24">
        <v>0</v>
      </c>
    </row>
    <row r="25" spans="1:16" x14ac:dyDescent="0.25">
      <c r="A25" t="s">
        <v>20</v>
      </c>
      <c r="B25" t="s">
        <v>28</v>
      </c>
      <c r="C25" s="9"/>
      <c r="D25" s="9"/>
      <c r="E25" s="9">
        <v>61</v>
      </c>
      <c r="F25" s="9"/>
      <c r="G25" s="9">
        <f t="shared" si="0"/>
        <v>61</v>
      </c>
      <c r="H25">
        <f t="shared" si="1"/>
        <v>0.03</v>
      </c>
      <c r="I25" s="10">
        <f t="shared" si="2"/>
        <v>0</v>
      </c>
      <c r="P25">
        <v>0</v>
      </c>
    </row>
    <row r="26" spans="1:16" x14ac:dyDescent="0.25">
      <c r="A26" t="s">
        <v>20</v>
      </c>
      <c r="B26" t="s">
        <v>29</v>
      </c>
      <c r="C26" s="9"/>
      <c r="D26" s="9"/>
      <c r="E26" s="9">
        <v>69</v>
      </c>
      <c r="F26" s="9"/>
      <c r="G26" s="9">
        <f t="shared" si="0"/>
        <v>69</v>
      </c>
      <c r="H26">
        <f t="shared" si="1"/>
        <v>0.03</v>
      </c>
      <c r="I26" s="10">
        <f t="shared" si="2"/>
        <v>0</v>
      </c>
      <c r="J26">
        <f t="shared" ref="J26:J40" si="3">ROUND(G26/P26-1,2)</f>
        <v>-0.41</v>
      </c>
      <c r="P26">
        <v>116</v>
      </c>
    </row>
    <row r="27" spans="1:16" x14ac:dyDescent="0.25">
      <c r="A27" t="s">
        <v>20</v>
      </c>
      <c r="B27" t="s">
        <v>30</v>
      </c>
      <c r="C27" s="9"/>
      <c r="D27" s="9"/>
      <c r="E27" s="9">
        <v>3680</v>
      </c>
      <c r="F27" s="9"/>
      <c r="G27" s="9">
        <f t="shared" si="0"/>
        <v>3680</v>
      </c>
      <c r="H27">
        <f t="shared" si="1"/>
        <v>1.77</v>
      </c>
      <c r="I27" s="10">
        <f t="shared" si="2"/>
        <v>4.0000000000000001E-3</v>
      </c>
      <c r="J27">
        <f t="shared" si="3"/>
        <v>-0.4</v>
      </c>
      <c r="P27">
        <v>6110</v>
      </c>
    </row>
    <row r="28" spans="1:16" x14ac:dyDescent="0.25">
      <c r="A28" t="s">
        <v>20</v>
      </c>
      <c r="B28" t="s">
        <v>31</v>
      </c>
      <c r="C28" s="9"/>
      <c r="D28" s="9"/>
      <c r="E28" s="9">
        <v>690</v>
      </c>
      <c r="F28" s="9"/>
      <c r="G28" s="9">
        <f t="shared" si="0"/>
        <v>690</v>
      </c>
      <c r="H28">
        <f t="shared" si="1"/>
        <v>0.33</v>
      </c>
      <c r="I28" s="10">
        <f t="shared" si="2"/>
        <v>1E-3</v>
      </c>
      <c r="J28">
        <f t="shared" si="3"/>
        <v>-0.22</v>
      </c>
      <c r="P28">
        <v>880</v>
      </c>
    </row>
    <row r="29" spans="1:16" x14ac:dyDescent="0.25">
      <c r="A29" t="s">
        <v>20</v>
      </c>
      <c r="B29" t="s">
        <v>32</v>
      </c>
      <c r="C29" s="9"/>
      <c r="D29" s="9"/>
      <c r="E29" s="9">
        <v>780</v>
      </c>
      <c r="F29" s="9"/>
      <c r="G29" s="9">
        <f t="shared" si="0"/>
        <v>780</v>
      </c>
      <c r="H29">
        <f t="shared" si="1"/>
        <v>0.37</v>
      </c>
      <c r="I29" s="10">
        <f t="shared" si="2"/>
        <v>1E-3</v>
      </c>
      <c r="J29">
        <f t="shared" si="3"/>
        <v>-0.01</v>
      </c>
      <c r="P29">
        <v>790</v>
      </c>
    </row>
    <row r="30" spans="1:16" x14ac:dyDescent="0.25">
      <c r="A30" t="s">
        <v>20</v>
      </c>
      <c r="B30" t="s">
        <v>33</v>
      </c>
      <c r="C30" s="9"/>
      <c r="D30" s="9"/>
      <c r="E30" s="9">
        <v>2855</v>
      </c>
      <c r="F30" s="9"/>
      <c r="G30" s="9">
        <f t="shared" si="0"/>
        <v>2855</v>
      </c>
      <c r="H30">
        <f t="shared" si="1"/>
        <v>1.37</v>
      </c>
      <c r="I30" s="10">
        <f t="shared" si="2"/>
        <v>3.0000000000000001E-3</v>
      </c>
      <c r="J30">
        <f t="shared" si="3"/>
        <v>0.66</v>
      </c>
      <c r="P30">
        <v>1715</v>
      </c>
    </row>
    <row r="31" spans="1:16" x14ac:dyDescent="0.25">
      <c r="A31" t="s">
        <v>20</v>
      </c>
      <c r="B31" t="s">
        <v>43</v>
      </c>
      <c r="C31" s="9"/>
      <c r="D31" s="9">
        <v>300</v>
      </c>
      <c r="E31" s="9"/>
      <c r="F31" s="9"/>
      <c r="G31" s="9">
        <f t="shared" si="0"/>
        <v>300</v>
      </c>
      <c r="H31">
        <f t="shared" si="1"/>
        <v>0.14000000000000001</v>
      </c>
      <c r="I31" s="10">
        <f t="shared" si="2"/>
        <v>0</v>
      </c>
      <c r="J31">
        <f t="shared" si="3"/>
        <v>0.1</v>
      </c>
      <c r="P31">
        <v>273</v>
      </c>
    </row>
    <row r="32" spans="1:16" x14ac:dyDescent="0.25">
      <c r="A32" t="s">
        <v>20</v>
      </c>
      <c r="B32" t="s">
        <v>70</v>
      </c>
      <c r="C32" s="9"/>
      <c r="D32" s="9"/>
      <c r="E32" s="9">
        <v>850</v>
      </c>
      <c r="F32" s="9"/>
      <c r="G32" s="9">
        <f t="shared" si="0"/>
        <v>850</v>
      </c>
      <c r="H32">
        <f t="shared" si="1"/>
        <v>0.41</v>
      </c>
      <c r="I32" s="10">
        <f t="shared" si="2"/>
        <v>1E-3</v>
      </c>
      <c r="J32">
        <f t="shared" si="3"/>
        <v>-0.06</v>
      </c>
      <c r="P32">
        <v>905</v>
      </c>
    </row>
    <row r="33" spans="1:16" x14ac:dyDescent="0.25">
      <c r="A33" t="s">
        <v>20</v>
      </c>
      <c r="B33" t="s">
        <v>34</v>
      </c>
      <c r="C33" s="9"/>
      <c r="D33" s="9">
        <v>290</v>
      </c>
      <c r="E33" s="9"/>
      <c r="F33" s="9"/>
      <c r="G33" s="9">
        <f t="shared" si="0"/>
        <v>290</v>
      </c>
      <c r="H33">
        <f t="shared" si="1"/>
        <v>0.14000000000000001</v>
      </c>
      <c r="I33" s="10">
        <f t="shared" si="2"/>
        <v>0</v>
      </c>
      <c r="J33">
        <f t="shared" si="3"/>
        <v>1.32</v>
      </c>
      <c r="P33">
        <v>125</v>
      </c>
    </row>
    <row r="34" spans="1:16" x14ac:dyDescent="0.25">
      <c r="A34" t="s">
        <v>20</v>
      </c>
      <c r="B34" t="s">
        <v>35</v>
      </c>
      <c r="C34" s="9"/>
      <c r="D34" s="9"/>
      <c r="E34" s="9">
        <v>3400</v>
      </c>
      <c r="F34" s="9"/>
      <c r="G34" s="9">
        <f t="shared" si="0"/>
        <v>3400</v>
      </c>
      <c r="H34">
        <f t="shared" si="1"/>
        <v>1.63</v>
      </c>
      <c r="I34" s="10">
        <f t="shared" si="2"/>
        <v>4.0000000000000001E-3</v>
      </c>
      <c r="J34">
        <f t="shared" si="3"/>
        <v>0.05</v>
      </c>
      <c r="P34">
        <v>3237</v>
      </c>
    </row>
    <row r="35" spans="1:16" x14ac:dyDescent="0.25">
      <c r="A35" t="s">
        <v>20</v>
      </c>
      <c r="B35" t="s">
        <v>41</v>
      </c>
      <c r="C35" s="9"/>
      <c r="D35" s="9"/>
      <c r="E35" s="9">
        <v>5018</v>
      </c>
      <c r="F35" s="9"/>
      <c r="G35" s="9">
        <f t="shared" si="0"/>
        <v>5018</v>
      </c>
      <c r="H35">
        <f t="shared" si="1"/>
        <v>2.41</v>
      </c>
      <c r="I35" s="10">
        <f t="shared" si="2"/>
        <v>5.0000000000000001E-3</v>
      </c>
      <c r="J35">
        <f t="shared" si="3"/>
        <v>0.41</v>
      </c>
      <c r="P35">
        <v>3555</v>
      </c>
    </row>
    <row r="36" spans="1:16" x14ac:dyDescent="0.25">
      <c r="A36" t="s">
        <v>20</v>
      </c>
      <c r="B36" t="s">
        <v>36</v>
      </c>
      <c r="C36" s="9"/>
      <c r="D36" s="9"/>
      <c r="E36" s="9">
        <v>3250</v>
      </c>
      <c r="F36" s="9"/>
      <c r="G36" s="9">
        <f t="shared" si="0"/>
        <v>3250</v>
      </c>
      <c r="H36">
        <f t="shared" si="1"/>
        <v>1.56</v>
      </c>
      <c r="I36" s="10">
        <f t="shared" si="2"/>
        <v>4.0000000000000001E-3</v>
      </c>
      <c r="J36">
        <f t="shared" si="3"/>
        <v>0.83</v>
      </c>
      <c r="P36">
        <v>1780</v>
      </c>
    </row>
    <row r="37" spans="1:16" x14ac:dyDescent="0.25">
      <c r="A37" t="s">
        <v>20</v>
      </c>
      <c r="B37" t="s">
        <v>37</v>
      </c>
      <c r="C37" s="9"/>
      <c r="D37" s="9"/>
      <c r="E37" s="9">
        <v>61130</v>
      </c>
      <c r="F37" s="9"/>
      <c r="G37" s="9">
        <f t="shared" si="0"/>
        <v>61130</v>
      </c>
      <c r="H37">
        <f t="shared" si="1"/>
        <v>29.33</v>
      </c>
      <c r="I37" s="10">
        <f t="shared" si="2"/>
        <v>6.6000000000000003E-2</v>
      </c>
      <c r="J37">
        <f t="shared" si="3"/>
        <v>0.12</v>
      </c>
      <c r="P37">
        <v>54380</v>
      </c>
    </row>
    <row r="38" spans="1:16" x14ac:dyDescent="0.25">
      <c r="A38" t="s">
        <v>20</v>
      </c>
      <c r="B38" t="s">
        <v>38</v>
      </c>
      <c r="C38" s="9"/>
      <c r="D38" s="9"/>
      <c r="E38" s="9">
        <v>8280</v>
      </c>
      <c r="F38" s="9"/>
      <c r="G38" s="9">
        <f t="shared" si="0"/>
        <v>8280</v>
      </c>
      <c r="H38">
        <f t="shared" si="1"/>
        <v>3.97</v>
      </c>
      <c r="I38" s="10">
        <f t="shared" si="2"/>
        <v>8.9999999999999993E-3</v>
      </c>
      <c r="J38">
        <f t="shared" si="3"/>
        <v>0.02</v>
      </c>
      <c r="P38">
        <v>8090</v>
      </c>
    </row>
    <row r="39" spans="1:16" x14ac:dyDescent="0.25">
      <c r="A39" t="s">
        <v>20</v>
      </c>
      <c r="B39" t="s">
        <v>39</v>
      </c>
      <c r="C39" s="9"/>
      <c r="D39" s="9"/>
      <c r="E39" s="9">
        <v>19110</v>
      </c>
      <c r="F39" s="9"/>
      <c r="G39" s="9">
        <f t="shared" si="0"/>
        <v>19110</v>
      </c>
      <c r="H39">
        <f t="shared" si="1"/>
        <v>9.17</v>
      </c>
      <c r="I39" s="10">
        <f t="shared" si="2"/>
        <v>2.1000000000000001E-2</v>
      </c>
      <c r="J39">
        <f t="shared" si="3"/>
        <v>0.14000000000000001</v>
      </c>
      <c r="P39">
        <v>16730</v>
      </c>
    </row>
    <row r="40" spans="1:16" x14ac:dyDescent="0.25">
      <c r="A40" t="s">
        <v>20</v>
      </c>
      <c r="B40" t="s">
        <v>40</v>
      </c>
      <c r="C40" s="9"/>
      <c r="D40" s="9"/>
      <c r="E40" s="9">
        <v>42040</v>
      </c>
      <c r="F40" s="9"/>
      <c r="G40" s="9">
        <f t="shared" si="0"/>
        <v>42040</v>
      </c>
      <c r="H40">
        <f t="shared" si="1"/>
        <v>20.170000000000002</v>
      </c>
      <c r="I40" s="10">
        <f t="shared" si="2"/>
        <v>4.4999999999999998E-2</v>
      </c>
      <c r="J40">
        <f t="shared" si="3"/>
        <v>1.76</v>
      </c>
      <c r="P40">
        <v>15220</v>
      </c>
    </row>
    <row r="41" spans="1:16" x14ac:dyDescent="0.25">
      <c r="A41" t="s">
        <v>20</v>
      </c>
      <c r="B41" t="s">
        <v>82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A42" t="s">
        <v>44</v>
      </c>
      <c r="B42" t="s">
        <v>45</v>
      </c>
      <c r="C42" s="9">
        <v>235390</v>
      </c>
      <c r="D42" s="9"/>
      <c r="E42" s="9"/>
      <c r="F42" s="9"/>
      <c r="G42" s="9">
        <f t="shared" si="0"/>
        <v>235390</v>
      </c>
      <c r="H42">
        <f t="shared" si="1"/>
        <v>112.95</v>
      </c>
      <c r="I42" s="10">
        <f t="shared" si="2"/>
        <v>0.254</v>
      </c>
      <c r="J42">
        <f>ROUND(G42/P42-1,2)</f>
        <v>0.03</v>
      </c>
      <c r="P42">
        <v>229150</v>
      </c>
    </row>
    <row r="43" spans="1:16" x14ac:dyDescent="0.25">
      <c r="A43" t="s">
        <v>44</v>
      </c>
      <c r="B43" t="s">
        <v>47</v>
      </c>
      <c r="C43" s="9"/>
      <c r="D43" s="9"/>
      <c r="E43" s="9"/>
      <c r="F43" s="9">
        <v>19990</v>
      </c>
      <c r="G43" s="9">
        <f t="shared" si="0"/>
        <v>19990</v>
      </c>
      <c r="H43">
        <f t="shared" si="1"/>
        <v>9.59</v>
      </c>
      <c r="I43" s="10">
        <f t="shared" si="2"/>
        <v>2.1999999999999999E-2</v>
      </c>
      <c r="P43">
        <v>0</v>
      </c>
    </row>
    <row r="44" spans="1:16" x14ac:dyDescent="0.25">
      <c r="A44" t="s">
        <v>44</v>
      </c>
      <c r="B44" t="s">
        <v>46</v>
      </c>
      <c r="C44" s="9"/>
      <c r="D44" s="9"/>
      <c r="E44" s="9">
        <v>28120</v>
      </c>
      <c r="F44" s="9"/>
      <c r="G44" s="9">
        <f t="shared" si="0"/>
        <v>28120</v>
      </c>
      <c r="H44">
        <f t="shared" si="1"/>
        <v>13.49</v>
      </c>
      <c r="I44" s="10">
        <f t="shared" si="2"/>
        <v>0.03</v>
      </c>
      <c r="J44">
        <f>ROUND(G44/P44-1,2)</f>
        <v>0.14000000000000001</v>
      </c>
      <c r="P44">
        <v>24560</v>
      </c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SUM(C8:C44)</f>
        <v>613660</v>
      </c>
      <c r="D49" s="12">
        <f t="shared" si="4"/>
        <v>590</v>
      </c>
      <c r="E49" s="12">
        <f t="shared" si="4"/>
        <v>289852</v>
      </c>
      <c r="F49" s="12">
        <f t="shared" si="4"/>
        <v>22704</v>
      </c>
      <c r="G49" s="12">
        <f t="shared" si="4"/>
        <v>926806</v>
      </c>
      <c r="H49" s="11">
        <f t="shared" si="4"/>
        <v>444.68000000000006</v>
      </c>
      <c r="I49" s="4"/>
    </row>
    <row r="50" spans="1:10" x14ac:dyDescent="0.25">
      <c r="A50" s="11" t="s">
        <v>14</v>
      </c>
      <c r="C50" s="13">
        <f>ROUND(C49/G49,2)</f>
        <v>0.66</v>
      </c>
      <c r="D50" s="13">
        <f>ROUND(D49/G49,2)</f>
        <v>0</v>
      </c>
      <c r="E50" s="13">
        <f>ROUND(E49/G49,2)</f>
        <v>0.31</v>
      </c>
      <c r="F50" s="13">
        <f>ROUND(F49/G49,2)</f>
        <v>0.02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3" spans="1:10" x14ac:dyDescent="0.25">
      <c r="A53" s="33" t="s">
        <v>6</v>
      </c>
      <c r="B53" s="33"/>
      <c r="C53" s="2" t="s">
        <v>8</v>
      </c>
      <c r="D53" s="2" t="s">
        <v>9</v>
      </c>
      <c r="E53" s="2" t="s">
        <v>10</v>
      </c>
      <c r="F53" s="2" t="s">
        <v>11</v>
      </c>
      <c r="G53" s="2" t="s">
        <v>12</v>
      </c>
      <c r="H53" s="2" t="s">
        <v>13</v>
      </c>
      <c r="I53" s="1"/>
      <c r="J53" s="1"/>
    </row>
    <row r="54" spans="1:10" x14ac:dyDescent="0.25">
      <c r="A54" s="33" t="s">
        <v>49</v>
      </c>
      <c r="B54" s="33"/>
      <c r="C54" s="14">
        <v>378270</v>
      </c>
      <c r="D54" s="14">
        <v>590</v>
      </c>
      <c r="E54" s="14">
        <v>261732</v>
      </c>
      <c r="F54" s="14">
        <v>1676</v>
      </c>
      <c r="G54" s="14">
        <f>SUM(C54:F54)</f>
        <v>642268</v>
      </c>
      <c r="H54" s="16">
        <f>ROUND(G54/2084,2)</f>
        <v>308.19</v>
      </c>
    </row>
    <row r="55" spans="1:10" x14ac:dyDescent="0.25">
      <c r="A55" s="33" t="s">
        <v>50</v>
      </c>
      <c r="B55" s="33"/>
      <c r="C55" s="14">
        <v>235390</v>
      </c>
      <c r="D55" s="14">
        <v>0</v>
      </c>
      <c r="E55" s="14">
        <v>28120</v>
      </c>
      <c r="F55" s="14">
        <v>19990</v>
      </c>
      <c r="G55" s="14">
        <f>SUM(C55:F55)</f>
        <v>283500</v>
      </c>
      <c r="H55" s="16">
        <f>ROUND(G55/2084,2)</f>
        <v>136.04</v>
      </c>
    </row>
    <row r="56" spans="1:10" x14ac:dyDescent="0.25">
      <c r="A56" s="33" t="s">
        <v>51</v>
      </c>
      <c r="B56" s="33"/>
      <c r="C56" s="14">
        <v>0</v>
      </c>
      <c r="D56" s="14">
        <v>0</v>
      </c>
      <c r="E56" s="14">
        <v>0</v>
      </c>
      <c r="F56" s="14">
        <v>1038</v>
      </c>
      <c r="G56" s="14">
        <f>SUM(C56:F56)</f>
        <v>1038</v>
      </c>
      <c r="H56" s="16">
        <f>ROUND(G56/2084,2)</f>
        <v>0.5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2" t="s">
        <v>52</v>
      </c>
      <c r="B60" s="32"/>
      <c r="C60" s="18">
        <f>ROUND(0.7119, 4)</f>
        <v>0.71189999999999998</v>
      </c>
      <c r="D60" s="18">
        <f>ROUND(0.693, 4)</f>
        <v>0.69299999999999995</v>
      </c>
      <c r="E60" s="18">
        <f>ROUND(0.7768, 4)</f>
        <v>0.77680000000000005</v>
      </c>
    </row>
    <row r="61" spans="1:10" x14ac:dyDescent="0.25">
      <c r="A61" s="32" t="s">
        <v>54</v>
      </c>
      <c r="B61" s="32"/>
      <c r="C61" s="18">
        <f>ROUND(0.7017, 4)</f>
        <v>0.70169999999999999</v>
      </c>
      <c r="D61" s="18">
        <f>ROUND(0.6816, 4)</f>
        <v>0.68159999999999998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247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112.95</v>
      </c>
      <c r="D64" s="16">
        <v>104.49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57.2</v>
      </c>
      <c r="D65" s="16">
        <v>60.43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316.51</v>
      </c>
      <c r="D66" s="16">
        <v>286.48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136.04</v>
      </c>
      <c r="D67" s="16">
        <v>118.01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P83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248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1714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44670</v>
      </c>
      <c r="D9" s="9"/>
      <c r="E9" s="9"/>
      <c r="F9" s="9"/>
      <c r="G9" s="9">
        <f t="shared" ref="G9:G20" si="0">SUM(C9:F9)</f>
        <v>44670</v>
      </c>
      <c r="H9">
        <f t="shared" ref="H9:H20" si="1">ROUND(G9/1714,2)</f>
        <v>26.06</v>
      </c>
      <c r="I9" s="10">
        <f t="shared" ref="I9:I20" si="2">ROUND(G9/$G$49,3)</f>
        <v>0.104</v>
      </c>
      <c r="J9">
        <f t="shared" ref="J9:J14" si="3">ROUND(G9/P9-1,2)</f>
        <v>0.02</v>
      </c>
      <c r="P9">
        <v>43940</v>
      </c>
    </row>
    <row r="10" spans="1:16" x14ac:dyDescent="0.25">
      <c r="A10" t="s">
        <v>20</v>
      </c>
      <c r="B10" t="s">
        <v>22</v>
      </c>
      <c r="C10" s="9">
        <v>60680</v>
      </c>
      <c r="D10" s="9"/>
      <c r="E10" s="9"/>
      <c r="F10" s="9"/>
      <c r="G10" s="9">
        <f t="shared" si="0"/>
        <v>60680</v>
      </c>
      <c r="H10">
        <f t="shared" si="1"/>
        <v>35.4</v>
      </c>
      <c r="I10" s="10">
        <f t="shared" si="2"/>
        <v>0.14199999999999999</v>
      </c>
      <c r="J10">
        <f t="shared" si="3"/>
        <v>-0.11</v>
      </c>
      <c r="P10">
        <v>68370</v>
      </c>
    </row>
    <row r="11" spans="1:16" x14ac:dyDescent="0.25">
      <c r="A11" t="s">
        <v>20</v>
      </c>
      <c r="B11" t="s">
        <v>25</v>
      </c>
      <c r="C11" s="9">
        <v>53600</v>
      </c>
      <c r="D11" s="9"/>
      <c r="E11" s="9"/>
      <c r="F11" s="9"/>
      <c r="G11" s="9">
        <f t="shared" si="0"/>
        <v>53600</v>
      </c>
      <c r="H11">
        <f t="shared" si="1"/>
        <v>31.27</v>
      </c>
      <c r="I11" s="10">
        <f t="shared" si="2"/>
        <v>0.125</v>
      </c>
      <c r="J11">
        <f t="shared" si="3"/>
        <v>0</v>
      </c>
      <c r="P11">
        <v>53800</v>
      </c>
    </row>
    <row r="12" spans="1:16" x14ac:dyDescent="0.25">
      <c r="A12" t="s">
        <v>20</v>
      </c>
      <c r="B12" t="s">
        <v>26</v>
      </c>
      <c r="C12" s="9">
        <v>121660</v>
      </c>
      <c r="D12" s="9"/>
      <c r="E12" s="9"/>
      <c r="F12" s="9">
        <v>260</v>
      </c>
      <c r="G12" s="9">
        <f t="shared" si="0"/>
        <v>121920</v>
      </c>
      <c r="H12">
        <f t="shared" si="1"/>
        <v>71.13</v>
      </c>
      <c r="I12" s="10">
        <f t="shared" si="2"/>
        <v>0.28399999999999997</v>
      </c>
      <c r="J12">
        <f t="shared" si="3"/>
        <v>-0.05</v>
      </c>
      <c r="P12">
        <v>128500</v>
      </c>
    </row>
    <row r="13" spans="1:16" x14ac:dyDescent="0.25">
      <c r="A13" t="s">
        <v>20</v>
      </c>
      <c r="B13" t="s">
        <v>43</v>
      </c>
      <c r="C13" s="9"/>
      <c r="D13" s="9">
        <v>206</v>
      </c>
      <c r="E13" s="9"/>
      <c r="F13" s="9"/>
      <c r="G13" s="9">
        <f t="shared" si="0"/>
        <v>206</v>
      </c>
      <c r="H13">
        <f t="shared" si="1"/>
        <v>0.12</v>
      </c>
      <c r="I13" s="10">
        <f t="shared" si="2"/>
        <v>0</v>
      </c>
      <c r="J13">
        <f t="shared" si="3"/>
        <v>0.15</v>
      </c>
      <c r="P13">
        <v>179</v>
      </c>
    </row>
    <row r="14" spans="1:16" x14ac:dyDescent="0.25">
      <c r="A14" t="s">
        <v>20</v>
      </c>
      <c r="B14" t="s">
        <v>34</v>
      </c>
      <c r="C14" s="9"/>
      <c r="D14" s="9">
        <v>345</v>
      </c>
      <c r="E14" s="9"/>
      <c r="F14" s="9"/>
      <c r="G14" s="9">
        <f t="shared" si="0"/>
        <v>345</v>
      </c>
      <c r="H14">
        <f t="shared" si="1"/>
        <v>0.2</v>
      </c>
      <c r="I14" s="10">
        <f t="shared" si="2"/>
        <v>1E-3</v>
      </c>
      <c r="J14">
        <f t="shared" si="3"/>
        <v>0.3</v>
      </c>
      <c r="P14">
        <v>266</v>
      </c>
    </row>
    <row r="15" spans="1:16" x14ac:dyDescent="0.25">
      <c r="A15" t="s">
        <v>20</v>
      </c>
      <c r="B15" t="s">
        <v>24</v>
      </c>
      <c r="C15" s="9"/>
      <c r="D15" s="9"/>
      <c r="E15" s="9"/>
      <c r="F15" s="9"/>
      <c r="G15" s="9">
        <f t="shared" si="0"/>
        <v>0</v>
      </c>
      <c r="H15">
        <f t="shared" si="1"/>
        <v>0</v>
      </c>
      <c r="I15" s="10">
        <f t="shared" si="2"/>
        <v>0</v>
      </c>
      <c r="P15">
        <v>0</v>
      </c>
    </row>
    <row r="16" spans="1:16" x14ac:dyDescent="0.25">
      <c r="A16" t="s">
        <v>20</v>
      </c>
      <c r="B16" t="s">
        <v>37</v>
      </c>
      <c r="C16" s="9"/>
      <c r="D16" s="9"/>
      <c r="E16" s="9"/>
      <c r="F16" s="9"/>
      <c r="G16" s="9">
        <f t="shared" si="0"/>
        <v>0</v>
      </c>
      <c r="H16">
        <f t="shared" si="1"/>
        <v>0</v>
      </c>
      <c r="I16" s="10">
        <f t="shared" si="2"/>
        <v>0</v>
      </c>
      <c r="P16">
        <v>0</v>
      </c>
    </row>
    <row r="17" spans="1:16" x14ac:dyDescent="0.25">
      <c r="A17" t="s">
        <v>20</v>
      </c>
      <c r="B17" t="s">
        <v>40</v>
      </c>
      <c r="C17" s="9"/>
      <c r="D17" s="9"/>
      <c r="E17" s="9"/>
      <c r="F17" s="9"/>
      <c r="G17" s="9">
        <f t="shared" si="0"/>
        <v>0</v>
      </c>
      <c r="H17">
        <f t="shared" si="1"/>
        <v>0</v>
      </c>
      <c r="I17" s="10">
        <f t="shared" si="2"/>
        <v>0</v>
      </c>
      <c r="P17">
        <v>0</v>
      </c>
    </row>
    <row r="18" spans="1:16" x14ac:dyDescent="0.25">
      <c r="A18" t="s">
        <v>44</v>
      </c>
      <c r="B18" t="s">
        <v>45</v>
      </c>
      <c r="C18" s="9">
        <v>132290</v>
      </c>
      <c r="D18" s="9"/>
      <c r="E18" s="9"/>
      <c r="F18" s="9"/>
      <c r="G18" s="9">
        <f t="shared" si="0"/>
        <v>132290</v>
      </c>
      <c r="H18">
        <f t="shared" si="1"/>
        <v>77.180000000000007</v>
      </c>
      <c r="I18" s="10">
        <f t="shared" si="2"/>
        <v>0.309</v>
      </c>
      <c r="J18">
        <f>ROUND(G18/P18-1,2)</f>
        <v>0.14000000000000001</v>
      </c>
      <c r="P18">
        <v>116200</v>
      </c>
    </row>
    <row r="19" spans="1:16" x14ac:dyDescent="0.25">
      <c r="A19" t="s">
        <v>44</v>
      </c>
      <c r="B19" t="s">
        <v>47</v>
      </c>
      <c r="C19" s="9"/>
      <c r="D19" s="9"/>
      <c r="E19" s="9"/>
      <c r="F19" s="9">
        <v>14940</v>
      </c>
      <c r="G19" s="9">
        <f t="shared" si="0"/>
        <v>14940</v>
      </c>
      <c r="H19">
        <f t="shared" si="1"/>
        <v>8.7200000000000006</v>
      </c>
      <c r="I19" s="10">
        <f t="shared" si="2"/>
        <v>3.5000000000000003E-2</v>
      </c>
      <c r="J19">
        <f>ROUND(G19/P19-1,2)</f>
        <v>-0.24</v>
      </c>
      <c r="P19">
        <v>19540</v>
      </c>
    </row>
    <row r="20" spans="1:16" x14ac:dyDescent="0.25">
      <c r="A20" t="s">
        <v>16</v>
      </c>
      <c r="B20" t="s">
        <v>19</v>
      </c>
      <c r="C20" s="9"/>
      <c r="D20" s="9"/>
      <c r="E20" s="9"/>
      <c r="F20" s="9"/>
      <c r="G20" s="9">
        <f t="shared" si="0"/>
        <v>0</v>
      </c>
      <c r="H20">
        <f t="shared" si="1"/>
        <v>0</v>
      </c>
      <c r="I20" s="10">
        <f t="shared" si="2"/>
        <v>0</v>
      </c>
      <c r="P20">
        <v>0</v>
      </c>
    </row>
    <row r="21" spans="1:16" x14ac:dyDescent="0.25">
      <c r="C21" s="9"/>
      <c r="D21" s="9"/>
      <c r="E21" s="9"/>
      <c r="F21" s="9"/>
      <c r="G21" s="9"/>
      <c r="I21" s="10"/>
    </row>
    <row r="22" spans="1:16" x14ac:dyDescent="0.25">
      <c r="C22" s="9"/>
      <c r="D22" s="9"/>
      <c r="E22" s="9"/>
      <c r="F22" s="9"/>
      <c r="G22" s="9"/>
      <c r="I22" s="10"/>
    </row>
    <row r="23" spans="1:16" x14ac:dyDescent="0.25">
      <c r="C23" s="9"/>
      <c r="D23" s="9"/>
      <c r="E23" s="9"/>
      <c r="F23" s="9"/>
      <c r="G23" s="9"/>
      <c r="I23" s="10"/>
    </row>
    <row r="24" spans="1:16" x14ac:dyDescent="0.25">
      <c r="C24" s="9"/>
      <c r="D24" s="9"/>
      <c r="E24" s="9"/>
      <c r="F24" s="9"/>
      <c r="G24" s="9"/>
      <c r="I24" s="10"/>
    </row>
    <row r="25" spans="1:16" x14ac:dyDescent="0.25">
      <c r="C25" s="9"/>
      <c r="D25" s="9"/>
      <c r="E25" s="9"/>
      <c r="F25" s="9"/>
      <c r="G25" s="9"/>
      <c r="I25" s="10"/>
    </row>
    <row r="26" spans="1:16" x14ac:dyDescent="0.25">
      <c r="C26" s="9"/>
      <c r="D26" s="9"/>
      <c r="E26" s="9"/>
      <c r="F26" s="9"/>
      <c r="G26" s="9"/>
      <c r="I26" s="10"/>
    </row>
    <row r="27" spans="1:16" x14ac:dyDescent="0.25">
      <c r="C27" s="9"/>
      <c r="D27" s="9"/>
      <c r="E27" s="9"/>
      <c r="F27" s="9"/>
      <c r="G27" s="9"/>
      <c r="I27" s="10"/>
    </row>
    <row r="28" spans="1:16" x14ac:dyDescent="0.25">
      <c r="C28" s="9"/>
      <c r="D28" s="9"/>
      <c r="E28" s="9"/>
      <c r="F28" s="9"/>
      <c r="G28" s="9"/>
      <c r="I28" s="10"/>
    </row>
    <row r="29" spans="1:16" x14ac:dyDescent="0.25">
      <c r="C29" s="9"/>
      <c r="D29" s="9"/>
      <c r="E29" s="9"/>
      <c r="F29" s="9"/>
      <c r="G29" s="9"/>
      <c r="I29" s="10"/>
    </row>
    <row r="30" spans="1:16" x14ac:dyDescent="0.25">
      <c r="C30" s="9"/>
      <c r="D30" s="9"/>
      <c r="E30" s="9"/>
      <c r="F30" s="9"/>
      <c r="G30" s="9"/>
      <c r="I30" s="10"/>
    </row>
    <row r="31" spans="1:16" x14ac:dyDescent="0.25">
      <c r="C31" s="9"/>
      <c r="D31" s="9"/>
      <c r="E31" s="9"/>
      <c r="F31" s="9"/>
      <c r="G31" s="9"/>
      <c r="I31" s="10"/>
    </row>
    <row r="32" spans="1:16" x14ac:dyDescent="0.25">
      <c r="C32" s="9"/>
      <c r="D32" s="9"/>
      <c r="E32" s="9"/>
      <c r="F32" s="9"/>
      <c r="G32" s="9"/>
      <c r="I32" s="10"/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SUM(C8:C20)</f>
        <v>412900</v>
      </c>
      <c r="D49" s="12">
        <f t="shared" si="4"/>
        <v>551</v>
      </c>
      <c r="E49" s="12">
        <f t="shared" si="4"/>
        <v>0</v>
      </c>
      <c r="F49" s="12">
        <f t="shared" si="4"/>
        <v>15200</v>
      </c>
      <c r="G49" s="12">
        <f t="shared" si="4"/>
        <v>428651</v>
      </c>
      <c r="H49" s="11">
        <f t="shared" si="4"/>
        <v>250.07999999999998</v>
      </c>
      <c r="I49" s="4"/>
    </row>
    <row r="50" spans="1:10" x14ac:dyDescent="0.25">
      <c r="A50" s="11" t="s">
        <v>14</v>
      </c>
      <c r="C50" s="13">
        <f>ROUND(C49/G49,2)</f>
        <v>0.96</v>
      </c>
      <c r="D50" s="13">
        <f>ROUND(D49/G49,2)</f>
        <v>0</v>
      </c>
      <c r="E50" s="13">
        <f>ROUND(E49/G49,2)</f>
        <v>0</v>
      </c>
      <c r="F50" s="13">
        <f>ROUND(F49/G49,2)</f>
        <v>0.04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280610</v>
      </c>
      <c r="D54" s="15">
        <v>551</v>
      </c>
      <c r="E54" s="15">
        <v>0</v>
      </c>
      <c r="F54" s="15">
        <v>260</v>
      </c>
      <c r="G54" s="15">
        <f>SUM(C54:F54)</f>
        <v>281421</v>
      </c>
      <c r="H54" s="17">
        <f>ROUND(G54/1714,2)</f>
        <v>164.19</v>
      </c>
      <c r="I54" s="4"/>
      <c r="J54" s="4"/>
    </row>
    <row r="55" spans="1:10" x14ac:dyDescent="0.25">
      <c r="A55" s="33" t="s">
        <v>50</v>
      </c>
      <c r="B55" s="33"/>
      <c r="C55" s="15">
        <v>132290</v>
      </c>
      <c r="D55" s="15">
        <v>0</v>
      </c>
      <c r="E55" s="15">
        <v>0</v>
      </c>
      <c r="F55" s="15">
        <v>14940</v>
      </c>
      <c r="G55" s="15">
        <f>SUM(C55:F55)</f>
        <v>147230</v>
      </c>
      <c r="H55" s="17">
        <f>ROUND(G55/1714,2)</f>
        <v>85.9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ROUND(G56/1714,2)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ROUND(0.6864, 4)</f>
        <v>0.68640000000000001</v>
      </c>
      <c r="D60" s="19">
        <f>ROUND(0.7238, 4)</f>
        <v>0.7238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ROUND(0.673, 4)</f>
        <v>0.67300000000000004</v>
      </c>
      <c r="D61" s="19">
        <f>ROUND(0.7107, 4)</f>
        <v>0.7107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249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77.180000000000007</v>
      </c>
      <c r="D64" s="17">
        <v>71.91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71.13</v>
      </c>
      <c r="D65" s="17">
        <v>75.95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164.19</v>
      </c>
      <c r="D66" s="17">
        <v>175.92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85.9</v>
      </c>
      <c r="D67" s="17">
        <v>81.87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  <row r="76" spans="1:10" x14ac:dyDescent="0.25">
      <c r="C76" s="3"/>
      <c r="D76" s="3"/>
      <c r="E76" s="3"/>
      <c r="F76" s="3"/>
      <c r="G76" s="3"/>
      <c r="H76" s="3"/>
      <c r="I76" s="4"/>
      <c r="J76" s="4"/>
    </row>
    <row r="77" spans="1:10" x14ac:dyDescent="0.25">
      <c r="C77" s="3"/>
      <c r="D77" s="3"/>
      <c r="E77" s="3"/>
      <c r="F77" s="3"/>
      <c r="G77" s="3"/>
      <c r="H77" s="3"/>
      <c r="I77" s="4"/>
      <c r="J77" s="4"/>
    </row>
    <row r="78" spans="1:10" x14ac:dyDescent="0.25">
      <c r="C78" s="3"/>
      <c r="D78" s="3"/>
      <c r="E78" s="3"/>
      <c r="F78" s="3"/>
      <c r="G78" s="3"/>
      <c r="H78" s="3"/>
      <c r="I78" s="4"/>
      <c r="J78" s="4"/>
    </row>
    <row r="79" spans="1:10" x14ac:dyDescent="0.25">
      <c r="C79" s="3"/>
      <c r="D79" s="3"/>
      <c r="E79" s="3"/>
      <c r="F79" s="3"/>
      <c r="G79" s="3"/>
      <c r="H79" s="3"/>
      <c r="I79" s="4"/>
      <c r="J79" s="4"/>
    </row>
    <row r="80" spans="1:10" x14ac:dyDescent="0.25">
      <c r="C80" s="3"/>
      <c r="D80" s="3"/>
      <c r="E80" s="3"/>
      <c r="F80" s="3"/>
      <c r="G80" s="3"/>
      <c r="H80" s="3"/>
      <c r="I80" s="4"/>
      <c r="J80" s="4"/>
    </row>
    <row r="81" spans="3:10" x14ac:dyDescent="0.25">
      <c r="C81" s="3"/>
      <c r="D81" s="3"/>
      <c r="E81" s="3"/>
      <c r="F81" s="3"/>
      <c r="G81" s="3"/>
      <c r="H81" s="3"/>
      <c r="I81" s="4"/>
      <c r="J81" s="4"/>
    </row>
    <row r="82" spans="3:10" x14ac:dyDescent="0.25">
      <c r="C82" s="3"/>
      <c r="D82" s="3"/>
      <c r="E82" s="3"/>
      <c r="F82" s="3"/>
      <c r="G82" s="3"/>
      <c r="H82" s="3"/>
      <c r="I82" s="4"/>
      <c r="J82" s="4"/>
    </row>
    <row r="83" spans="3:10" x14ac:dyDescent="0.25">
      <c r="C83" s="3"/>
      <c r="D83" s="3"/>
      <c r="E83" s="3"/>
      <c r="F83" s="3"/>
      <c r="G83" s="3"/>
      <c r="H83" s="3"/>
      <c r="I83" s="4"/>
      <c r="J83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P74"/>
  <sheetViews>
    <sheetView topLeftCell="A33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4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250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680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16950</v>
      </c>
      <c r="D9" s="9"/>
      <c r="E9" s="9"/>
      <c r="F9" s="9"/>
      <c r="G9" s="9">
        <f t="shared" ref="G9:G36" si="0">SUM(C9:F9)</f>
        <v>16950</v>
      </c>
      <c r="H9">
        <f t="shared" ref="H9:H36" si="1">ROUND(G9/680,2)</f>
        <v>24.93</v>
      </c>
      <c r="I9" s="10">
        <f t="shared" ref="I9:I36" si="2">ROUND(G9/$G$49,3)</f>
        <v>6.3E-2</v>
      </c>
      <c r="J9">
        <f t="shared" ref="J9:J27" si="3">ROUND(G9/P9-1,2)</f>
        <v>-0.24</v>
      </c>
      <c r="P9">
        <v>22230</v>
      </c>
    </row>
    <row r="10" spans="1:16" x14ac:dyDescent="0.25">
      <c r="A10" t="s">
        <v>20</v>
      </c>
      <c r="B10" t="s">
        <v>22</v>
      </c>
      <c r="C10" s="9">
        <v>39100</v>
      </c>
      <c r="D10" s="9"/>
      <c r="E10" s="9"/>
      <c r="F10" s="9"/>
      <c r="G10" s="9">
        <f t="shared" si="0"/>
        <v>39100</v>
      </c>
      <c r="H10">
        <f t="shared" si="1"/>
        <v>57.5</v>
      </c>
      <c r="I10" s="10">
        <f t="shared" si="2"/>
        <v>0.14599999999999999</v>
      </c>
      <c r="J10">
        <f t="shared" si="3"/>
        <v>0.35</v>
      </c>
      <c r="P10">
        <v>28950</v>
      </c>
    </row>
    <row r="11" spans="1:16" x14ac:dyDescent="0.25">
      <c r="A11" t="s">
        <v>20</v>
      </c>
      <c r="B11" t="s">
        <v>42</v>
      </c>
      <c r="C11" s="9"/>
      <c r="D11" s="9"/>
      <c r="E11" s="9">
        <v>100</v>
      </c>
      <c r="F11" s="9">
        <v>100</v>
      </c>
      <c r="G11" s="9">
        <f t="shared" si="0"/>
        <v>200</v>
      </c>
      <c r="H11">
        <f t="shared" si="1"/>
        <v>0.28999999999999998</v>
      </c>
      <c r="I11" s="10">
        <f t="shared" si="2"/>
        <v>1E-3</v>
      </c>
      <c r="J11">
        <f t="shared" si="3"/>
        <v>1</v>
      </c>
      <c r="P11">
        <v>100</v>
      </c>
    </row>
    <row r="12" spans="1:16" x14ac:dyDescent="0.25">
      <c r="A12" t="s">
        <v>20</v>
      </c>
      <c r="B12" t="s">
        <v>24</v>
      </c>
      <c r="C12" s="9"/>
      <c r="D12" s="9"/>
      <c r="E12" s="9">
        <v>34120</v>
      </c>
      <c r="F12" s="9"/>
      <c r="G12" s="9">
        <f t="shared" si="0"/>
        <v>34120</v>
      </c>
      <c r="H12">
        <f t="shared" si="1"/>
        <v>50.18</v>
      </c>
      <c r="I12" s="10">
        <f t="shared" si="2"/>
        <v>0.128</v>
      </c>
      <c r="J12">
        <f t="shared" si="3"/>
        <v>0.23</v>
      </c>
      <c r="P12">
        <v>27750</v>
      </c>
    </row>
    <row r="13" spans="1:16" x14ac:dyDescent="0.25">
      <c r="A13" t="s">
        <v>20</v>
      </c>
      <c r="B13" t="s">
        <v>25</v>
      </c>
      <c r="C13" s="9">
        <v>21360</v>
      </c>
      <c r="D13" s="9"/>
      <c r="E13" s="9"/>
      <c r="F13" s="9"/>
      <c r="G13" s="9">
        <f t="shared" si="0"/>
        <v>21360</v>
      </c>
      <c r="H13">
        <f t="shared" si="1"/>
        <v>31.41</v>
      </c>
      <c r="I13" s="10">
        <f t="shared" si="2"/>
        <v>0.08</v>
      </c>
      <c r="J13">
        <f t="shared" si="3"/>
        <v>-0.11</v>
      </c>
      <c r="P13">
        <v>23875</v>
      </c>
    </row>
    <row r="14" spans="1:16" x14ac:dyDescent="0.25">
      <c r="A14" t="s">
        <v>20</v>
      </c>
      <c r="B14" t="s">
        <v>69</v>
      </c>
      <c r="C14" s="9"/>
      <c r="D14" s="9"/>
      <c r="E14" s="9">
        <v>1180</v>
      </c>
      <c r="F14" s="9"/>
      <c r="G14" s="9">
        <f t="shared" si="0"/>
        <v>1180</v>
      </c>
      <c r="H14">
        <f t="shared" si="1"/>
        <v>1.74</v>
      </c>
      <c r="I14" s="10">
        <f t="shared" si="2"/>
        <v>4.0000000000000001E-3</v>
      </c>
      <c r="J14">
        <f t="shared" si="3"/>
        <v>-0.21</v>
      </c>
      <c r="P14">
        <v>1500</v>
      </c>
    </row>
    <row r="15" spans="1:16" x14ac:dyDescent="0.25">
      <c r="A15" t="s">
        <v>20</v>
      </c>
      <c r="B15" t="s">
        <v>26</v>
      </c>
      <c r="C15" s="9">
        <v>29360</v>
      </c>
      <c r="D15" s="9"/>
      <c r="E15" s="9"/>
      <c r="F15" s="9"/>
      <c r="G15" s="9">
        <f t="shared" si="0"/>
        <v>29360</v>
      </c>
      <c r="H15">
        <f t="shared" si="1"/>
        <v>43.18</v>
      </c>
      <c r="I15" s="10">
        <f t="shared" si="2"/>
        <v>0.11</v>
      </c>
      <c r="J15">
        <f t="shared" si="3"/>
        <v>-0.03</v>
      </c>
      <c r="P15">
        <v>30220</v>
      </c>
    </row>
    <row r="16" spans="1:16" x14ac:dyDescent="0.25">
      <c r="A16" t="s">
        <v>20</v>
      </c>
      <c r="B16" t="s">
        <v>27</v>
      </c>
      <c r="C16" s="9"/>
      <c r="D16" s="9"/>
      <c r="E16" s="9">
        <v>456</v>
      </c>
      <c r="F16" s="9"/>
      <c r="G16" s="9">
        <f t="shared" si="0"/>
        <v>456</v>
      </c>
      <c r="H16">
        <f t="shared" si="1"/>
        <v>0.67</v>
      </c>
      <c r="I16" s="10">
        <f t="shared" si="2"/>
        <v>2E-3</v>
      </c>
      <c r="J16">
        <f t="shared" si="3"/>
        <v>13.71</v>
      </c>
      <c r="P16">
        <v>31</v>
      </c>
    </row>
    <row r="17" spans="1:16" x14ac:dyDescent="0.25">
      <c r="A17" t="s">
        <v>20</v>
      </c>
      <c r="B17" t="s">
        <v>28</v>
      </c>
      <c r="C17" s="9"/>
      <c r="D17" s="9"/>
      <c r="E17" s="9">
        <v>315</v>
      </c>
      <c r="F17" s="9"/>
      <c r="G17" s="9">
        <f t="shared" si="0"/>
        <v>315</v>
      </c>
      <c r="H17">
        <f t="shared" si="1"/>
        <v>0.46</v>
      </c>
      <c r="I17" s="10">
        <f t="shared" si="2"/>
        <v>1E-3</v>
      </c>
      <c r="J17">
        <f t="shared" si="3"/>
        <v>0.88</v>
      </c>
      <c r="P17">
        <v>168</v>
      </c>
    </row>
    <row r="18" spans="1:16" x14ac:dyDescent="0.25">
      <c r="A18" t="s">
        <v>20</v>
      </c>
      <c r="B18" t="s">
        <v>30</v>
      </c>
      <c r="C18" s="9"/>
      <c r="D18" s="9"/>
      <c r="E18" s="9">
        <v>410</v>
      </c>
      <c r="F18" s="9"/>
      <c r="G18" s="9">
        <f t="shared" si="0"/>
        <v>410</v>
      </c>
      <c r="H18">
        <f t="shared" si="1"/>
        <v>0.6</v>
      </c>
      <c r="I18" s="10">
        <f t="shared" si="2"/>
        <v>2E-3</v>
      </c>
      <c r="J18">
        <f t="shared" si="3"/>
        <v>-0.73</v>
      </c>
      <c r="P18">
        <v>1540</v>
      </c>
    </row>
    <row r="19" spans="1:16" x14ac:dyDescent="0.25">
      <c r="A19" t="s">
        <v>20</v>
      </c>
      <c r="B19" t="s">
        <v>31</v>
      </c>
      <c r="C19" s="9"/>
      <c r="D19" s="9"/>
      <c r="E19" s="9">
        <v>60</v>
      </c>
      <c r="F19" s="9"/>
      <c r="G19" s="9">
        <f t="shared" si="0"/>
        <v>60</v>
      </c>
      <c r="H19">
        <f t="shared" si="1"/>
        <v>0.09</v>
      </c>
      <c r="I19" s="10">
        <f t="shared" si="2"/>
        <v>0</v>
      </c>
      <c r="J19">
        <f t="shared" si="3"/>
        <v>-0.85</v>
      </c>
      <c r="P19">
        <v>390</v>
      </c>
    </row>
    <row r="20" spans="1:16" x14ac:dyDescent="0.25">
      <c r="A20" t="s">
        <v>20</v>
      </c>
      <c r="B20" t="s">
        <v>33</v>
      </c>
      <c r="C20" s="9"/>
      <c r="D20" s="9"/>
      <c r="E20" s="9">
        <v>1305</v>
      </c>
      <c r="F20" s="9">
        <v>460</v>
      </c>
      <c r="G20" s="9">
        <f t="shared" si="0"/>
        <v>1765</v>
      </c>
      <c r="H20">
        <f t="shared" si="1"/>
        <v>2.6</v>
      </c>
      <c r="I20" s="10">
        <f t="shared" si="2"/>
        <v>7.0000000000000001E-3</v>
      </c>
      <c r="J20">
        <f t="shared" si="3"/>
        <v>0.15</v>
      </c>
      <c r="P20">
        <v>1540</v>
      </c>
    </row>
    <row r="21" spans="1:16" x14ac:dyDescent="0.25">
      <c r="A21" t="s">
        <v>20</v>
      </c>
      <c r="B21" t="s">
        <v>35</v>
      </c>
      <c r="C21" s="9"/>
      <c r="D21" s="9"/>
      <c r="E21" s="9">
        <v>1478</v>
      </c>
      <c r="F21" s="9"/>
      <c r="G21" s="9">
        <f t="shared" si="0"/>
        <v>1478</v>
      </c>
      <c r="H21">
        <f t="shared" si="1"/>
        <v>2.17</v>
      </c>
      <c r="I21" s="10">
        <f t="shared" si="2"/>
        <v>6.0000000000000001E-3</v>
      </c>
      <c r="J21">
        <f t="shared" si="3"/>
        <v>-0.08</v>
      </c>
      <c r="P21">
        <v>1606</v>
      </c>
    </row>
    <row r="22" spans="1:16" x14ac:dyDescent="0.25">
      <c r="A22" t="s">
        <v>20</v>
      </c>
      <c r="B22" t="s">
        <v>36</v>
      </c>
      <c r="C22" s="9"/>
      <c r="D22" s="9"/>
      <c r="E22" s="9">
        <v>968</v>
      </c>
      <c r="F22" s="9"/>
      <c r="G22" s="9">
        <f t="shared" si="0"/>
        <v>968</v>
      </c>
      <c r="H22">
        <f t="shared" si="1"/>
        <v>1.42</v>
      </c>
      <c r="I22" s="10">
        <f t="shared" si="2"/>
        <v>4.0000000000000001E-3</v>
      </c>
      <c r="J22">
        <f t="shared" si="3"/>
        <v>-0.71</v>
      </c>
      <c r="P22">
        <v>3373</v>
      </c>
    </row>
    <row r="23" spans="1:16" x14ac:dyDescent="0.25">
      <c r="A23" t="s">
        <v>20</v>
      </c>
      <c r="B23" t="s">
        <v>41</v>
      </c>
      <c r="C23" s="9"/>
      <c r="D23" s="9"/>
      <c r="E23" s="9">
        <v>2570</v>
      </c>
      <c r="F23" s="9"/>
      <c r="G23" s="9">
        <f t="shared" si="0"/>
        <v>2570</v>
      </c>
      <c r="H23">
        <f t="shared" si="1"/>
        <v>3.78</v>
      </c>
      <c r="I23" s="10">
        <f t="shared" si="2"/>
        <v>0.01</v>
      </c>
      <c r="J23">
        <f t="shared" si="3"/>
        <v>0.5</v>
      </c>
      <c r="P23">
        <v>1709</v>
      </c>
    </row>
    <row r="24" spans="1:16" x14ac:dyDescent="0.25">
      <c r="A24" t="s">
        <v>20</v>
      </c>
      <c r="B24" t="s">
        <v>37</v>
      </c>
      <c r="C24" s="9"/>
      <c r="D24" s="9"/>
      <c r="E24" s="9">
        <v>21465</v>
      </c>
      <c r="F24" s="9"/>
      <c r="G24" s="9">
        <f t="shared" si="0"/>
        <v>21465</v>
      </c>
      <c r="H24">
        <f t="shared" si="1"/>
        <v>31.57</v>
      </c>
      <c r="I24" s="10">
        <f t="shared" si="2"/>
        <v>0.08</v>
      </c>
      <c r="J24">
        <f t="shared" si="3"/>
        <v>7.0000000000000007E-2</v>
      </c>
      <c r="P24">
        <v>20050</v>
      </c>
    </row>
    <row r="25" spans="1:16" x14ac:dyDescent="0.25">
      <c r="A25" t="s">
        <v>20</v>
      </c>
      <c r="B25" t="s">
        <v>39</v>
      </c>
      <c r="C25" s="9"/>
      <c r="D25" s="9"/>
      <c r="E25" s="9">
        <v>13100</v>
      </c>
      <c r="F25" s="9"/>
      <c r="G25" s="9">
        <f t="shared" si="0"/>
        <v>13100</v>
      </c>
      <c r="H25">
        <f t="shared" si="1"/>
        <v>19.260000000000002</v>
      </c>
      <c r="I25" s="10">
        <f t="shared" si="2"/>
        <v>4.9000000000000002E-2</v>
      </c>
      <c r="J25">
        <f t="shared" si="3"/>
        <v>-0.06</v>
      </c>
      <c r="P25">
        <v>13990</v>
      </c>
    </row>
    <row r="26" spans="1:16" x14ac:dyDescent="0.25">
      <c r="A26" t="s">
        <v>20</v>
      </c>
      <c r="B26" t="s">
        <v>40</v>
      </c>
      <c r="C26" s="9"/>
      <c r="D26" s="9"/>
      <c r="E26" s="9">
        <v>7610</v>
      </c>
      <c r="F26" s="9"/>
      <c r="G26" s="9">
        <f t="shared" si="0"/>
        <v>7610</v>
      </c>
      <c r="H26">
        <f t="shared" si="1"/>
        <v>11.19</v>
      </c>
      <c r="I26" s="10">
        <f t="shared" si="2"/>
        <v>2.8000000000000001E-2</v>
      </c>
      <c r="J26">
        <f t="shared" si="3"/>
        <v>0.21</v>
      </c>
      <c r="P26">
        <v>6270</v>
      </c>
    </row>
    <row r="27" spans="1:16" x14ac:dyDescent="0.25">
      <c r="A27" t="s">
        <v>20</v>
      </c>
      <c r="B27" t="s">
        <v>43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J27">
        <f t="shared" si="3"/>
        <v>-1</v>
      </c>
      <c r="P27">
        <v>118</v>
      </c>
    </row>
    <row r="28" spans="1:16" x14ac:dyDescent="0.25">
      <c r="A28" t="s">
        <v>20</v>
      </c>
      <c r="B28" t="s">
        <v>23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20</v>
      </c>
      <c r="B29" t="s">
        <v>29</v>
      </c>
      <c r="C29" s="9"/>
      <c r="D29" s="9"/>
      <c r="E29" s="9"/>
      <c r="F29" s="9"/>
      <c r="G29" s="9">
        <f t="shared" si="0"/>
        <v>0</v>
      </c>
      <c r="H29">
        <f t="shared" si="1"/>
        <v>0</v>
      </c>
      <c r="I29" s="10">
        <f t="shared" si="2"/>
        <v>0</v>
      </c>
      <c r="P29">
        <v>0</v>
      </c>
    </row>
    <row r="30" spans="1:16" x14ac:dyDescent="0.25">
      <c r="A30" t="s">
        <v>20</v>
      </c>
      <c r="B30" t="s">
        <v>32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20</v>
      </c>
      <c r="B31" t="s">
        <v>34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20</v>
      </c>
      <c r="B32" t="s">
        <v>38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1:16" x14ac:dyDescent="0.25">
      <c r="A33" t="s">
        <v>44</v>
      </c>
      <c r="B33" t="s">
        <v>45</v>
      </c>
      <c r="C33" s="9">
        <v>60460</v>
      </c>
      <c r="D33" s="9"/>
      <c r="E33" s="9"/>
      <c r="F33" s="9">
        <v>660</v>
      </c>
      <c r="G33" s="9">
        <f t="shared" si="0"/>
        <v>61120</v>
      </c>
      <c r="H33">
        <f t="shared" si="1"/>
        <v>89.88</v>
      </c>
      <c r="I33" s="10">
        <f t="shared" si="2"/>
        <v>0.22900000000000001</v>
      </c>
      <c r="J33">
        <f>ROUND(G33/P33-1,2)</f>
        <v>0.1</v>
      </c>
      <c r="P33">
        <v>55480</v>
      </c>
    </row>
    <row r="34" spans="1:16" x14ac:dyDescent="0.25">
      <c r="A34" t="s">
        <v>44</v>
      </c>
      <c r="B34" t="s">
        <v>46</v>
      </c>
      <c r="C34" s="9"/>
      <c r="D34" s="9"/>
      <c r="E34" s="9">
        <v>13710</v>
      </c>
      <c r="F34" s="9"/>
      <c r="G34" s="9">
        <f t="shared" si="0"/>
        <v>13710</v>
      </c>
      <c r="H34">
        <f t="shared" si="1"/>
        <v>20.16</v>
      </c>
      <c r="I34" s="10">
        <f t="shared" si="2"/>
        <v>5.0999999999999997E-2</v>
      </c>
      <c r="J34">
        <f>ROUND(G34/P34-1,2)</f>
        <v>-0.18</v>
      </c>
      <c r="P34">
        <v>16805</v>
      </c>
    </row>
    <row r="35" spans="1:16" x14ac:dyDescent="0.25">
      <c r="A35" t="s">
        <v>44</v>
      </c>
      <c r="B35" t="s">
        <v>47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16</v>
      </c>
      <c r="B36" t="s">
        <v>19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SUM(C8:C36)</f>
        <v>167230</v>
      </c>
      <c r="D49" s="12">
        <f t="shared" si="4"/>
        <v>0</v>
      </c>
      <c r="E49" s="12">
        <f t="shared" si="4"/>
        <v>98847</v>
      </c>
      <c r="F49" s="12">
        <f t="shared" si="4"/>
        <v>1220</v>
      </c>
      <c r="G49" s="12">
        <f t="shared" si="4"/>
        <v>267297</v>
      </c>
      <c r="H49" s="11">
        <f t="shared" si="4"/>
        <v>393.08</v>
      </c>
      <c r="I49" s="4"/>
    </row>
    <row r="50" spans="1:10" x14ac:dyDescent="0.25">
      <c r="A50" s="11" t="s">
        <v>14</v>
      </c>
      <c r="C50" s="13">
        <f>ROUND(C49/G49,2)</f>
        <v>0.63</v>
      </c>
      <c r="D50" s="13">
        <f>ROUND(D49/G49,2)</f>
        <v>0</v>
      </c>
      <c r="E50" s="13">
        <f>ROUND(E49/G49,2)</f>
        <v>0.37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106770</v>
      </c>
      <c r="D54" s="15">
        <v>0</v>
      </c>
      <c r="E54" s="15">
        <v>85137</v>
      </c>
      <c r="F54" s="15">
        <v>560</v>
      </c>
      <c r="G54" s="15">
        <f>SUM(C54:F54)</f>
        <v>192467</v>
      </c>
      <c r="H54" s="17">
        <f>ROUND(G54/680,2)</f>
        <v>283.04000000000002</v>
      </c>
      <c r="I54" s="4"/>
      <c r="J54" s="4"/>
    </row>
    <row r="55" spans="1:10" x14ac:dyDescent="0.25">
      <c r="A55" s="33" t="s">
        <v>50</v>
      </c>
      <c r="B55" s="33"/>
      <c r="C55" s="15">
        <v>60460</v>
      </c>
      <c r="D55" s="15">
        <v>0</v>
      </c>
      <c r="E55" s="15">
        <v>13710</v>
      </c>
      <c r="F55" s="15">
        <v>660</v>
      </c>
      <c r="G55" s="15">
        <f>SUM(C55:F55)</f>
        <v>74830</v>
      </c>
      <c r="H55" s="17">
        <f>ROUND(G55/680,2)</f>
        <v>110.04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ROUND(G56/680,2)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ROUND(0.7316, 4)</f>
        <v>0.73160000000000003</v>
      </c>
      <c r="D60" s="19">
        <f>ROUND(0.751, 4)</f>
        <v>0.751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ROUND(0.7046, 4)</f>
        <v>0.7046</v>
      </c>
      <c r="D61" s="19">
        <f>ROUND(0.7148, 4)</f>
        <v>0.71479999999999999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251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89.88</v>
      </c>
      <c r="D64" s="17">
        <v>79.5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43.18</v>
      </c>
      <c r="D65" s="17">
        <v>45.76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283.04000000000002</v>
      </c>
      <c r="D66" s="17">
        <v>254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110.04</v>
      </c>
      <c r="D67" s="17">
        <v>102.9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P67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1.140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252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2641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460</v>
      </c>
      <c r="G9" s="9">
        <f t="shared" ref="G9:G43" si="0">SUM(C9:F9)</f>
        <v>460</v>
      </c>
      <c r="H9">
        <f t="shared" ref="H9:H43" si="1">ROUND(G9/2641,2)</f>
        <v>0.17</v>
      </c>
      <c r="I9" s="10">
        <f t="shared" ref="I9:I43" si="2">ROUND(G9/$G$49,3)</f>
        <v>1E-3</v>
      </c>
      <c r="P9">
        <v>0</v>
      </c>
    </row>
    <row r="10" spans="1:16" x14ac:dyDescent="0.25">
      <c r="A10" t="s">
        <v>16</v>
      </c>
      <c r="B10" t="s">
        <v>18</v>
      </c>
      <c r="C10" s="9"/>
      <c r="D10" s="9"/>
      <c r="E10" s="9"/>
      <c r="F10" s="9">
        <v>235</v>
      </c>
      <c r="G10" s="9">
        <f t="shared" si="0"/>
        <v>235</v>
      </c>
      <c r="H10">
        <f t="shared" si="1"/>
        <v>0.09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19</v>
      </c>
      <c r="C11" s="9"/>
      <c r="D11" s="9"/>
      <c r="E11" s="9"/>
      <c r="F11" s="9"/>
      <c r="G11" s="9">
        <f t="shared" si="0"/>
        <v>0</v>
      </c>
      <c r="H11">
        <f t="shared" si="1"/>
        <v>0</v>
      </c>
      <c r="I11" s="10">
        <f t="shared" si="2"/>
        <v>0</v>
      </c>
      <c r="P11">
        <v>0</v>
      </c>
    </row>
    <row r="12" spans="1:16" x14ac:dyDescent="0.25">
      <c r="A12" t="s">
        <v>20</v>
      </c>
      <c r="B12" t="s">
        <v>67</v>
      </c>
      <c r="C12" s="9"/>
      <c r="D12" s="9"/>
      <c r="E12" s="9">
        <v>57</v>
      </c>
      <c r="F12" s="9"/>
      <c r="G12" s="9">
        <f t="shared" si="0"/>
        <v>57</v>
      </c>
      <c r="H12">
        <f t="shared" si="1"/>
        <v>0.02</v>
      </c>
      <c r="I12" s="10">
        <f t="shared" si="2"/>
        <v>0</v>
      </c>
      <c r="J12">
        <f>ROUND(G12/P12-1,2)</f>
        <v>0.14000000000000001</v>
      </c>
      <c r="P12">
        <v>50</v>
      </c>
    </row>
    <row r="13" spans="1:16" x14ac:dyDescent="0.25">
      <c r="A13" t="s">
        <v>20</v>
      </c>
      <c r="B13" t="s">
        <v>68</v>
      </c>
      <c r="C13" s="9">
        <v>1340</v>
      </c>
      <c r="D13" s="9"/>
      <c r="E13" s="9"/>
      <c r="F13" s="9"/>
      <c r="G13" s="9">
        <f t="shared" si="0"/>
        <v>1340</v>
      </c>
      <c r="H13">
        <f t="shared" si="1"/>
        <v>0.51</v>
      </c>
      <c r="I13" s="10">
        <f t="shared" si="2"/>
        <v>1E-3</v>
      </c>
      <c r="P13">
        <v>0</v>
      </c>
    </row>
    <row r="14" spans="1:16" x14ac:dyDescent="0.25">
      <c r="A14" t="s">
        <v>20</v>
      </c>
      <c r="B14" t="s">
        <v>21</v>
      </c>
      <c r="C14" s="9">
        <v>91680</v>
      </c>
      <c r="D14" s="9"/>
      <c r="E14" s="9">
        <v>520</v>
      </c>
      <c r="F14" s="9"/>
      <c r="G14" s="9">
        <f t="shared" si="0"/>
        <v>92200</v>
      </c>
      <c r="H14">
        <f t="shared" si="1"/>
        <v>34.909999999999997</v>
      </c>
      <c r="I14" s="10">
        <f t="shared" si="2"/>
        <v>0.10299999999999999</v>
      </c>
      <c r="J14">
        <f>ROUND(G14/P14-1,2)</f>
        <v>-0.02</v>
      </c>
      <c r="P14">
        <v>94100</v>
      </c>
    </row>
    <row r="15" spans="1:16" x14ac:dyDescent="0.25">
      <c r="A15" t="s">
        <v>20</v>
      </c>
      <c r="B15" t="s">
        <v>22</v>
      </c>
      <c r="C15" s="9">
        <v>120690</v>
      </c>
      <c r="D15" s="9"/>
      <c r="E15" s="9"/>
      <c r="F15" s="9"/>
      <c r="G15" s="9">
        <f t="shared" si="0"/>
        <v>120690</v>
      </c>
      <c r="H15">
        <f t="shared" si="1"/>
        <v>45.7</v>
      </c>
      <c r="I15" s="10">
        <f t="shared" si="2"/>
        <v>0.13400000000000001</v>
      </c>
      <c r="J15">
        <f>ROUND(G15/P15-1,2)</f>
        <v>-0.09</v>
      </c>
      <c r="P15">
        <v>132930</v>
      </c>
    </row>
    <row r="16" spans="1:16" x14ac:dyDescent="0.25">
      <c r="A16" t="s">
        <v>20</v>
      </c>
      <c r="B16" t="s">
        <v>79</v>
      </c>
      <c r="C16" s="9"/>
      <c r="D16" s="9"/>
      <c r="E16" s="9">
        <v>86</v>
      </c>
      <c r="F16" s="9"/>
      <c r="G16" s="9">
        <f t="shared" si="0"/>
        <v>86</v>
      </c>
      <c r="H16">
        <f t="shared" si="1"/>
        <v>0.03</v>
      </c>
      <c r="I16" s="10">
        <f t="shared" si="2"/>
        <v>0</v>
      </c>
      <c r="J16">
        <f>ROUND(G16/P16-1,2)</f>
        <v>0.19</v>
      </c>
      <c r="P16">
        <v>72</v>
      </c>
    </row>
    <row r="17" spans="1:16" x14ac:dyDescent="0.25">
      <c r="A17" t="s">
        <v>20</v>
      </c>
      <c r="B17" t="s">
        <v>42</v>
      </c>
      <c r="C17" s="9"/>
      <c r="D17" s="9"/>
      <c r="E17" s="9">
        <v>182</v>
      </c>
      <c r="F17" s="9"/>
      <c r="G17" s="9">
        <f t="shared" si="0"/>
        <v>182</v>
      </c>
      <c r="H17">
        <f t="shared" si="1"/>
        <v>7.0000000000000007E-2</v>
      </c>
      <c r="I17" s="10">
        <f t="shared" si="2"/>
        <v>0</v>
      </c>
      <c r="J17">
        <f>ROUND(G17/P17-1,2)</f>
        <v>0.19</v>
      </c>
      <c r="P17">
        <v>153</v>
      </c>
    </row>
    <row r="18" spans="1:16" x14ac:dyDescent="0.25">
      <c r="A18" t="s">
        <v>20</v>
      </c>
      <c r="B18" t="s">
        <v>23</v>
      </c>
      <c r="C18" s="9"/>
      <c r="D18" s="9"/>
      <c r="E18" s="9">
        <v>2000</v>
      </c>
      <c r="F18" s="9"/>
      <c r="G18" s="9">
        <f t="shared" si="0"/>
        <v>2000</v>
      </c>
      <c r="H18">
        <f t="shared" si="1"/>
        <v>0.76</v>
      </c>
      <c r="I18" s="10">
        <f t="shared" si="2"/>
        <v>2E-3</v>
      </c>
      <c r="J18">
        <f>ROUND(G18/P18-1,2)</f>
        <v>1.7</v>
      </c>
      <c r="P18">
        <v>740</v>
      </c>
    </row>
    <row r="19" spans="1:16" x14ac:dyDescent="0.25">
      <c r="A19" t="s">
        <v>20</v>
      </c>
      <c r="B19" t="s">
        <v>185</v>
      </c>
      <c r="C19" s="9"/>
      <c r="D19" s="9"/>
      <c r="E19" s="9"/>
      <c r="F19" s="9">
        <v>20</v>
      </c>
      <c r="G19" s="9">
        <f t="shared" si="0"/>
        <v>20</v>
      </c>
      <c r="H19">
        <f t="shared" si="1"/>
        <v>0.01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24</v>
      </c>
      <c r="C20" s="9"/>
      <c r="D20" s="9"/>
      <c r="E20" s="9">
        <v>25080</v>
      </c>
      <c r="F20" s="9"/>
      <c r="G20" s="9">
        <f t="shared" si="0"/>
        <v>25080</v>
      </c>
      <c r="H20">
        <f t="shared" si="1"/>
        <v>9.5</v>
      </c>
      <c r="I20" s="10">
        <f t="shared" si="2"/>
        <v>2.8000000000000001E-2</v>
      </c>
      <c r="J20">
        <f t="shared" ref="J20:J43" si="3">ROUND(G20/P20-1,2)</f>
        <v>0.21</v>
      </c>
      <c r="P20">
        <v>20740</v>
      </c>
    </row>
    <row r="21" spans="1:16" x14ac:dyDescent="0.25">
      <c r="A21" t="s">
        <v>20</v>
      </c>
      <c r="B21" t="s">
        <v>25</v>
      </c>
      <c r="C21" s="9">
        <v>117080</v>
      </c>
      <c r="D21" s="9"/>
      <c r="E21" s="9"/>
      <c r="F21" s="9"/>
      <c r="G21" s="9">
        <f t="shared" si="0"/>
        <v>117080</v>
      </c>
      <c r="H21">
        <f t="shared" si="1"/>
        <v>44.33</v>
      </c>
      <c r="I21" s="10">
        <f t="shared" si="2"/>
        <v>0.13</v>
      </c>
      <c r="J21">
        <f t="shared" si="3"/>
        <v>-0.05</v>
      </c>
      <c r="P21">
        <v>123100</v>
      </c>
    </row>
    <row r="22" spans="1:16" x14ac:dyDescent="0.25">
      <c r="A22" t="s">
        <v>20</v>
      </c>
      <c r="B22" t="s">
        <v>69</v>
      </c>
      <c r="C22" s="9"/>
      <c r="D22" s="9"/>
      <c r="E22" s="9">
        <v>3330</v>
      </c>
      <c r="F22" s="9"/>
      <c r="G22" s="9">
        <f t="shared" si="0"/>
        <v>3330</v>
      </c>
      <c r="H22">
        <f t="shared" si="1"/>
        <v>1.26</v>
      </c>
      <c r="I22" s="10">
        <f t="shared" si="2"/>
        <v>4.0000000000000001E-3</v>
      </c>
      <c r="J22">
        <f t="shared" si="3"/>
        <v>0.05</v>
      </c>
      <c r="P22">
        <v>3160</v>
      </c>
    </row>
    <row r="23" spans="1:16" x14ac:dyDescent="0.25">
      <c r="A23" t="s">
        <v>20</v>
      </c>
      <c r="B23" t="s">
        <v>26</v>
      </c>
      <c r="C23" s="9">
        <v>192210</v>
      </c>
      <c r="D23" s="9"/>
      <c r="E23" s="9"/>
      <c r="F23" s="9">
        <v>430</v>
      </c>
      <c r="G23" s="9">
        <f t="shared" si="0"/>
        <v>192640</v>
      </c>
      <c r="H23">
        <f t="shared" si="1"/>
        <v>72.94</v>
      </c>
      <c r="I23" s="10">
        <f t="shared" si="2"/>
        <v>0.214</v>
      </c>
      <c r="J23">
        <f t="shared" si="3"/>
        <v>0</v>
      </c>
      <c r="P23">
        <v>193140</v>
      </c>
    </row>
    <row r="24" spans="1:16" x14ac:dyDescent="0.25">
      <c r="A24" t="s">
        <v>20</v>
      </c>
      <c r="B24" t="s">
        <v>27</v>
      </c>
      <c r="C24" s="9"/>
      <c r="D24" s="9"/>
      <c r="E24" s="9">
        <v>875</v>
      </c>
      <c r="F24" s="9"/>
      <c r="G24" s="9">
        <f t="shared" si="0"/>
        <v>875</v>
      </c>
      <c r="H24">
        <f t="shared" si="1"/>
        <v>0.33</v>
      </c>
      <c r="I24" s="10">
        <f t="shared" si="2"/>
        <v>1E-3</v>
      </c>
      <c r="J24">
        <f t="shared" si="3"/>
        <v>0.6</v>
      </c>
      <c r="P24">
        <v>548</v>
      </c>
    </row>
    <row r="25" spans="1:16" x14ac:dyDescent="0.25">
      <c r="A25" t="s">
        <v>20</v>
      </c>
      <c r="B25" t="s">
        <v>28</v>
      </c>
      <c r="C25" s="9"/>
      <c r="D25" s="9"/>
      <c r="E25" s="9">
        <v>431</v>
      </c>
      <c r="F25" s="9"/>
      <c r="G25" s="9">
        <f t="shared" si="0"/>
        <v>431</v>
      </c>
      <c r="H25">
        <f t="shared" si="1"/>
        <v>0.16</v>
      </c>
      <c r="I25" s="10">
        <f t="shared" si="2"/>
        <v>0</v>
      </c>
      <c r="J25">
        <f t="shared" si="3"/>
        <v>0.31</v>
      </c>
      <c r="P25">
        <v>328</v>
      </c>
    </row>
    <row r="26" spans="1:16" x14ac:dyDescent="0.25">
      <c r="A26" t="s">
        <v>20</v>
      </c>
      <c r="B26" t="s">
        <v>29</v>
      </c>
      <c r="C26" s="9"/>
      <c r="D26" s="9"/>
      <c r="E26" s="9">
        <v>94</v>
      </c>
      <c r="F26" s="9"/>
      <c r="G26" s="9">
        <f t="shared" si="0"/>
        <v>94</v>
      </c>
      <c r="H26">
        <f t="shared" si="1"/>
        <v>0.04</v>
      </c>
      <c r="I26" s="10">
        <f t="shared" si="2"/>
        <v>0</v>
      </c>
      <c r="J26">
        <f t="shared" si="3"/>
        <v>-0.91</v>
      </c>
      <c r="P26">
        <v>1020</v>
      </c>
    </row>
    <row r="27" spans="1:16" x14ac:dyDescent="0.25">
      <c r="A27" t="s">
        <v>20</v>
      </c>
      <c r="B27" t="s">
        <v>30</v>
      </c>
      <c r="C27" s="9"/>
      <c r="D27" s="9"/>
      <c r="E27" s="9">
        <v>4064</v>
      </c>
      <c r="F27" s="9"/>
      <c r="G27" s="9">
        <f t="shared" si="0"/>
        <v>4064</v>
      </c>
      <c r="H27">
        <f t="shared" si="1"/>
        <v>1.54</v>
      </c>
      <c r="I27" s="10">
        <f t="shared" si="2"/>
        <v>5.0000000000000001E-3</v>
      </c>
      <c r="J27">
        <f t="shared" si="3"/>
        <v>0.17</v>
      </c>
      <c r="P27">
        <v>3466</v>
      </c>
    </row>
    <row r="28" spans="1:16" x14ac:dyDescent="0.25">
      <c r="A28" t="s">
        <v>20</v>
      </c>
      <c r="B28" t="s">
        <v>31</v>
      </c>
      <c r="C28" s="9"/>
      <c r="D28" s="9"/>
      <c r="E28" s="9">
        <v>1410</v>
      </c>
      <c r="F28" s="9"/>
      <c r="G28" s="9">
        <f t="shared" si="0"/>
        <v>1410</v>
      </c>
      <c r="H28">
        <f t="shared" si="1"/>
        <v>0.53</v>
      </c>
      <c r="I28" s="10">
        <f t="shared" si="2"/>
        <v>2E-3</v>
      </c>
      <c r="J28">
        <f t="shared" si="3"/>
        <v>0.28000000000000003</v>
      </c>
      <c r="P28">
        <v>1100</v>
      </c>
    </row>
    <row r="29" spans="1:16" x14ac:dyDescent="0.25">
      <c r="A29" t="s">
        <v>20</v>
      </c>
      <c r="B29" t="s">
        <v>32</v>
      </c>
      <c r="C29" s="9"/>
      <c r="D29" s="9"/>
      <c r="E29" s="9">
        <v>430</v>
      </c>
      <c r="F29" s="9"/>
      <c r="G29" s="9">
        <f t="shared" si="0"/>
        <v>430</v>
      </c>
      <c r="H29">
        <f t="shared" si="1"/>
        <v>0.16</v>
      </c>
      <c r="I29" s="10">
        <f t="shared" si="2"/>
        <v>0</v>
      </c>
      <c r="J29">
        <f t="shared" si="3"/>
        <v>0.08</v>
      </c>
      <c r="P29">
        <v>400</v>
      </c>
    </row>
    <row r="30" spans="1:16" x14ac:dyDescent="0.25">
      <c r="A30" t="s">
        <v>20</v>
      </c>
      <c r="B30" t="s">
        <v>33</v>
      </c>
      <c r="C30" s="9"/>
      <c r="D30" s="9"/>
      <c r="E30" s="9">
        <v>1600</v>
      </c>
      <c r="F30" s="9"/>
      <c r="G30" s="9">
        <f t="shared" si="0"/>
        <v>1600</v>
      </c>
      <c r="H30">
        <f t="shared" si="1"/>
        <v>0.61</v>
      </c>
      <c r="I30" s="10">
        <f t="shared" si="2"/>
        <v>2E-3</v>
      </c>
      <c r="J30">
        <f t="shared" si="3"/>
        <v>0.09</v>
      </c>
      <c r="P30">
        <v>1470</v>
      </c>
    </row>
    <row r="31" spans="1:16" x14ac:dyDescent="0.25">
      <c r="A31" t="s">
        <v>20</v>
      </c>
      <c r="B31" t="s">
        <v>43</v>
      </c>
      <c r="C31" s="9"/>
      <c r="D31" s="9">
        <v>343</v>
      </c>
      <c r="E31" s="9"/>
      <c r="F31" s="9"/>
      <c r="G31" s="9">
        <f t="shared" si="0"/>
        <v>343</v>
      </c>
      <c r="H31">
        <f t="shared" si="1"/>
        <v>0.13</v>
      </c>
      <c r="I31" s="10">
        <f t="shared" si="2"/>
        <v>0</v>
      </c>
      <c r="J31">
        <f t="shared" si="3"/>
        <v>-7.0000000000000007E-2</v>
      </c>
      <c r="P31">
        <v>367</v>
      </c>
    </row>
    <row r="32" spans="1:16" x14ac:dyDescent="0.25">
      <c r="A32" t="s">
        <v>20</v>
      </c>
      <c r="B32" t="s">
        <v>70</v>
      </c>
      <c r="C32" s="9"/>
      <c r="D32" s="9"/>
      <c r="E32" s="9">
        <v>600</v>
      </c>
      <c r="F32" s="9"/>
      <c r="G32" s="9">
        <f t="shared" si="0"/>
        <v>600</v>
      </c>
      <c r="H32">
        <f t="shared" si="1"/>
        <v>0.23</v>
      </c>
      <c r="I32" s="10">
        <f t="shared" si="2"/>
        <v>1E-3</v>
      </c>
      <c r="J32">
        <f t="shared" si="3"/>
        <v>-0.5</v>
      </c>
      <c r="P32">
        <v>1200</v>
      </c>
    </row>
    <row r="33" spans="1:16" x14ac:dyDescent="0.25">
      <c r="A33" t="s">
        <v>20</v>
      </c>
      <c r="B33" t="s">
        <v>34</v>
      </c>
      <c r="C33" s="9"/>
      <c r="D33" s="9"/>
      <c r="E33" s="9">
        <v>183</v>
      </c>
      <c r="F33" s="9"/>
      <c r="G33" s="9">
        <f t="shared" si="0"/>
        <v>183</v>
      </c>
      <c r="H33">
        <f t="shared" si="1"/>
        <v>7.0000000000000007E-2</v>
      </c>
      <c r="I33" s="10">
        <f t="shared" si="2"/>
        <v>0</v>
      </c>
      <c r="J33">
        <f t="shared" si="3"/>
        <v>-0.41</v>
      </c>
      <c r="P33">
        <v>312</v>
      </c>
    </row>
    <row r="34" spans="1:16" x14ac:dyDescent="0.25">
      <c r="A34" t="s">
        <v>20</v>
      </c>
      <c r="B34" t="s">
        <v>35</v>
      </c>
      <c r="C34" s="9"/>
      <c r="D34" s="9"/>
      <c r="E34" s="9">
        <v>2545</v>
      </c>
      <c r="F34" s="9"/>
      <c r="G34" s="9">
        <f t="shared" si="0"/>
        <v>2545</v>
      </c>
      <c r="H34">
        <f t="shared" si="1"/>
        <v>0.96</v>
      </c>
      <c r="I34" s="10">
        <f t="shared" si="2"/>
        <v>3.0000000000000001E-3</v>
      </c>
      <c r="J34">
        <f t="shared" si="3"/>
        <v>-0.17</v>
      </c>
      <c r="P34">
        <v>3081</v>
      </c>
    </row>
    <row r="35" spans="1:16" x14ac:dyDescent="0.25">
      <c r="A35" t="s">
        <v>20</v>
      </c>
      <c r="B35" t="s">
        <v>41</v>
      </c>
      <c r="C35" s="9"/>
      <c r="D35" s="9"/>
      <c r="E35" s="9">
        <v>2874</v>
      </c>
      <c r="F35" s="9"/>
      <c r="G35" s="9">
        <f t="shared" si="0"/>
        <v>2874</v>
      </c>
      <c r="H35">
        <f t="shared" si="1"/>
        <v>1.0900000000000001</v>
      </c>
      <c r="I35" s="10">
        <f t="shared" si="2"/>
        <v>3.0000000000000001E-3</v>
      </c>
      <c r="J35">
        <f t="shared" si="3"/>
        <v>-0.39</v>
      </c>
      <c r="P35">
        <v>4695</v>
      </c>
    </row>
    <row r="36" spans="1:16" x14ac:dyDescent="0.25">
      <c r="A36" t="s">
        <v>20</v>
      </c>
      <c r="B36" t="s">
        <v>36</v>
      </c>
      <c r="C36" s="9"/>
      <c r="D36" s="9"/>
      <c r="E36" s="9">
        <v>4500</v>
      </c>
      <c r="F36" s="9"/>
      <c r="G36" s="9">
        <f t="shared" si="0"/>
        <v>4500</v>
      </c>
      <c r="H36">
        <f t="shared" si="1"/>
        <v>1.7</v>
      </c>
      <c r="I36" s="10">
        <f t="shared" si="2"/>
        <v>5.0000000000000001E-3</v>
      </c>
      <c r="J36">
        <f t="shared" si="3"/>
        <v>7.0000000000000007E-2</v>
      </c>
      <c r="P36">
        <v>4220</v>
      </c>
    </row>
    <row r="37" spans="1:16" x14ac:dyDescent="0.25">
      <c r="A37" t="s">
        <v>20</v>
      </c>
      <c r="B37" t="s">
        <v>37</v>
      </c>
      <c r="C37" s="9"/>
      <c r="D37" s="9"/>
      <c r="E37" s="9">
        <v>48880</v>
      </c>
      <c r="F37" s="9">
        <v>60</v>
      </c>
      <c r="G37" s="9">
        <f t="shared" si="0"/>
        <v>48940</v>
      </c>
      <c r="H37">
        <f t="shared" si="1"/>
        <v>18.53</v>
      </c>
      <c r="I37" s="10">
        <f t="shared" si="2"/>
        <v>5.3999999999999999E-2</v>
      </c>
      <c r="J37">
        <f t="shared" si="3"/>
        <v>0.17</v>
      </c>
      <c r="P37">
        <v>41840</v>
      </c>
    </row>
    <row r="38" spans="1:16" x14ac:dyDescent="0.25">
      <c r="A38" t="s">
        <v>20</v>
      </c>
      <c r="B38" t="s">
        <v>38</v>
      </c>
      <c r="C38" s="9"/>
      <c r="D38" s="9"/>
      <c r="E38" s="9">
        <v>4570</v>
      </c>
      <c r="F38" s="9"/>
      <c r="G38" s="9">
        <f t="shared" si="0"/>
        <v>4570</v>
      </c>
      <c r="H38">
        <f t="shared" si="1"/>
        <v>1.73</v>
      </c>
      <c r="I38" s="10">
        <f t="shared" si="2"/>
        <v>5.0000000000000001E-3</v>
      </c>
      <c r="J38">
        <f t="shared" si="3"/>
        <v>0.23</v>
      </c>
      <c r="P38">
        <v>3730</v>
      </c>
    </row>
    <row r="39" spans="1:16" x14ac:dyDescent="0.25">
      <c r="A39" t="s">
        <v>20</v>
      </c>
      <c r="B39" t="s">
        <v>39</v>
      </c>
      <c r="C39" s="9"/>
      <c r="D39" s="9"/>
      <c r="E39" s="9">
        <v>16440</v>
      </c>
      <c r="F39" s="9"/>
      <c r="G39" s="9">
        <f t="shared" si="0"/>
        <v>16440</v>
      </c>
      <c r="H39">
        <f t="shared" si="1"/>
        <v>6.22</v>
      </c>
      <c r="I39" s="10">
        <f t="shared" si="2"/>
        <v>1.7999999999999999E-2</v>
      </c>
      <c r="J39">
        <f t="shared" si="3"/>
        <v>0.13</v>
      </c>
      <c r="P39">
        <v>14490</v>
      </c>
    </row>
    <row r="40" spans="1:16" x14ac:dyDescent="0.25">
      <c r="A40" t="s">
        <v>20</v>
      </c>
      <c r="B40" t="s">
        <v>40</v>
      </c>
      <c r="C40" s="9"/>
      <c r="D40" s="9"/>
      <c r="E40" s="9">
        <v>48640</v>
      </c>
      <c r="F40" s="9">
        <v>2500</v>
      </c>
      <c r="G40" s="9">
        <f t="shared" si="0"/>
        <v>51140</v>
      </c>
      <c r="H40">
        <f t="shared" si="1"/>
        <v>19.36</v>
      </c>
      <c r="I40" s="10">
        <f t="shared" si="2"/>
        <v>5.7000000000000002E-2</v>
      </c>
      <c r="J40">
        <f t="shared" si="3"/>
        <v>0.75</v>
      </c>
      <c r="P40">
        <v>29240</v>
      </c>
    </row>
    <row r="41" spans="1:16" x14ac:dyDescent="0.25">
      <c r="A41" t="s">
        <v>44</v>
      </c>
      <c r="B41" t="s">
        <v>45</v>
      </c>
      <c r="C41" s="9">
        <v>143470</v>
      </c>
      <c r="D41" s="9"/>
      <c r="E41" s="9"/>
      <c r="F41" s="9">
        <v>1520</v>
      </c>
      <c r="G41" s="9">
        <f t="shared" si="0"/>
        <v>144990</v>
      </c>
      <c r="H41">
        <f t="shared" si="1"/>
        <v>54.9</v>
      </c>
      <c r="I41" s="10">
        <f t="shared" si="2"/>
        <v>0.161</v>
      </c>
      <c r="J41">
        <f t="shared" si="3"/>
        <v>-0.05</v>
      </c>
      <c r="P41">
        <v>151990</v>
      </c>
    </row>
    <row r="42" spans="1:16" x14ac:dyDescent="0.25">
      <c r="A42" t="s">
        <v>44</v>
      </c>
      <c r="B42" t="s">
        <v>47</v>
      </c>
      <c r="C42" s="9"/>
      <c r="D42" s="9"/>
      <c r="E42" s="9"/>
      <c r="F42" s="9">
        <v>25990</v>
      </c>
      <c r="G42" s="9">
        <f t="shared" si="0"/>
        <v>25990</v>
      </c>
      <c r="H42">
        <f t="shared" si="1"/>
        <v>9.84</v>
      </c>
      <c r="I42" s="10">
        <f t="shared" si="2"/>
        <v>2.9000000000000001E-2</v>
      </c>
      <c r="J42">
        <f t="shared" si="3"/>
        <v>0.59</v>
      </c>
      <c r="P42">
        <v>16295</v>
      </c>
    </row>
    <row r="43" spans="1:16" x14ac:dyDescent="0.25">
      <c r="A43" t="s">
        <v>44</v>
      </c>
      <c r="B43" t="s">
        <v>46</v>
      </c>
      <c r="C43" s="9"/>
      <c r="D43" s="9"/>
      <c r="E43" s="9">
        <v>31470</v>
      </c>
      <c r="F43" s="9"/>
      <c r="G43" s="9">
        <f t="shared" si="0"/>
        <v>31470</v>
      </c>
      <c r="H43">
        <f t="shared" si="1"/>
        <v>11.92</v>
      </c>
      <c r="I43" s="10">
        <f t="shared" si="2"/>
        <v>3.5000000000000003E-2</v>
      </c>
      <c r="J43">
        <f t="shared" si="3"/>
        <v>-0.17</v>
      </c>
      <c r="P43">
        <v>37900</v>
      </c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SUM(C8:C43)</f>
        <v>666470</v>
      </c>
      <c r="D49" s="12">
        <f t="shared" si="4"/>
        <v>343</v>
      </c>
      <c r="E49" s="12">
        <f t="shared" si="4"/>
        <v>200861</v>
      </c>
      <c r="F49" s="12">
        <f t="shared" si="4"/>
        <v>31215</v>
      </c>
      <c r="G49" s="12">
        <f t="shared" si="4"/>
        <v>898889</v>
      </c>
      <c r="H49" s="11">
        <f t="shared" si="4"/>
        <v>340.34999999999997</v>
      </c>
      <c r="I49" s="4"/>
    </row>
    <row r="50" spans="1:10" x14ac:dyDescent="0.25">
      <c r="A50" s="11" t="s">
        <v>14</v>
      </c>
      <c r="C50" s="13">
        <f>ROUND(C49/G49,2)</f>
        <v>0.74</v>
      </c>
      <c r="D50" s="13">
        <f>ROUND(D49/G49,2)</f>
        <v>0</v>
      </c>
      <c r="E50" s="13">
        <f>ROUND(E49/G49,2)</f>
        <v>0.22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523000</v>
      </c>
      <c r="D54" s="15">
        <v>343</v>
      </c>
      <c r="E54" s="15">
        <v>169391</v>
      </c>
      <c r="F54" s="15">
        <v>3010</v>
      </c>
      <c r="G54" s="15">
        <f>SUM(C54:F54)</f>
        <v>695744</v>
      </c>
      <c r="H54" s="17">
        <f>ROUND(G54/2641,2)</f>
        <v>263.44</v>
      </c>
      <c r="I54" s="4"/>
      <c r="J54" s="4"/>
    </row>
    <row r="55" spans="1:10" x14ac:dyDescent="0.25">
      <c r="A55" s="33" t="s">
        <v>50</v>
      </c>
      <c r="B55" s="33"/>
      <c r="C55" s="15">
        <v>143470</v>
      </c>
      <c r="D55" s="15">
        <v>0</v>
      </c>
      <c r="E55" s="15">
        <v>31470</v>
      </c>
      <c r="F55" s="15">
        <v>27510</v>
      </c>
      <c r="G55" s="15">
        <f>SUM(C55:F55)</f>
        <v>202450</v>
      </c>
      <c r="H55" s="17">
        <f>ROUND(G55/2641,2)</f>
        <v>76.66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695</v>
      </c>
      <c r="G56" s="15">
        <f>SUM(C56:F56)</f>
        <v>695</v>
      </c>
      <c r="H56" s="17">
        <f>ROUND(G56/2641,2)</f>
        <v>0.26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ROUND(0.8276, 4)</f>
        <v>0.8276</v>
      </c>
      <c r="D60" s="19">
        <f>ROUND(0.8168, 4)</f>
        <v>0.81679999999999997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ROUND(0.8142, 4)</f>
        <v>0.81420000000000003</v>
      </c>
      <c r="D61" s="19">
        <f>ROUND(0.8028, 4)</f>
        <v>0.80279999999999996</v>
      </c>
      <c r="E61" s="19">
        <f>ROUND(0.7592, 4)</f>
        <v>0.75919999999999999</v>
      </c>
      <c r="F61" s="3"/>
      <c r="G61" s="3"/>
      <c r="H61" s="3"/>
      <c r="I61" s="4"/>
      <c r="J61" s="4"/>
    </row>
    <row r="63" spans="1:10" x14ac:dyDescent="0.25">
      <c r="A63" s="32" t="s">
        <v>55</v>
      </c>
      <c r="B63" s="32"/>
      <c r="C63" s="2" t="s">
        <v>2</v>
      </c>
      <c r="D63" s="2" t="s">
        <v>253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54.9</v>
      </c>
      <c r="D64" s="16">
        <v>56.82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72.94</v>
      </c>
      <c r="D65" s="16">
        <v>73.95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315.02999999999997</v>
      </c>
      <c r="D66" s="16">
        <v>278.39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77.94</v>
      </c>
      <c r="D67" s="16">
        <v>81.08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254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1939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60</v>
      </c>
      <c r="F9" s="9"/>
      <c r="G9" s="9">
        <f t="shared" ref="G9:G37" si="0">SUM(C9:F9)</f>
        <v>60</v>
      </c>
      <c r="H9">
        <f t="shared" ref="H9:H37" si="1">ROUND(G9/1939,2)</f>
        <v>0.03</v>
      </c>
      <c r="I9" s="10">
        <f t="shared" ref="I9:I37" si="2">ROUND(G9/$G$49,3)</f>
        <v>0</v>
      </c>
      <c r="J9">
        <f t="shared" ref="J9:J33" si="3">ROUND(G9/P9-1,2)</f>
        <v>-0.73</v>
      </c>
      <c r="P9">
        <v>223</v>
      </c>
    </row>
    <row r="10" spans="1:16" x14ac:dyDescent="0.25">
      <c r="A10" t="s">
        <v>20</v>
      </c>
      <c r="B10" t="s">
        <v>68</v>
      </c>
      <c r="C10" s="9"/>
      <c r="D10" s="9"/>
      <c r="E10" s="9"/>
      <c r="F10" s="9">
        <v>6040</v>
      </c>
      <c r="G10" s="9">
        <f t="shared" si="0"/>
        <v>6040</v>
      </c>
      <c r="H10">
        <f t="shared" si="1"/>
        <v>3.12</v>
      </c>
      <c r="I10" s="10">
        <f t="shared" si="2"/>
        <v>5.0000000000000001E-3</v>
      </c>
      <c r="J10">
        <f t="shared" si="3"/>
        <v>-0.19</v>
      </c>
      <c r="P10">
        <v>7460</v>
      </c>
    </row>
    <row r="11" spans="1:16" x14ac:dyDescent="0.25">
      <c r="A11" t="s">
        <v>20</v>
      </c>
      <c r="B11" t="s">
        <v>21</v>
      </c>
      <c r="C11" s="9">
        <v>71980</v>
      </c>
      <c r="D11" s="9"/>
      <c r="E11" s="9"/>
      <c r="F11" s="9"/>
      <c r="G11" s="9">
        <f t="shared" si="0"/>
        <v>71980</v>
      </c>
      <c r="H11">
        <f t="shared" si="1"/>
        <v>37.119999999999997</v>
      </c>
      <c r="I11" s="10">
        <f t="shared" si="2"/>
        <v>6.5000000000000002E-2</v>
      </c>
      <c r="J11">
        <f t="shared" si="3"/>
        <v>0.02</v>
      </c>
      <c r="P11">
        <v>70800</v>
      </c>
    </row>
    <row r="12" spans="1:16" x14ac:dyDescent="0.25">
      <c r="A12" t="s">
        <v>20</v>
      </c>
      <c r="B12" t="s">
        <v>22</v>
      </c>
      <c r="C12" s="9">
        <v>99160</v>
      </c>
      <c r="D12" s="9"/>
      <c r="E12" s="9"/>
      <c r="F12" s="9"/>
      <c r="G12" s="9">
        <f t="shared" si="0"/>
        <v>99160</v>
      </c>
      <c r="H12">
        <f t="shared" si="1"/>
        <v>51.14</v>
      </c>
      <c r="I12" s="10">
        <f t="shared" si="2"/>
        <v>8.8999999999999996E-2</v>
      </c>
      <c r="J12">
        <f t="shared" si="3"/>
        <v>-0.1</v>
      </c>
      <c r="P12">
        <v>109970</v>
      </c>
    </row>
    <row r="13" spans="1:16" x14ac:dyDescent="0.25">
      <c r="A13" t="s">
        <v>20</v>
      </c>
      <c r="B13" t="s">
        <v>23</v>
      </c>
      <c r="C13" s="9"/>
      <c r="D13" s="9"/>
      <c r="E13" s="9">
        <v>1900</v>
      </c>
      <c r="F13" s="9"/>
      <c r="G13" s="9">
        <f t="shared" si="0"/>
        <v>1900</v>
      </c>
      <c r="H13">
        <f t="shared" si="1"/>
        <v>0.98</v>
      </c>
      <c r="I13" s="10">
        <f t="shared" si="2"/>
        <v>2E-3</v>
      </c>
      <c r="J13">
        <f t="shared" si="3"/>
        <v>-0.56000000000000005</v>
      </c>
      <c r="P13">
        <v>4320</v>
      </c>
    </row>
    <row r="14" spans="1:16" x14ac:dyDescent="0.25">
      <c r="A14" t="s">
        <v>20</v>
      </c>
      <c r="B14" t="s">
        <v>24</v>
      </c>
      <c r="C14" s="9"/>
      <c r="D14" s="9"/>
      <c r="E14" s="9"/>
      <c r="F14" s="9">
        <v>272780</v>
      </c>
      <c r="G14" s="9">
        <f t="shared" si="0"/>
        <v>272780</v>
      </c>
      <c r="H14">
        <f t="shared" si="1"/>
        <v>140.68</v>
      </c>
      <c r="I14" s="10">
        <f t="shared" si="2"/>
        <v>0.245</v>
      </c>
      <c r="J14">
        <f t="shared" si="3"/>
        <v>0.25</v>
      </c>
      <c r="P14">
        <v>218540</v>
      </c>
    </row>
    <row r="15" spans="1:16" x14ac:dyDescent="0.25">
      <c r="A15" t="s">
        <v>20</v>
      </c>
      <c r="B15" t="s">
        <v>25</v>
      </c>
      <c r="C15" s="9">
        <v>107825</v>
      </c>
      <c r="D15" s="9"/>
      <c r="E15" s="9"/>
      <c r="F15" s="9"/>
      <c r="G15" s="9">
        <f t="shared" si="0"/>
        <v>107825</v>
      </c>
      <c r="H15">
        <f t="shared" si="1"/>
        <v>55.61</v>
      </c>
      <c r="I15" s="10">
        <f t="shared" si="2"/>
        <v>9.7000000000000003E-2</v>
      </c>
      <c r="J15">
        <f t="shared" si="3"/>
        <v>0</v>
      </c>
      <c r="P15">
        <v>107445</v>
      </c>
    </row>
    <row r="16" spans="1:16" x14ac:dyDescent="0.25">
      <c r="A16" t="s">
        <v>20</v>
      </c>
      <c r="B16" t="s">
        <v>69</v>
      </c>
      <c r="C16" s="9"/>
      <c r="D16" s="9"/>
      <c r="E16" s="9">
        <v>3000</v>
      </c>
      <c r="F16" s="9"/>
      <c r="G16" s="9">
        <f t="shared" si="0"/>
        <v>3000</v>
      </c>
      <c r="H16">
        <f t="shared" si="1"/>
        <v>1.55</v>
      </c>
      <c r="I16" s="10">
        <f t="shared" si="2"/>
        <v>3.0000000000000001E-3</v>
      </c>
      <c r="J16">
        <f t="shared" si="3"/>
        <v>0.13</v>
      </c>
      <c r="P16">
        <v>2655</v>
      </c>
    </row>
    <row r="17" spans="1:16" x14ac:dyDescent="0.25">
      <c r="A17" t="s">
        <v>20</v>
      </c>
      <c r="B17" t="s">
        <v>26</v>
      </c>
      <c r="C17" s="9">
        <v>169740</v>
      </c>
      <c r="D17" s="9"/>
      <c r="E17" s="9"/>
      <c r="F17" s="9">
        <v>340</v>
      </c>
      <c r="G17" s="9">
        <f t="shared" si="0"/>
        <v>170080</v>
      </c>
      <c r="H17">
        <f t="shared" si="1"/>
        <v>87.72</v>
      </c>
      <c r="I17" s="10">
        <f t="shared" si="2"/>
        <v>0.153</v>
      </c>
      <c r="J17">
        <f t="shared" si="3"/>
        <v>0.03</v>
      </c>
      <c r="P17">
        <v>165860</v>
      </c>
    </row>
    <row r="18" spans="1:16" x14ac:dyDescent="0.25">
      <c r="A18" t="s">
        <v>20</v>
      </c>
      <c r="B18" t="s">
        <v>27</v>
      </c>
      <c r="C18" s="9"/>
      <c r="D18" s="9"/>
      <c r="E18" s="9">
        <v>925</v>
      </c>
      <c r="F18" s="9"/>
      <c r="G18" s="9">
        <f t="shared" si="0"/>
        <v>925</v>
      </c>
      <c r="H18">
        <f t="shared" si="1"/>
        <v>0.48</v>
      </c>
      <c r="I18" s="10">
        <f t="shared" si="2"/>
        <v>1E-3</v>
      </c>
      <c r="J18">
        <f t="shared" si="3"/>
        <v>2.39</v>
      </c>
      <c r="P18">
        <v>273</v>
      </c>
    </row>
    <row r="19" spans="1:16" x14ac:dyDescent="0.25">
      <c r="A19" t="s">
        <v>20</v>
      </c>
      <c r="B19" t="s">
        <v>28</v>
      </c>
      <c r="C19" s="9"/>
      <c r="D19" s="9"/>
      <c r="E19" s="9">
        <v>435</v>
      </c>
      <c r="F19" s="9"/>
      <c r="G19" s="9">
        <f t="shared" si="0"/>
        <v>435</v>
      </c>
      <c r="H19">
        <f t="shared" si="1"/>
        <v>0.22</v>
      </c>
      <c r="I19" s="10">
        <f t="shared" si="2"/>
        <v>0</v>
      </c>
      <c r="J19">
        <f t="shared" si="3"/>
        <v>0.24</v>
      </c>
      <c r="P19">
        <v>352</v>
      </c>
    </row>
    <row r="20" spans="1:16" x14ac:dyDescent="0.25">
      <c r="A20" t="s">
        <v>20</v>
      </c>
      <c r="B20" t="s">
        <v>31</v>
      </c>
      <c r="C20" s="9"/>
      <c r="D20" s="9"/>
      <c r="E20" s="9">
        <v>560</v>
      </c>
      <c r="F20" s="9"/>
      <c r="G20" s="9">
        <f t="shared" si="0"/>
        <v>560</v>
      </c>
      <c r="H20">
        <f t="shared" si="1"/>
        <v>0.28999999999999998</v>
      </c>
      <c r="I20" s="10">
        <f t="shared" si="2"/>
        <v>1E-3</v>
      </c>
      <c r="J20">
        <f t="shared" si="3"/>
        <v>-0.2</v>
      </c>
      <c r="P20">
        <v>700</v>
      </c>
    </row>
    <row r="21" spans="1:16" x14ac:dyDescent="0.25">
      <c r="A21" t="s">
        <v>20</v>
      </c>
      <c r="B21" t="s">
        <v>33</v>
      </c>
      <c r="C21" s="9"/>
      <c r="D21" s="9"/>
      <c r="E21" s="9">
        <v>640</v>
      </c>
      <c r="F21" s="9"/>
      <c r="G21" s="9">
        <f t="shared" si="0"/>
        <v>640</v>
      </c>
      <c r="H21">
        <f t="shared" si="1"/>
        <v>0.33</v>
      </c>
      <c r="I21" s="10">
        <f t="shared" si="2"/>
        <v>1E-3</v>
      </c>
      <c r="J21">
        <f t="shared" si="3"/>
        <v>0.83</v>
      </c>
      <c r="P21">
        <v>350</v>
      </c>
    </row>
    <row r="22" spans="1:16" x14ac:dyDescent="0.25">
      <c r="A22" t="s">
        <v>20</v>
      </c>
      <c r="B22" t="s">
        <v>43</v>
      </c>
      <c r="C22" s="9"/>
      <c r="D22" s="9">
        <v>140</v>
      </c>
      <c r="E22" s="9"/>
      <c r="F22" s="9"/>
      <c r="G22" s="9">
        <f t="shared" si="0"/>
        <v>140</v>
      </c>
      <c r="H22">
        <f t="shared" si="1"/>
        <v>7.0000000000000007E-2</v>
      </c>
      <c r="I22" s="10">
        <f t="shared" si="2"/>
        <v>0</v>
      </c>
      <c r="J22">
        <f t="shared" si="3"/>
        <v>0.56000000000000005</v>
      </c>
      <c r="P22">
        <v>90</v>
      </c>
    </row>
    <row r="23" spans="1:16" x14ac:dyDescent="0.25">
      <c r="A23" t="s">
        <v>20</v>
      </c>
      <c r="B23" t="s">
        <v>70</v>
      </c>
      <c r="C23" s="9"/>
      <c r="D23" s="9"/>
      <c r="E23" s="9">
        <v>1500</v>
      </c>
      <c r="F23" s="9"/>
      <c r="G23" s="9">
        <f t="shared" si="0"/>
        <v>1500</v>
      </c>
      <c r="H23">
        <f t="shared" si="1"/>
        <v>0.77</v>
      </c>
      <c r="I23" s="10">
        <f t="shared" si="2"/>
        <v>1E-3</v>
      </c>
      <c r="J23">
        <f t="shared" si="3"/>
        <v>-0.44</v>
      </c>
      <c r="P23">
        <v>2660</v>
      </c>
    </row>
    <row r="24" spans="1:16" x14ac:dyDescent="0.25">
      <c r="A24" t="s">
        <v>20</v>
      </c>
      <c r="B24" t="s">
        <v>34</v>
      </c>
      <c r="C24" s="9"/>
      <c r="D24" s="9">
        <v>290</v>
      </c>
      <c r="E24" s="9"/>
      <c r="F24" s="9"/>
      <c r="G24" s="9">
        <f t="shared" si="0"/>
        <v>290</v>
      </c>
      <c r="H24">
        <f t="shared" si="1"/>
        <v>0.15</v>
      </c>
      <c r="I24" s="10">
        <f t="shared" si="2"/>
        <v>0</v>
      </c>
      <c r="J24">
        <f t="shared" si="3"/>
        <v>0.76</v>
      </c>
      <c r="P24">
        <v>165</v>
      </c>
    </row>
    <row r="25" spans="1:16" x14ac:dyDescent="0.25">
      <c r="A25" t="s">
        <v>20</v>
      </c>
      <c r="B25" t="s">
        <v>35</v>
      </c>
      <c r="C25" s="9"/>
      <c r="D25" s="9"/>
      <c r="E25" s="9">
        <v>3881</v>
      </c>
      <c r="F25" s="9"/>
      <c r="G25" s="9">
        <f t="shared" si="0"/>
        <v>3881</v>
      </c>
      <c r="H25">
        <f t="shared" si="1"/>
        <v>2</v>
      </c>
      <c r="I25" s="10">
        <f t="shared" si="2"/>
        <v>3.0000000000000001E-3</v>
      </c>
      <c r="J25">
        <f t="shared" si="3"/>
        <v>-0.32</v>
      </c>
      <c r="P25">
        <v>5710</v>
      </c>
    </row>
    <row r="26" spans="1:16" x14ac:dyDescent="0.25">
      <c r="A26" t="s">
        <v>20</v>
      </c>
      <c r="B26" t="s">
        <v>41</v>
      </c>
      <c r="C26" s="9"/>
      <c r="D26" s="9"/>
      <c r="E26" s="9">
        <v>3268</v>
      </c>
      <c r="F26" s="9"/>
      <c r="G26" s="9">
        <f t="shared" si="0"/>
        <v>3268</v>
      </c>
      <c r="H26">
        <f t="shared" si="1"/>
        <v>1.69</v>
      </c>
      <c r="I26" s="10">
        <f t="shared" si="2"/>
        <v>3.0000000000000001E-3</v>
      </c>
      <c r="J26">
        <f t="shared" si="3"/>
        <v>-0.69</v>
      </c>
      <c r="P26">
        <v>10698</v>
      </c>
    </row>
    <row r="27" spans="1:16" x14ac:dyDescent="0.25">
      <c r="A27" t="s">
        <v>20</v>
      </c>
      <c r="B27" t="s">
        <v>37</v>
      </c>
      <c r="C27" s="9"/>
      <c r="D27" s="9"/>
      <c r="E27" s="9">
        <v>58395</v>
      </c>
      <c r="F27" s="9"/>
      <c r="G27" s="9">
        <f t="shared" si="0"/>
        <v>58395</v>
      </c>
      <c r="H27">
        <f t="shared" si="1"/>
        <v>30.12</v>
      </c>
      <c r="I27" s="10">
        <f t="shared" si="2"/>
        <v>5.1999999999999998E-2</v>
      </c>
      <c r="J27">
        <f t="shared" si="3"/>
        <v>-0.08</v>
      </c>
      <c r="P27">
        <v>63660</v>
      </c>
    </row>
    <row r="28" spans="1:16" x14ac:dyDescent="0.25">
      <c r="A28" t="s">
        <v>20</v>
      </c>
      <c r="B28" t="s">
        <v>38</v>
      </c>
      <c r="C28" s="9"/>
      <c r="D28" s="9"/>
      <c r="E28" s="9">
        <v>14690</v>
      </c>
      <c r="F28" s="9"/>
      <c r="G28" s="9">
        <f t="shared" si="0"/>
        <v>14690</v>
      </c>
      <c r="H28">
        <f t="shared" si="1"/>
        <v>7.58</v>
      </c>
      <c r="I28" s="10">
        <f t="shared" si="2"/>
        <v>1.2999999999999999E-2</v>
      </c>
      <c r="J28">
        <f t="shared" si="3"/>
        <v>0.24</v>
      </c>
      <c r="P28">
        <v>11850</v>
      </c>
    </row>
    <row r="29" spans="1:16" x14ac:dyDescent="0.25">
      <c r="A29" t="s">
        <v>20</v>
      </c>
      <c r="B29" t="s">
        <v>39</v>
      </c>
      <c r="C29" s="9"/>
      <c r="D29" s="9"/>
      <c r="E29" s="9">
        <v>29700</v>
      </c>
      <c r="F29" s="9"/>
      <c r="G29" s="9">
        <f t="shared" si="0"/>
        <v>29700</v>
      </c>
      <c r="H29">
        <f t="shared" si="1"/>
        <v>15.32</v>
      </c>
      <c r="I29" s="10">
        <f t="shared" si="2"/>
        <v>2.7E-2</v>
      </c>
      <c r="J29">
        <f t="shared" si="3"/>
        <v>-0.02</v>
      </c>
      <c r="P29">
        <v>30430</v>
      </c>
    </row>
    <row r="30" spans="1:16" x14ac:dyDescent="0.25">
      <c r="A30" t="s">
        <v>20</v>
      </c>
      <c r="B30" t="s">
        <v>40</v>
      </c>
      <c r="C30" s="9"/>
      <c r="D30" s="9"/>
      <c r="E30" s="9">
        <v>36560</v>
      </c>
      <c r="F30" s="9"/>
      <c r="G30" s="9">
        <f t="shared" si="0"/>
        <v>36560</v>
      </c>
      <c r="H30">
        <f t="shared" si="1"/>
        <v>18.86</v>
      </c>
      <c r="I30" s="10">
        <f t="shared" si="2"/>
        <v>3.3000000000000002E-2</v>
      </c>
      <c r="J30">
        <f t="shared" si="3"/>
        <v>0.64</v>
      </c>
      <c r="P30">
        <v>22300</v>
      </c>
    </row>
    <row r="31" spans="1:16" x14ac:dyDescent="0.25">
      <c r="A31" t="s">
        <v>20</v>
      </c>
      <c r="B31" t="s">
        <v>30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J31">
        <f t="shared" si="3"/>
        <v>-1</v>
      </c>
      <c r="P31">
        <v>4040</v>
      </c>
    </row>
    <row r="32" spans="1:16" x14ac:dyDescent="0.25">
      <c r="A32" t="s">
        <v>20</v>
      </c>
      <c r="B32" t="s">
        <v>32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J32">
        <f t="shared" si="3"/>
        <v>-1</v>
      </c>
      <c r="P32">
        <v>550</v>
      </c>
    </row>
    <row r="33" spans="1:16" x14ac:dyDescent="0.25">
      <c r="A33" t="s">
        <v>20</v>
      </c>
      <c r="B33" t="s">
        <v>29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J33">
        <f t="shared" si="3"/>
        <v>-1</v>
      </c>
      <c r="P33">
        <v>13</v>
      </c>
    </row>
    <row r="34" spans="1:16" x14ac:dyDescent="0.25">
      <c r="A34" t="s">
        <v>20</v>
      </c>
      <c r="B34" t="s">
        <v>73</v>
      </c>
      <c r="C34" s="9"/>
      <c r="D34" s="9"/>
      <c r="E34" s="9"/>
      <c r="F34" s="9"/>
      <c r="G34" s="9">
        <f t="shared" si="0"/>
        <v>0</v>
      </c>
      <c r="H34">
        <f t="shared" si="1"/>
        <v>0</v>
      </c>
      <c r="I34" s="10">
        <f t="shared" si="2"/>
        <v>0</v>
      </c>
      <c r="P34">
        <v>0</v>
      </c>
    </row>
    <row r="35" spans="1:16" x14ac:dyDescent="0.25">
      <c r="A35" t="s">
        <v>44</v>
      </c>
      <c r="B35" t="s">
        <v>45</v>
      </c>
      <c r="C35" s="9">
        <v>166600</v>
      </c>
      <c r="D35" s="9"/>
      <c r="E35" s="9"/>
      <c r="F35" s="9">
        <v>1345</v>
      </c>
      <c r="G35" s="9">
        <f t="shared" si="0"/>
        <v>167945</v>
      </c>
      <c r="H35">
        <f t="shared" si="1"/>
        <v>86.61</v>
      </c>
      <c r="I35" s="10">
        <f t="shared" si="2"/>
        <v>0.151</v>
      </c>
      <c r="J35">
        <f>ROUND(G35/P35-1,2)</f>
        <v>0.02</v>
      </c>
      <c r="P35">
        <v>164550</v>
      </c>
    </row>
    <row r="36" spans="1:16" x14ac:dyDescent="0.25">
      <c r="A36" t="s">
        <v>44</v>
      </c>
      <c r="B36" t="s">
        <v>46</v>
      </c>
      <c r="C36" s="9"/>
      <c r="D36" s="9"/>
      <c r="E36" s="9">
        <v>61360</v>
      </c>
      <c r="F36" s="9"/>
      <c r="G36" s="9">
        <f t="shared" si="0"/>
        <v>61360</v>
      </c>
      <c r="H36">
        <f t="shared" si="1"/>
        <v>31.65</v>
      </c>
      <c r="I36" s="10">
        <f t="shared" si="2"/>
        <v>5.5E-2</v>
      </c>
      <c r="J36">
        <f>ROUND(G36/P36-1,2)</f>
        <v>-0.25</v>
      </c>
      <c r="P36">
        <v>82270</v>
      </c>
    </row>
    <row r="37" spans="1:16" x14ac:dyDescent="0.25">
      <c r="A37" t="s">
        <v>16</v>
      </c>
      <c r="B37" t="s">
        <v>19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SUM(C8:C37)</f>
        <v>615305</v>
      </c>
      <c r="D49" s="12">
        <f t="shared" si="4"/>
        <v>430</v>
      </c>
      <c r="E49" s="12">
        <f t="shared" si="4"/>
        <v>216874</v>
      </c>
      <c r="F49" s="12">
        <f t="shared" si="4"/>
        <v>280505</v>
      </c>
      <c r="G49" s="12">
        <f t="shared" si="4"/>
        <v>1113114</v>
      </c>
      <c r="H49" s="11">
        <f t="shared" si="4"/>
        <v>574.09</v>
      </c>
      <c r="I49" s="4"/>
    </row>
    <row r="50" spans="1:10" x14ac:dyDescent="0.25">
      <c r="A50" s="11" t="s">
        <v>14</v>
      </c>
      <c r="C50" s="13">
        <f>ROUND(C49/G49,2)</f>
        <v>0.55000000000000004</v>
      </c>
      <c r="D50" s="13">
        <f>ROUND(D49/G49,2)</f>
        <v>0</v>
      </c>
      <c r="E50" s="13">
        <f>ROUND(E49/G49,2)</f>
        <v>0.19</v>
      </c>
      <c r="F50" s="13">
        <f>ROUND(F49/G49,2)</f>
        <v>0.25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448705</v>
      </c>
      <c r="D54" s="15">
        <v>430</v>
      </c>
      <c r="E54" s="15">
        <v>155514</v>
      </c>
      <c r="F54" s="15">
        <v>279160</v>
      </c>
      <c r="G54" s="15">
        <f>SUM(C54:F54)</f>
        <v>883809</v>
      </c>
      <c r="H54" s="17">
        <f>ROUND(G54/1939,2)</f>
        <v>455.81</v>
      </c>
      <c r="I54" s="4"/>
      <c r="J54" s="4"/>
    </row>
    <row r="55" spans="1:10" x14ac:dyDescent="0.25">
      <c r="A55" s="33" t="s">
        <v>50</v>
      </c>
      <c r="B55" s="33"/>
      <c r="C55" s="15">
        <v>166600</v>
      </c>
      <c r="D55" s="15">
        <v>0</v>
      </c>
      <c r="E55" s="15">
        <v>61360</v>
      </c>
      <c r="F55" s="15">
        <v>1345</v>
      </c>
      <c r="G55" s="15">
        <f>SUM(C55:F55)</f>
        <v>229305</v>
      </c>
      <c r="H55" s="17">
        <f>ROUND(G55/1939,2)</f>
        <v>118.26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ROUND(G56/1939,2)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ROUND(0.7918, 4)</f>
        <v>0.79179999999999995</v>
      </c>
      <c r="D60" s="19">
        <f>ROUND(0.7996, 4)</f>
        <v>0.79959999999999998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ROUND(0.7808, 4)</f>
        <v>0.78080000000000005</v>
      </c>
      <c r="D61" s="19">
        <f>ROUND(0.7889, 4)</f>
        <v>0.78890000000000005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255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6">
        <v>86.61</v>
      </c>
      <c r="D64" s="16">
        <v>86.83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87.72</v>
      </c>
      <c r="D65" s="16">
        <v>84.09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455.81</v>
      </c>
      <c r="D66" s="16">
        <v>430.38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118.26</v>
      </c>
      <c r="D67" s="16">
        <v>119.54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P75"/>
  <sheetViews>
    <sheetView topLeftCell="A36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256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849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19</v>
      </c>
      <c r="C9" s="9"/>
      <c r="D9" s="9"/>
      <c r="E9" s="9"/>
      <c r="F9" s="9">
        <v>2</v>
      </c>
      <c r="G9" s="9">
        <f t="shared" ref="G9:G33" si="0">SUM(C9:F9)</f>
        <v>2</v>
      </c>
      <c r="H9">
        <f t="shared" ref="H9:H33" si="1">ROUND(G9/849,2)</f>
        <v>0</v>
      </c>
      <c r="I9" s="10">
        <f t="shared" ref="I9:I33" si="2">ROUND(G9/$G$49,3)</f>
        <v>0</v>
      </c>
      <c r="P9">
        <v>0</v>
      </c>
    </row>
    <row r="10" spans="1:16" x14ac:dyDescent="0.25">
      <c r="A10" t="s">
        <v>16</v>
      </c>
      <c r="B10" t="s">
        <v>66</v>
      </c>
      <c r="C10" s="9"/>
      <c r="D10" s="9"/>
      <c r="E10" s="9"/>
      <c r="F10" s="9"/>
      <c r="G10" s="9">
        <f t="shared" si="0"/>
        <v>0</v>
      </c>
      <c r="H10">
        <f t="shared" si="1"/>
        <v>0</v>
      </c>
      <c r="I10" s="10">
        <f t="shared" si="2"/>
        <v>0</v>
      </c>
      <c r="P10">
        <v>0</v>
      </c>
    </row>
    <row r="11" spans="1:16" x14ac:dyDescent="0.25">
      <c r="A11" t="s">
        <v>20</v>
      </c>
      <c r="B11" t="s">
        <v>21</v>
      </c>
      <c r="C11" s="9">
        <v>29840</v>
      </c>
      <c r="D11" s="9"/>
      <c r="E11" s="9">
        <v>1578.71</v>
      </c>
      <c r="F11" s="9"/>
      <c r="G11" s="9">
        <f t="shared" si="0"/>
        <v>31418.71</v>
      </c>
      <c r="H11">
        <f t="shared" si="1"/>
        <v>37.01</v>
      </c>
      <c r="I11" s="10">
        <f t="shared" si="2"/>
        <v>0.11600000000000001</v>
      </c>
      <c r="J11">
        <f>ROUND(G11/P11-1,2)</f>
        <v>-0.04</v>
      </c>
      <c r="P11">
        <v>32560.59</v>
      </c>
    </row>
    <row r="12" spans="1:16" x14ac:dyDescent="0.25">
      <c r="A12" t="s">
        <v>20</v>
      </c>
      <c r="B12" t="s">
        <v>22</v>
      </c>
      <c r="C12" s="9">
        <v>41395</v>
      </c>
      <c r="D12" s="9"/>
      <c r="E12" s="9"/>
      <c r="F12" s="9"/>
      <c r="G12" s="9">
        <f t="shared" si="0"/>
        <v>41395</v>
      </c>
      <c r="H12">
        <f t="shared" si="1"/>
        <v>48.76</v>
      </c>
      <c r="I12" s="10">
        <f t="shared" si="2"/>
        <v>0.153</v>
      </c>
      <c r="J12">
        <f>ROUND(G12/P12-1,2)</f>
        <v>0.09</v>
      </c>
      <c r="P12">
        <v>37950</v>
      </c>
    </row>
    <row r="13" spans="1:16" x14ac:dyDescent="0.25">
      <c r="A13" t="s">
        <v>20</v>
      </c>
      <c r="B13" t="s">
        <v>42</v>
      </c>
      <c r="C13" s="9"/>
      <c r="D13" s="9"/>
      <c r="E13" s="9">
        <v>25.96</v>
      </c>
      <c r="F13" s="9"/>
      <c r="G13" s="9">
        <f t="shared" si="0"/>
        <v>25.96</v>
      </c>
      <c r="H13">
        <f t="shared" si="1"/>
        <v>0.03</v>
      </c>
      <c r="I13" s="10">
        <f t="shared" si="2"/>
        <v>0</v>
      </c>
      <c r="J13">
        <f>ROUND(G13/P13-1,2)</f>
        <v>-0.56000000000000005</v>
      </c>
      <c r="P13">
        <v>59.48</v>
      </c>
    </row>
    <row r="14" spans="1:16" x14ac:dyDescent="0.25">
      <c r="A14" t="s">
        <v>20</v>
      </c>
      <c r="B14" t="s">
        <v>23</v>
      </c>
      <c r="C14" s="9"/>
      <c r="D14" s="9"/>
      <c r="E14" s="9">
        <v>312.5</v>
      </c>
      <c r="F14" s="9"/>
      <c r="G14" s="9">
        <f t="shared" si="0"/>
        <v>312.5</v>
      </c>
      <c r="H14">
        <f t="shared" si="1"/>
        <v>0.37</v>
      </c>
      <c r="I14" s="10">
        <f t="shared" si="2"/>
        <v>1E-3</v>
      </c>
      <c r="P14">
        <v>0</v>
      </c>
    </row>
    <row r="15" spans="1:16" x14ac:dyDescent="0.25">
      <c r="A15" t="s">
        <v>20</v>
      </c>
      <c r="B15" t="s">
        <v>24</v>
      </c>
      <c r="C15" s="9"/>
      <c r="D15" s="9"/>
      <c r="E15" s="9">
        <v>10047.450000000001</v>
      </c>
      <c r="F15" s="9"/>
      <c r="G15" s="9">
        <f t="shared" si="0"/>
        <v>10047.450000000001</v>
      </c>
      <c r="H15">
        <f t="shared" si="1"/>
        <v>11.83</v>
      </c>
      <c r="I15" s="10">
        <f t="shared" si="2"/>
        <v>3.6999999999999998E-2</v>
      </c>
      <c r="J15">
        <f t="shared" ref="J15:J22" si="3">ROUND(G15/P15-1,2)</f>
        <v>-0.7</v>
      </c>
      <c r="P15">
        <v>33159.93</v>
      </c>
    </row>
    <row r="16" spans="1:16" x14ac:dyDescent="0.25">
      <c r="A16" t="s">
        <v>20</v>
      </c>
      <c r="B16" t="s">
        <v>25</v>
      </c>
      <c r="C16" s="9">
        <v>31760</v>
      </c>
      <c r="D16" s="9"/>
      <c r="E16" s="9">
        <v>2879.57</v>
      </c>
      <c r="F16" s="9"/>
      <c r="G16" s="9">
        <f t="shared" si="0"/>
        <v>34639.57</v>
      </c>
      <c r="H16">
        <f t="shared" si="1"/>
        <v>40.799999999999997</v>
      </c>
      <c r="I16" s="10">
        <f t="shared" si="2"/>
        <v>0.128</v>
      </c>
      <c r="J16">
        <f t="shared" si="3"/>
        <v>-0.1</v>
      </c>
      <c r="P16">
        <v>38327.800000000003</v>
      </c>
    </row>
    <row r="17" spans="1:16" x14ac:dyDescent="0.25">
      <c r="A17" t="s">
        <v>20</v>
      </c>
      <c r="B17" t="s">
        <v>26</v>
      </c>
      <c r="C17" s="9">
        <v>42870</v>
      </c>
      <c r="D17" s="9"/>
      <c r="E17" s="9"/>
      <c r="F17" s="9"/>
      <c r="G17" s="9">
        <f t="shared" si="0"/>
        <v>42870</v>
      </c>
      <c r="H17">
        <f t="shared" si="1"/>
        <v>50.49</v>
      </c>
      <c r="I17" s="10">
        <f t="shared" si="2"/>
        <v>0.159</v>
      </c>
      <c r="J17">
        <f t="shared" si="3"/>
        <v>0.18</v>
      </c>
      <c r="P17">
        <v>36410</v>
      </c>
    </row>
    <row r="18" spans="1:16" x14ac:dyDescent="0.25">
      <c r="A18" t="s">
        <v>20</v>
      </c>
      <c r="B18" t="s">
        <v>29</v>
      </c>
      <c r="C18" s="9"/>
      <c r="D18" s="9"/>
      <c r="E18" s="9">
        <v>22.79</v>
      </c>
      <c r="F18" s="9"/>
      <c r="G18" s="9">
        <f t="shared" si="0"/>
        <v>22.79</v>
      </c>
      <c r="H18">
        <f t="shared" si="1"/>
        <v>0.03</v>
      </c>
      <c r="I18" s="10">
        <f t="shared" si="2"/>
        <v>0</v>
      </c>
      <c r="J18">
        <f t="shared" si="3"/>
        <v>-0.56000000000000005</v>
      </c>
      <c r="P18">
        <v>52</v>
      </c>
    </row>
    <row r="19" spans="1:16" x14ac:dyDescent="0.25">
      <c r="A19" t="s">
        <v>20</v>
      </c>
      <c r="B19" t="s">
        <v>30</v>
      </c>
      <c r="C19" s="9"/>
      <c r="D19" s="9"/>
      <c r="E19" s="9">
        <v>859.52</v>
      </c>
      <c r="F19" s="9"/>
      <c r="G19" s="9">
        <f t="shared" si="0"/>
        <v>859.52</v>
      </c>
      <c r="H19">
        <f t="shared" si="1"/>
        <v>1.01</v>
      </c>
      <c r="I19" s="10">
        <f t="shared" si="2"/>
        <v>3.0000000000000001E-3</v>
      </c>
      <c r="J19">
        <f t="shared" si="3"/>
        <v>-0.26</v>
      </c>
      <c r="P19">
        <v>1163.21</v>
      </c>
    </row>
    <row r="20" spans="1:16" x14ac:dyDescent="0.25">
      <c r="A20" t="s">
        <v>20</v>
      </c>
      <c r="B20" t="s">
        <v>31</v>
      </c>
      <c r="C20" s="9"/>
      <c r="D20" s="9"/>
      <c r="E20" s="9">
        <v>192.07</v>
      </c>
      <c r="F20" s="9"/>
      <c r="G20" s="9">
        <f t="shared" si="0"/>
        <v>192.07</v>
      </c>
      <c r="H20">
        <f t="shared" si="1"/>
        <v>0.23</v>
      </c>
      <c r="I20" s="10">
        <f t="shared" si="2"/>
        <v>1E-3</v>
      </c>
      <c r="J20">
        <f t="shared" si="3"/>
        <v>-0.31</v>
      </c>
      <c r="P20">
        <v>276.42</v>
      </c>
    </row>
    <row r="21" spans="1:16" x14ac:dyDescent="0.25">
      <c r="A21" t="s">
        <v>20</v>
      </c>
      <c r="B21" t="s">
        <v>32</v>
      </c>
      <c r="C21" s="9"/>
      <c r="D21" s="9"/>
      <c r="E21" s="9">
        <v>27.47</v>
      </c>
      <c r="F21" s="9"/>
      <c r="G21" s="9">
        <f t="shared" si="0"/>
        <v>27.47</v>
      </c>
      <c r="H21">
        <f t="shared" si="1"/>
        <v>0.03</v>
      </c>
      <c r="I21" s="10">
        <f t="shared" si="2"/>
        <v>0</v>
      </c>
      <c r="J21">
        <f t="shared" si="3"/>
        <v>-0.96</v>
      </c>
      <c r="P21">
        <v>620.23</v>
      </c>
    </row>
    <row r="22" spans="1:16" x14ac:dyDescent="0.25">
      <c r="A22" t="s">
        <v>20</v>
      </c>
      <c r="B22" t="s">
        <v>33</v>
      </c>
      <c r="C22" s="9"/>
      <c r="D22" s="9"/>
      <c r="E22" s="9">
        <v>159.37</v>
      </c>
      <c r="F22" s="9"/>
      <c r="G22" s="9">
        <f t="shared" si="0"/>
        <v>159.37</v>
      </c>
      <c r="H22">
        <f t="shared" si="1"/>
        <v>0.19</v>
      </c>
      <c r="I22" s="10">
        <f t="shared" si="2"/>
        <v>1E-3</v>
      </c>
      <c r="J22">
        <f t="shared" si="3"/>
        <v>-0.43</v>
      </c>
      <c r="P22">
        <v>278.12</v>
      </c>
    </row>
    <row r="23" spans="1:16" x14ac:dyDescent="0.25">
      <c r="A23" t="s">
        <v>20</v>
      </c>
      <c r="B23" t="s">
        <v>34</v>
      </c>
      <c r="C23" s="9"/>
      <c r="D23" s="9"/>
      <c r="E23" s="9">
        <v>41.33</v>
      </c>
      <c r="F23" s="9"/>
      <c r="G23" s="9">
        <f t="shared" si="0"/>
        <v>41.33</v>
      </c>
      <c r="H23">
        <f t="shared" si="1"/>
        <v>0.05</v>
      </c>
      <c r="I23" s="10">
        <f t="shared" si="2"/>
        <v>0</v>
      </c>
      <c r="P23">
        <v>0</v>
      </c>
    </row>
    <row r="24" spans="1:16" x14ac:dyDescent="0.25">
      <c r="A24" t="s">
        <v>20</v>
      </c>
      <c r="B24" t="s">
        <v>35</v>
      </c>
      <c r="C24" s="9"/>
      <c r="D24" s="9"/>
      <c r="E24" s="9">
        <v>178.68</v>
      </c>
      <c r="F24" s="9"/>
      <c r="G24" s="9">
        <f t="shared" si="0"/>
        <v>178.68</v>
      </c>
      <c r="H24">
        <f t="shared" si="1"/>
        <v>0.21</v>
      </c>
      <c r="I24" s="10">
        <f t="shared" si="2"/>
        <v>1E-3</v>
      </c>
      <c r="J24">
        <f t="shared" ref="J24:J29" si="4">ROUND(G24/P24-1,2)</f>
        <v>-0.89</v>
      </c>
      <c r="P24">
        <v>1637.56</v>
      </c>
    </row>
    <row r="25" spans="1:16" x14ac:dyDescent="0.25">
      <c r="A25" t="s">
        <v>20</v>
      </c>
      <c r="B25" t="s">
        <v>36</v>
      </c>
      <c r="C25" s="9"/>
      <c r="D25" s="9"/>
      <c r="E25" s="9">
        <v>1204.68</v>
      </c>
      <c r="F25" s="9"/>
      <c r="G25" s="9">
        <f t="shared" si="0"/>
        <v>1204.68</v>
      </c>
      <c r="H25">
        <f t="shared" si="1"/>
        <v>1.42</v>
      </c>
      <c r="I25" s="10">
        <f t="shared" si="2"/>
        <v>4.0000000000000001E-3</v>
      </c>
      <c r="J25">
        <f t="shared" si="4"/>
        <v>-0.45</v>
      </c>
      <c r="P25">
        <v>2201.89</v>
      </c>
    </row>
    <row r="26" spans="1:16" x14ac:dyDescent="0.25">
      <c r="A26" t="s">
        <v>20</v>
      </c>
      <c r="B26" t="s">
        <v>37</v>
      </c>
      <c r="C26" s="9"/>
      <c r="D26" s="9"/>
      <c r="E26" s="9">
        <v>9793.4</v>
      </c>
      <c r="F26" s="9"/>
      <c r="G26" s="9">
        <f t="shared" si="0"/>
        <v>9793.4</v>
      </c>
      <c r="H26">
        <f t="shared" si="1"/>
        <v>11.54</v>
      </c>
      <c r="I26" s="10">
        <f t="shared" si="2"/>
        <v>3.5999999999999997E-2</v>
      </c>
      <c r="J26">
        <f t="shared" si="4"/>
        <v>-0.6</v>
      </c>
      <c r="P26">
        <v>24786.02</v>
      </c>
    </row>
    <row r="27" spans="1:16" x14ac:dyDescent="0.25">
      <c r="A27" t="s">
        <v>20</v>
      </c>
      <c r="B27" t="s">
        <v>38</v>
      </c>
      <c r="C27" s="9"/>
      <c r="D27" s="9"/>
      <c r="E27" s="9">
        <v>1159.17</v>
      </c>
      <c r="F27" s="9"/>
      <c r="G27" s="9">
        <f t="shared" si="0"/>
        <v>1159.17</v>
      </c>
      <c r="H27">
        <f t="shared" si="1"/>
        <v>1.37</v>
      </c>
      <c r="I27" s="10">
        <f t="shared" si="2"/>
        <v>4.0000000000000001E-3</v>
      </c>
      <c r="J27">
        <f t="shared" si="4"/>
        <v>-0.38</v>
      </c>
      <c r="P27">
        <v>1863.83</v>
      </c>
    </row>
    <row r="28" spans="1:16" x14ac:dyDescent="0.25">
      <c r="A28" t="s">
        <v>20</v>
      </c>
      <c r="B28" t="s">
        <v>39</v>
      </c>
      <c r="C28" s="9"/>
      <c r="D28" s="9"/>
      <c r="E28" s="9">
        <v>5100.66</v>
      </c>
      <c r="F28" s="9"/>
      <c r="G28" s="9">
        <f t="shared" si="0"/>
        <v>5100.66</v>
      </c>
      <c r="H28">
        <f t="shared" si="1"/>
        <v>6.01</v>
      </c>
      <c r="I28" s="10">
        <f t="shared" si="2"/>
        <v>1.9E-2</v>
      </c>
      <c r="J28">
        <f t="shared" si="4"/>
        <v>-0.46</v>
      </c>
      <c r="P28">
        <v>9428.81</v>
      </c>
    </row>
    <row r="29" spans="1:16" x14ac:dyDescent="0.25">
      <c r="A29" t="s">
        <v>20</v>
      </c>
      <c r="B29" t="s">
        <v>40</v>
      </c>
      <c r="C29" s="9"/>
      <c r="D29" s="9"/>
      <c r="E29" s="9">
        <v>3112.9</v>
      </c>
      <c r="F29" s="9"/>
      <c r="G29" s="9">
        <f t="shared" si="0"/>
        <v>3112.9</v>
      </c>
      <c r="H29">
        <f t="shared" si="1"/>
        <v>3.67</v>
      </c>
      <c r="I29" s="10">
        <f t="shared" si="2"/>
        <v>1.2E-2</v>
      </c>
      <c r="J29">
        <f t="shared" si="4"/>
        <v>-0.61</v>
      </c>
      <c r="P29">
        <v>7951.08</v>
      </c>
    </row>
    <row r="30" spans="1:16" x14ac:dyDescent="0.25">
      <c r="A30" t="s">
        <v>20</v>
      </c>
      <c r="B30" t="s">
        <v>43</v>
      </c>
      <c r="C30" s="9"/>
      <c r="D30" s="9"/>
      <c r="E30" s="9"/>
      <c r="F30" s="9"/>
      <c r="G30" s="9">
        <f t="shared" si="0"/>
        <v>0</v>
      </c>
      <c r="H30">
        <f t="shared" si="1"/>
        <v>0</v>
      </c>
      <c r="I30" s="10">
        <f t="shared" si="2"/>
        <v>0</v>
      </c>
      <c r="P30">
        <v>0</v>
      </c>
    </row>
    <row r="31" spans="1:16" x14ac:dyDescent="0.25">
      <c r="A31" t="s">
        <v>44</v>
      </c>
      <c r="B31" t="s">
        <v>45</v>
      </c>
      <c r="C31" s="9">
        <v>78750</v>
      </c>
      <c r="D31" s="9"/>
      <c r="E31" s="9"/>
      <c r="F31" s="9"/>
      <c r="G31" s="9">
        <f t="shared" si="0"/>
        <v>78750</v>
      </c>
      <c r="H31">
        <f t="shared" si="1"/>
        <v>92.76</v>
      </c>
      <c r="I31" s="10">
        <f t="shared" si="2"/>
        <v>0.29099999999999998</v>
      </c>
      <c r="J31">
        <f>ROUND(G31/P31-1,2)</f>
        <v>0.02</v>
      </c>
      <c r="P31">
        <v>77070</v>
      </c>
    </row>
    <row r="32" spans="1:16" x14ac:dyDescent="0.25">
      <c r="A32" t="s">
        <v>44</v>
      </c>
      <c r="B32" t="s">
        <v>46</v>
      </c>
      <c r="C32" s="9"/>
      <c r="D32" s="9"/>
      <c r="E32" s="9">
        <v>9159.01</v>
      </c>
      <c r="F32" s="9"/>
      <c r="G32" s="9">
        <f t="shared" si="0"/>
        <v>9159.01</v>
      </c>
      <c r="H32">
        <f t="shared" si="1"/>
        <v>10.79</v>
      </c>
      <c r="I32" s="10">
        <f t="shared" si="2"/>
        <v>3.4000000000000002E-2</v>
      </c>
      <c r="J32">
        <f>ROUND(G32/P32-1,2)</f>
        <v>-0.5</v>
      </c>
      <c r="P32">
        <v>18300.8</v>
      </c>
    </row>
    <row r="33" spans="1:16" x14ac:dyDescent="0.25">
      <c r="A33" t="s">
        <v>44</v>
      </c>
      <c r="B33" t="s">
        <v>47</v>
      </c>
      <c r="C33" s="9"/>
      <c r="D33" s="9"/>
      <c r="E33" s="9"/>
      <c r="F33" s="9"/>
      <c r="G33" s="9">
        <f t="shared" si="0"/>
        <v>0</v>
      </c>
      <c r="H33">
        <f t="shared" si="1"/>
        <v>0</v>
      </c>
      <c r="I33" s="10">
        <f t="shared" si="2"/>
        <v>0</v>
      </c>
      <c r="P33">
        <v>0</v>
      </c>
    </row>
    <row r="34" spans="1:16" x14ac:dyDescent="0.25">
      <c r="C34" s="9"/>
      <c r="D34" s="9"/>
      <c r="E34" s="9"/>
      <c r="F34" s="9"/>
      <c r="G34" s="9"/>
      <c r="I34" s="10"/>
    </row>
    <row r="35" spans="1:16" x14ac:dyDescent="0.25">
      <c r="C35" s="9"/>
      <c r="D35" s="9"/>
      <c r="E35" s="9"/>
      <c r="F35" s="9"/>
      <c r="G35" s="9"/>
      <c r="I35" s="10"/>
    </row>
    <row r="36" spans="1:16" x14ac:dyDescent="0.25">
      <c r="C36" s="9"/>
      <c r="D36" s="9"/>
      <c r="E36" s="9"/>
      <c r="F36" s="9"/>
      <c r="G36" s="9"/>
      <c r="I36" s="10"/>
    </row>
    <row r="37" spans="1:16" x14ac:dyDescent="0.25">
      <c r="C37" s="9"/>
      <c r="D37" s="9"/>
      <c r="E37" s="9"/>
      <c r="F37" s="9"/>
      <c r="G37" s="9"/>
      <c r="I37" s="10"/>
    </row>
    <row r="38" spans="1:16" x14ac:dyDescent="0.25">
      <c r="C38" s="9"/>
      <c r="D38" s="9"/>
      <c r="E38" s="9"/>
      <c r="F38" s="9"/>
      <c r="G38" s="9"/>
      <c r="I38" s="10"/>
    </row>
    <row r="39" spans="1:16" x14ac:dyDescent="0.25">
      <c r="C39" s="9"/>
      <c r="D39" s="9"/>
      <c r="E39" s="9"/>
      <c r="F39" s="9"/>
      <c r="G39" s="9"/>
      <c r="I39" s="10"/>
    </row>
    <row r="40" spans="1:16" x14ac:dyDescent="0.25">
      <c r="C40" s="9"/>
      <c r="D40" s="9"/>
      <c r="E40" s="9"/>
      <c r="F40" s="9"/>
      <c r="G40" s="9"/>
      <c r="I40" s="10"/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SUM(C8:C33)</f>
        <v>224615</v>
      </c>
      <c r="D49" s="12">
        <f t="shared" si="5"/>
        <v>0</v>
      </c>
      <c r="E49" s="12">
        <f t="shared" si="5"/>
        <v>45855.240000000005</v>
      </c>
      <c r="F49" s="12">
        <f t="shared" si="5"/>
        <v>2</v>
      </c>
      <c r="G49" s="12">
        <f t="shared" si="5"/>
        <v>270472.24</v>
      </c>
      <c r="H49" s="11">
        <f t="shared" si="5"/>
        <v>318.60000000000002</v>
      </c>
      <c r="I49" s="4"/>
    </row>
    <row r="50" spans="1:10" x14ac:dyDescent="0.25">
      <c r="A50" s="11" t="s">
        <v>14</v>
      </c>
      <c r="C50" s="13">
        <f>ROUND(C49/G49,2)</f>
        <v>0.83</v>
      </c>
      <c r="D50" s="13">
        <f>ROUND(D49/G49,2)</f>
        <v>0</v>
      </c>
      <c r="E50" s="13">
        <f>ROUND(E49/G49,2)</f>
        <v>0.17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145865</v>
      </c>
      <c r="D54" s="15">
        <v>0</v>
      </c>
      <c r="E54" s="15">
        <v>36696.230000000003</v>
      </c>
      <c r="F54" s="15">
        <v>0</v>
      </c>
      <c r="G54" s="15">
        <f>SUM(C54:F54)</f>
        <v>182561.23</v>
      </c>
      <c r="H54" s="17">
        <f>ROUND(G54/849,2)</f>
        <v>215.03</v>
      </c>
      <c r="I54" s="4"/>
      <c r="J54" s="4"/>
    </row>
    <row r="55" spans="1:10" x14ac:dyDescent="0.25">
      <c r="A55" s="33" t="s">
        <v>50</v>
      </c>
      <c r="B55" s="33"/>
      <c r="C55" s="15">
        <v>78750</v>
      </c>
      <c r="D55" s="15">
        <v>0</v>
      </c>
      <c r="E55" s="15">
        <v>9159.01</v>
      </c>
      <c r="F55" s="15">
        <v>0</v>
      </c>
      <c r="G55" s="15">
        <f>SUM(C55:F55)</f>
        <v>87909.01</v>
      </c>
      <c r="H55" s="17">
        <f>ROUND(G55/849,2)</f>
        <v>103.54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2</v>
      </c>
      <c r="G56" s="15">
        <f>SUM(C56:F56)</f>
        <v>2</v>
      </c>
      <c r="H56" s="17">
        <f>ROUND(G56/849,2)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ROUND(0.6935, 4)</f>
        <v>0.69350000000000001</v>
      </c>
      <c r="D60" s="19">
        <f>ROUND(0.7284, 4)</f>
        <v>0.72840000000000005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ROUND(0.6486, 4)</f>
        <v>0.64859999999999995</v>
      </c>
      <c r="D61" s="19">
        <f>ROUND(0.6866, 4)</f>
        <v>0.68659999999999999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257</v>
      </c>
      <c r="E63" s="5" t="s">
        <v>57</v>
      </c>
      <c r="F63" s="5" t="s">
        <v>58</v>
      </c>
      <c r="G63" s="3"/>
      <c r="H63" s="6"/>
      <c r="I63" s="7"/>
      <c r="J63" s="7"/>
    </row>
    <row r="64" spans="1:10" x14ac:dyDescent="0.25">
      <c r="A64" s="32" t="s">
        <v>59</v>
      </c>
      <c r="B64" s="32"/>
      <c r="C64" s="17">
        <v>92.76</v>
      </c>
      <c r="D64" s="17">
        <v>88.31</v>
      </c>
      <c r="E64" s="17">
        <v>91.53</v>
      </c>
      <c r="F64" s="17">
        <v>56.73</v>
      </c>
      <c r="G64" s="3"/>
      <c r="H64" s="3"/>
      <c r="I64" s="4"/>
      <c r="J64" s="4"/>
    </row>
    <row r="65" spans="1:10" x14ac:dyDescent="0.25">
      <c r="A65" s="32" t="s">
        <v>60</v>
      </c>
      <c r="B65" s="32"/>
      <c r="C65" s="17">
        <v>50.49</v>
      </c>
      <c r="D65" s="17">
        <v>46.51</v>
      </c>
      <c r="E65" s="17">
        <v>63.89</v>
      </c>
      <c r="F65" s="17">
        <v>64.47</v>
      </c>
      <c r="G65" s="3"/>
      <c r="H65" s="3"/>
      <c r="I65" s="4"/>
      <c r="J65" s="4"/>
    </row>
    <row r="66" spans="1:10" x14ac:dyDescent="0.25">
      <c r="A66" s="32" t="s">
        <v>61</v>
      </c>
      <c r="B66" s="32"/>
      <c r="C66" s="17">
        <v>215.03</v>
      </c>
      <c r="D66" s="17">
        <v>252.1</v>
      </c>
      <c r="E66" s="17">
        <v>291.85000000000002</v>
      </c>
      <c r="F66" s="17">
        <v>285.41000000000003</v>
      </c>
      <c r="G66" s="3"/>
      <c r="H66" s="3"/>
      <c r="I66" s="4"/>
      <c r="J66" s="4"/>
    </row>
    <row r="67" spans="1:10" x14ac:dyDescent="0.25">
      <c r="A67" s="32" t="s">
        <v>62</v>
      </c>
      <c r="B67" s="32"/>
      <c r="C67" s="17">
        <v>103.54</v>
      </c>
      <c r="D67" s="17">
        <v>108</v>
      </c>
      <c r="E67" s="17">
        <v>115.16</v>
      </c>
      <c r="F67" s="17">
        <v>80.39</v>
      </c>
      <c r="G67" s="3"/>
      <c r="H67" s="3"/>
      <c r="I67" s="4"/>
      <c r="J67" s="4"/>
    </row>
    <row r="68" spans="1:10" x14ac:dyDescent="0.25">
      <c r="C68" s="3"/>
      <c r="D68" s="3"/>
      <c r="E68" s="3"/>
      <c r="F68" s="3"/>
      <c r="G68" s="3"/>
      <c r="H68" s="3"/>
      <c r="I68" s="4"/>
      <c r="J68" s="4"/>
    </row>
    <row r="69" spans="1:10" x14ac:dyDescent="0.25">
      <c r="C69" s="3"/>
      <c r="D69" s="3"/>
      <c r="E69" s="3"/>
      <c r="F69" s="3"/>
      <c r="G69" s="3"/>
      <c r="H69" s="3"/>
      <c r="I69" s="4"/>
      <c r="J69" s="4"/>
    </row>
    <row r="70" spans="1:10" x14ac:dyDescent="0.25">
      <c r="C70" s="3"/>
      <c r="D70" s="3"/>
      <c r="E70" s="3"/>
      <c r="F70" s="3"/>
      <c r="G70" s="3"/>
      <c r="H70" s="3"/>
      <c r="I70" s="4"/>
      <c r="J70" s="4"/>
    </row>
    <row r="71" spans="1:10" x14ac:dyDescent="0.25">
      <c r="C71" s="3"/>
      <c r="D71" s="3"/>
      <c r="E71" s="3"/>
      <c r="F71" s="3"/>
      <c r="G71" s="3"/>
      <c r="H71" s="3"/>
      <c r="I71" s="4"/>
      <c r="J71" s="4"/>
    </row>
    <row r="72" spans="1:10" x14ac:dyDescent="0.25">
      <c r="C72" s="3"/>
      <c r="D72" s="3"/>
      <c r="E72" s="3"/>
      <c r="F72" s="3"/>
      <c r="G72" s="3"/>
      <c r="H72" s="3"/>
      <c r="I72" s="4"/>
      <c r="J72" s="4"/>
    </row>
    <row r="73" spans="1:10" x14ac:dyDescent="0.25">
      <c r="C73" s="3"/>
      <c r="D73" s="3"/>
      <c r="E73" s="3"/>
      <c r="F73" s="3"/>
      <c r="G73" s="3"/>
      <c r="H73" s="3"/>
      <c r="I73" s="4"/>
      <c r="J73" s="4"/>
    </row>
    <row r="74" spans="1:10" x14ac:dyDescent="0.25">
      <c r="C74" s="3"/>
      <c r="D74" s="3"/>
      <c r="E74" s="3"/>
      <c r="F74" s="3"/>
      <c r="G74" s="3"/>
      <c r="H74" s="3"/>
      <c r="I74" s="4"/>
      <c r="J74" s="4"/>
    </row>
    <row r="75" spans="1:10" x14ac:dyDescent="0.25">
      <c r="C75" s="3"/>
      <c r="D75" s="3"/>
      <c r="E75" s="3"/>
      <c r="F75" s="3"/>
      <c r="G75" s="3"/>
      <c r="H75" s="3"/>
      <c r="I75" s="4"/>
      <c r="J75" s="4"/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67"/>
  <sheetViews>
    <sheetView topLeftCell="A42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7" hidden="1" customWidth="1"/>
  </cols>
  <sheetData>
    <row r="2" spans="1:16" ht="18.75" x14ac:dyDescent="0.3">
      <c r="A2" s="1" t="s">
        <v>0</v>
      </c>
      <c r="B2" s="8" t="s">
        <v>86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705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25</v>
      </c>
      <c r="F9" s="9"/>
      <c r="G9" s="9">
        <f t="shared" ref="G9:G41" si="0">SUM(C9:F9)</f>
        <v>25</v>
      </c>
      <c r="H9">
        <f t="shared" ref="H9:H41" si="1">ROUND(G9/705,2)</f>
        <v>0.04</v>
      </c>
      <c r="I9" s="10">
        <f t="shared" ref="I9:I41" si="2">ROUND(G9/$G$49,3)</f>
        <v>0</v>
      </c>
      <c r="J9">
        <f t="shared" ref="J9:J17" si="3">ROUND(G9/P9-1,2)</f>
        <v>-0.24</v>
      </c>
      <c r="P9">
        <v>33</v>
      </c>
    </row>
    <row r="10" spans="1:16" x14ac:dyDescent="0.25">
      <c r="A10" t="s">
        <v>20</v>
      </c>
      <c r="B10" t="s">
        <v>21</v>
      </c>
      <c r="C10" s="9">
        <v>23960</v>
      </c>
      <c r="D10" s="9"/>
      <c r="E10" s="9"/>
      <c r="F10" s="9"/>
      <c r="G10" s="9">
        <f t="shared" si="0"/>
        <v>23960</v>
      </c>
      <c r="H10">
        <f t="shared" si="1"/>
        <v>33.99</v>
      </c>
      <c r="I10" s="10">
        <f t="shared" si="2"/>
        <v>0.08</v>
      </c>
      <c r="J10">
        <f t="shared" si="3"/>
        <v>-0.01</v>
      </c>
      <c r="P10">
        <v>24100</v>
      </c>
    </row>
    <row r="11" spans="1:16" x14ac:dyDescent="0.25">
      <c r="A11" t="s">
        <v>20</v>
      </c>
      <c r="B11" t="s">
        <v>22</v>
      </c>
      <c r="C11" s="9">
        <v>34665</v>
      </c>
      <c r="D11" s="9"/>
      <c r="E11" s="9"/>
      <c r="F11" s="9"/>
      <c r="G11" s="9">
        <f t="shared" si="0"/>
        <v>34665</v>
      </c>
      <c r="H11">
        <f t="shared" si="1"/>
        <v>49.17</v>
      </c>
      <c r="I11" s="10">
        <f t="shared" si="2"/>
        <v>0.115</v>
      </c>
      <c r="J11">
        <f t="shared" si="3"/>
        <v>-0.03</v>
      </c>
      <c r="P11">
        <v>35600</v>
      </c>
    </row>
    <row r="12" spans="1:16" x14ac:dyDescent="0.25">
      <c r="A12" t="s">
        <v>20</v>
      </c>
      <c r="B12" t="s">
        <v>79</v>
      </c>
      <c r="C12" s="9"/>
      <c r="D12" s="9"/>
      <c r="E12" s="9">
        <v>74</v>
      </c>
      <c r="F12" s="9"/>
      <c r="G12" s="9">
        <f t="shared" si="0"/>
        <v>74</v>
      </c>
      <c r="H12">
        <f t="shared" si="1"/>
        <v>0.1</v>
      </c>
      <c r="I12" s="10">
        <f t="shared" si="2"/>
        <v>0</v>
      </c>
      <c r="J12">
        <f t="shared" si="3"/>
        <v>-0.22</v>
      </c>
      <c r="P12">
        <v>95</v>
      </c>
    </row>
    <row r="13" spans="1:16" x14ac:dyDescent="0.25">
      <c r="A13" t="s">
        <v>20</v>
      </c>
      <c r="B13" t="s">
        <v>23</v>
      </c>
      <c r="C13" s="9"/>
      <c r="D13" s="9"/>
      <c r="E13" s="9">
        <v>1000</v>
      </c>
      <c r="F13" s="9"/>
      <c r="G13" s="9">
        <f t="shared" si="0"/>
        <v>1000</v>
      </c>
      <c r="H13">
        <f t="shared" si="1"/>
        <v>1.42</v>
      </c>
      <c r="I13" s="10">
        <f t="shared" si="2"/>
        <v>3.0000000000000001E-3</v>
      </c>
      <c r="J13">
        <f t="shared" si="3"/>
        <v>0.52</v>
      </c>
      <c r="P13">
        <v>660</v>
      </c>
    </row>
    <row r="14" spans="1:16" x14ac:dyDescent="0.25">
      <c r="A14" t="s">
        <v>20</v>
      </c>
      <c r="B14" t="s">
        <v>24</v>
      </c>
      <c r="C14" s="9"/>
      <c r="D14" s="9"/>
      <c r="E14" s="9">
        <v>65260</v>
      </c>
      <c r="F14" s="9"/>
      <c r="G14" s="9">
        <f t="shared" si="0"/>
        <v>65260</v>
      </c>
      <c r="H14">
        <f t="shared" si="1"/>
        <v>92.57</v>
      </c>
      <c r="I14" s="10">
        <f t="shared" si="2"/>
        <v>0.217</v>
      </c>
      <c r="J14">
        <f t="shared" si="3"/>
        <v>0.73</v>
      </c>
      <c r="P14">
        <v>37800</v>
      </c>
    </row>
    <row r="15" spans="1:16" x14ac:dyDescent="0.25">
      <c r="A15" t="s">
        <v>20</v>
      </c>
      <c r="B15" t="s">
        <v>25</v>
      </c>
      <c r="C15" s="9">
        <v>30025</v>
      </c>
      <c r="D15" s="9"/>
      <c r="E15" s="9"/>
      <c r="F15" s="9"/>
      <c r="G15" s="9">
        <f t="shared" si="0"/>
        <v>30025</v>
      </c>
      <c r="H15">
        <f t="shared" si="1"/>
        <v>42.59</v>
      </c>
      <c r="I15" s="10">
        <f t="shared" si="2"/>
        <v>0.1</v>
      </c>
      <c r="J15">
        <f t="shared" si="3"/>
        <v>-0.03</v>
      </c>
      <c r="P15">
        <v>30800</v>
      </c>
    </row>
    <row r="16" spans="1:16" x14ac:dyDescent="0.25">
      <c r="A16" t="s">
        <v>20</v>
      </c>
      <c r="B16" t="s">
        <v>69</v>
      </c>
      <c r="C16" s="9"/>
      <c r="D16" s="9"/>
      <c r="E16" s="9">
        <v>1040</v>
      </c>
      <c r="F16" s="9"/>
      <c r="G16" s="9">
        <f t="shared" si="0"/>
        <v>1040</v>
      </c>
      <c r="H16">
        <f t="shared" si="1"/>
        <v>1.48</v>
      </c>
      <c r="I16" s="10">
        <f t="shared" si="2"/>
        <v>3.0000000000000001E-3</v>
      </c>
      <c r="J16">
        <f t="shared" si="3"/>
        <v>-0.22</v>
      </c>
      <c r="P16">
        <v>1340</v>
      </c>
    </row>
    <row r="17" spans="1:16" x14ac:dyDescent="0.25">
      <c r="A17" t="s">
        <v>20</v>
      </c>
      <c r="B17" t="s">
        <v>26</v>
      </c>
      <c r="C17" s="9">
        <v>36580</v>
      </c>
      <c r="D17" s="9"/>
      <c r="E17" s="9"/>
      <c r="F17" s="9">
        <v>690</v>
      </c>
      <c r="G17" s="9">
        <f t="shared" si="0"/>
        <v>37270</v>
      </c>
      <c r="H17">
        <f t="shared" si="1"/>
        <v>52.87</v>
      </c>
      <c r="I17" s="10">
        <f t="shared" si="2"/>
        <v>0.124</v>
      </c>
      <c r="J17">
        <f t="shared" si="3"/>
        <v>-0.1</v>
      </c>
      <c r="P17">
        <v>41600</v>
      </c>
    </row>
    <row r="18" spans="1:16" x14ac:dyDescent="0.25">
      <c r="A18" t="s">
        <v>20</v>
      </c>
      <c r="B18" t="s">
        <v>27</v>
      </c>
      <c r="C18" s="9"/>
      <c r="D18" s="9"/>
      <c r="E18" s="9">
        <v>71</v>
      </c>
      <c r="F18" s="9"/>
      <c r="G18" s="9">
        <f t="shared" si="0"/>
        <v>71</v>
      </c>
      <c r="H18">
        <f t="shared" si="1"/>
        <v>0.1</v>
      </c>
      <c r="I18" s="10">
        <f t="shared" si="2"/>
        <v>0</v>
      </c>
      <c r="P18">
        <v>0</v>
      </c>
    </row>
    <row r="19" spans="1:16" x14ac:dyDescent="0.25">
      <c r="A19" t="s">
        <v>20</v>
      </c>
      <c r="B19" t="s">
        <v>28</v>
      </c>
      <c r="C19" s="9"/>
      <c r="D19" s="9"/>
      <c r="E19" s="9">
        <v>40</v>
      </c>
      <c r="F19" s="9"/>
      <c r="G19" s="9">
        <f t="shared" si="0"/>
        <v>40</v>
      </c>
      <c r="H19">
        <f t="shared" si="1"/>
        <v>0.06</v>
      </c>
      <c r="I19" s="10">
        <f t="shared" si="2"/>
        <v>0</v>
      </c>
      <c r="P19">
        <v>0</v>
      </c>
    </row>
    <row r="20" spans="1:16" x14ac:dyDescent="0.25">
      <c r="A20" t="s">
        <v>20</v>
      </c>
      <c r="B20" t="s">
        <v>29</v>
      </c>
      <c r="C20" s="9"/>
      <c r="D20" s="9"/>
      <c r="E20" s="9">
        <v>29</v>
      </c>
      <c r="F20" s="9"/>
      <c r="G20" s="9">
        <f t="shared" si="0"/>
        <v>29</v>
      </c>
      <c r="H20">
        <f t="shared" si="1"/>
        <v>0.04</v>
      </c>
      <c r="I20" s="10">
        <f t="shared" si="2"/>
        <v>0</v>
      </c>
      <c r="P20">
        <v>0</v>
      </c>
    </row>
    <row r="21" spans="1:16" x14ac:dyDescent="0.25">
      <c r="A21" t="s">
        <v>20</v>
      </c>
      <c r="B21" t="s">
        <v>30</v>
      </c>
      <c r="C21" s="9"/>
      <c r="D21" s="9"/>
      <c r="E21" s="9">
        <v>420</v>
      </c>
      <c r="F21" s="9"/>
      <c r="G21" s="9">
        <f t="shared" si="0"/>
        <v>420</v>
      </c>
      <c r="H21">
        <f t="shared" si="1"/>
        <v>0.6</v>
      </c>
      <c r="I21" s="10">
        <f t="shared" si="2"/>
        <v>1E-3</v>
      </c>
      <c r="J21">
        <f>ROUND(G21/P21-1,2)</f>
        <v>-0.63</v>
      </c>
      <c r="P21">
        <v>1120</v>
      </c>
    </row>
    <row r="22" spans="1:16" x14ac:dyDescent="0.25">
      <c r="A22" t="s">
        <v>20</v>
      </c>
      <c r="B22" t="s">
        <v>31</v>
      </c>
      <c r="C22" s="9"/>
      <c r="D22" s="9"/>
      <c r="E22" s="9">
        <v>600</v>
      </c>
      <c r="F22" s="9"/>
      <c r="G22" s="9">
        <f t="shared" si="0"/>
        <v>600</v>
      </c>
      <c r="H22">
        <f t="shared" si="1"/>
        <v>0.85</v>
      </c>
      <c r="I22" s="10">
        <f t="shared" si="2"/>
        <v>2E-3</v>
      </c>
      <c r="J22">
        <f>ROUND(G22/P22-1,2)</f>
        <v>-0.25</v>
      </c>
      <c r="P22">
        <v>800</v>
      </c>
    </row>
    <row r="23" spans="1:16" x14ac:dyDescent="0.25">
      <c r="A23" t="s">
        <v>20</v>
      </c>
      <c r="B23" t="s">
        <v>32</v>
      </c>
      <c r="C23" s="9"/>
      <c r="D23" s="9"/>
      <c r="E23" s="9">
        <v>230</v>
      </c>
      <c r="F23" s="9"/>
      <c r="G23" s="9">
        <f t="shared" si="0"/>
        <v>230</v>
      </c>
      <c r="H23">
        <f t="shared" si="1"/>
        <v>0.33</v>
      </c>
      <c r="I23" s="10">
        <f t="shared" si="2"/>
        <v>1E-3</v>
      </c>
      <c r="P23">
        <v>0</v>
      </c>
    </row>
    <row r="24" spans="1:16" x14ac:dyDescent="0.25">
      <c r="A24" t="s">
        <v>20</v>
      </c>
      <c r="B24" t="s">
        <v>33</v>
      </c>
      <c r="C24" s="9"/>
      <c r="D24" s="9"/>
      <c r="E24" s="9">
        <v>660</v>
      </c>
      <c r="F24" s="9"/>
      <c r="G24" s="9">
        <f t="shared" si="0"/>
        <v>660</v>
      </c>
      <c r="H24">
        <f t="shared" si="1"/>
        <v>0.94</v>
      </c>
      <c r="I24" s="10">
        <f t="shared" si="2"/>
        <v>2E-3</v>
      </c>
      <c r="J24">
        <f t="shared" ref="J24:J34" si="4">ROUND(G24/P24-1,2)</f>
        <v>0.94</v>
      </c>
      <c r="P24">
        <v>340</v>
      </c>
    </row>
    <row r="25" spans="1:16" x14ac:dyDescent="0.25">
      <c r="A25" t="s">
        <v>20</v>
      </c>
      <c r="B25" t="s">
        <v>43</v>
      </c>
      <c r="C25" s="9"/>
      <c r="D25" s="9">
        <v>108</v>
      </c>
      <c r="E25" s="9"/>
      <c r="F25" s="9"/>
      <c r="G25" s="9">
        <f t="shared" si="0"/>
        <v>108</v>
      </c>
      <c r="H25">
        <f t="shared" si="1"/>
        <v>0.15</v>
      </c>
      <c r="I25" s="10">
        <f t="shared" si="2"/>
        <v>0</v>
      </c>
      <c r="J25">
        <f t="shared" si="4"/>
        <v>0.8</v>
      </c>
      <c r="P25">
        <v>60</v>
      </c>
    </row>
    <row r="26" spans="1:16" x14ac:dyDescent="0.25">
      <c r="A26" t="s">
        <v>20</v>
      </c>
      <c r="B26" t="s">
        <v>70</v>
      </c>
      <c r="C26" s="9"/>
      <c r="D26" s="9"/>
      <c r="E26" s="9">
        <v>460</v>
      </c>
      <c r="F26" s="9"/>
      <c r="G26" s="9">
        <f t="shared" si="0"/>
        <v>460</v>
      </c>
      <c r="H26">
        <f t="shared" si="1"/>
        <v>0.65</v>
      </c>
      <c r="I26" s="10">
        <f t="shared" si="2"/>
        <v>2E-3</v>
      </c>
      <c r="J26">
        <f t="shared" si="4"/>
        <v>-0.05</v>
      </c>
      <c r="P26">
        <v>485</v>
      </c>
    </row>
    <row r="27" spans="1:16" x14ac:dyDescent="0.25">
      <c r="A27" t="s">
        <v>20</v>
      </c>
      <c r="B27" t="s">
        <v>34</v>
      </c>
      <c r="C27" s="9"/>
      <c r="D27" s="9">
        <v>125</v>
      </c>
      <c r="E27" s="9"/>
      <c r="F27" s="9"/>
      <c r="G27" s="9">
        <f t="shared" si="0"/>
        <v>125</v>
      </c>
      <c r="H27">
        <f t="shared" si="1"/>
        <v>0.18</v>
      </c>
      <c r="I27" s="10">
        <f t="shared" si="2"/>
        <v>0</v>
      </c>
      <c r="J27">
        <f t="shared" si="4"/>
        <v>1.08</v>
      </c>
      <c r="P27">
        <v>60</v>
      </c>
    </row>
    <row r="28" spans="1:16" x14ac:dyDescent="0.25">
      <c r="A28" t="s">
        <v>20</v>
      </c>
      <c r="B28" t="s">
        <v>35</v>
      </c>
      <c r="C28" s="9"/>
      <c r="D28" s="9"/>
      <c r="E28" s="9">
        <v>1390</v>
      </c>
      <c r="F28" s="9"/>
      <c r="G28" s="9">
        <f t="shared" si="0"/>
        <v>1390</v>
      </c>
      <c r="H28">
        <f t="shared" si="1"/>
        <v>1.97</v>
      </c>
      <c r="I28" s="10">
        <f t="shared" si="2"/>
        <v>5.0000000000000001E-3</v>
      </c>
      <c r="J28">
        <f t="shared" si="4"/>
        <v>1.46</v>
      </c>
      <c r="P28">
        <v>564</v>
      </c>
    </row>
    <row r="29" spans="1:16" x14ac:dyDescent="0.25">
      <c r="A29" t="s">
        <v>20</v>
      </c>
      <c r="B29" t="s">
        <v>41</v>
      </c>
      <c r="C29" s="9"/>
      <c r="D29" s="9"/>
      <c r="E29" s="9">
        <v>1160</v>
      </c>
      <c r="F29" s="9"/>
      <c r="G29" s="9">
        <f t="shared" si="0"/>
        <v>1160</v>
      </c>
      <c r="H29">
        <f t="shared" si="1"/>
        <v>1.65</v>
      </c>
      <c r="I29" s="10">
        <f t="shared" si="2"/>
        <v>4.0000000000000001E-3</v>
      </c>
      <c r="J29">
        <f t="shared" si="4"/>
        <v>-0.46</v>
      </c>
      <c r="P29">
        <v>2150</v>
      </c>
    </row>
    <row r="30" spans="1:16" x14ac:dyDescent="0.25">
      <c r="A30" t="s">
        <v>20</v>
      </c>
      <c r="B30" t="s">
        <v>36</v>
      </c>
      <c r="C30" s="9"/>
      <c r="D30" s="9"/>
      <c r="E30" s="9">
        <v>2900</v>
      </c>
      <c r="F30" s="9"/>
      <c r="G30" s="9">
        <f t="shared" si="0"/>
        <v>2900</v>
      </c>
      <c r="H30">
        <f t="shared" si="1"/>
        <v>4.1100000000000003</v>
      </c>
      <c r="I30" s="10">
        <f t="shared" si="2"/>
        <v>0.01</v>
      </c>
      <c r="J30">
        <f t="shared" si="4"/>
        <v>0.08</v>
      </c>
      <c r="P30">
        <v>2680</v>
      </c>
    </row>
    <row r="31" spans="1:16" x14ac:dyDescent="0.25">
      <c r="A31" t="s">
        <v>20</v>
      </c>
      <c r="B31" t="s">
        <v>37</v>
      </c>
      <c r="C31" s="9"/>
      <c r="D31" s="9"/>
      <c r="E31" s="9">
        <v>14315</v>
      </c>
      <c r="F31" s="9"/>
      <c r="G31" s="9">
        <f t="shared" si="0"/>
        <v>14315</v>
      </c>
      <c r="H31">
        <f t="shared" si="1"/>
        <v>20.3</v>
      </c>
      <c r="I31" s="10">
        <f t="shared" si="2"/>
        <v>4.8000000000000001E-2</v>
      </c>
      <c r="J31">
        <f t="shared" si="4"/>
        <v>0.39</v>
      </c>
      <c r="P31">
        <v>10320</v>
      </c>
    </row>
    <row r="32" spans="1:16" x14ac:dyDescent="0.25">
      <c r="A32" t="s">
        <v>20</v>
      </c>
      <c r="B32" t="s">
        <v>38</v>
      </c>
      <c r="C32" s="9"/>
      <c r="D32" s="9"/>
      <c r="E32" s="9">
        <v>2870</v>
      </c>
      <c r="F32" s="9"/>
      <c r="G32" s="9">
        <f t="shared" si="0"/>
        <v>2870</v>
      </c>
      <c r="H32">
        <f t="shared" si="1"/>
        <v>4.07</v>
      </c>
      <c r="I32" s="10">
        <f t="shared" si="2"/>
        <v>0.01</v>
      </c>
      <c r="J32">
        <f t="shared" si="4"/>
        <v>0.39</v>
      </c>
      <c r="P32">
        <v>2060</v>
      </c>
    </row>
    <row r="33" spans="1:16" x14ac:dyDescent="0.25">
      <c r="A33" t="s">
        <v>20</v>
      </c>
      <c r="B33" t="s">
        <v>39</v>
      </c>
      <c r="C33" s="9"/>
      <c r="D33" s="9"/>
      <c r="E33" s="9">
        <v>8550</v>
      </c>
      <c r="F33" s="9"/>
      <c r="G33" s="9">
        <f t="shared" si="0"/>
        <v>8550</v>
      </c>
      <c r="H33">
        <f t="shared" si="1"/>
        <v>12.13</v>
      </c>
      <c r="I33" s="10">
        <f t="shared" si="2"/>
        <v>2.8000000000000001E-2</v>
      </c>
      <c r="J33">
        <f t="shared" si="4"/>
        <v>0.64</v>
      </c>
      <c r="P33">
        <v>5210</v>
      </c>
    </row>
    <row r="34" spans="1:16" x14ac:dyDescent="0.25">
      <c r="A34" t="s">
        <v>20</v>
      </c>
      <c r="B34" t="s">
        <v>40</v>
      </c>
      <c r="C34" s="9"/>
      <c r="D34" s="9"/>
      <c r="E34" s="9">
        <v>10960</v>
      </c>
      <c r="F34" s="9"/>
      <c r="G34" s="9">
        <f t="shared" si="0"/>
        <v>10960</v>
      </c>
      <c r="H34">
        <f t="shared" si="1"/>
        <v>15.55</v>
      </c>
      <c r="I34" s="10">
        <f t="shared" si="2"/>
        <v>3.6999999999999998E-2</v>
      </c>
      <c r="J34">
        <f t="shared" si="4"/>
        <v>-0.12</v>
      </c>
      <c r="P34">
        <v>12500</v>
      </c>
    </row>
    <row r="35" spans="1:16" x14ac:dyDescent="0.25">
      <c r="A35" t="s">
        <v>20</v>
      </c>
      <c r="B35" t="s">
        <v>42</v>
      </c>
      <c r="C35" s="9"/>
      <c r="D35" s="9"/>
      <c r="E35" s="9"/>
      <c r="F35" s="9"/>
      <c r="G35" s="9">
        <f t="shared" si="0"/>
        <v>0</v>
      </c>
      <c r="H35">
        <f t="shared" si="1"/>
        <v>0</v>
      </c>
      <c r="I35" s="10">
        <f t="shared" si="2"/>
        <v>0</v>
      </c>
      <c r="P35">
        <v>0</v>
      </c>
    </row>
    <row r="36" spans="1:16" x14ac:dyDescent="0.25">
      <c r="A36" t="s">
        <v>20</v>
      </c>
      <c r="B36" t="s">
        <v>74</v>
      </c>
      <c r="C36" s="9"/>
      <c r="D36" s="9"/>
      <c r="E36" s="9"/>
      <c r="F36" s="9"/>
      <c r="G36" s="9">
        <f t="shared" si="0"/>
        <v>0</v>
      </c>
      <c r="H36">
        <f t="shared" si="1"/>
        <v>0</v>
      </c>
      <c r="I36" s="10">
        <f t="shared" si="2"/>
        <v>0</v>
      </c>
      <c r="P36">
        <v>0</v>
      </c>
    </row>
    <row r="37" spans="1:16" x14ac:dyDescent="0.25">
      <c r="A37" t="s">
        <v>44</v>
      </c>
      <c r="B37" t="s">
        <v>45</v>
      </c>
      <c r="C37" s="9">
        <v>54430</v>
      </c>
      <c r="D37" s="9"/>
      <c r="E37" s="9"/>
      <c r="F37" s="9"/>
      <c r="G37" s="9">
        <f t="shared" si="0"/>
        <v>54430</v>
      </c>
      <c r="H37">
        <f t="shared" si="1"/>
        <v>77.209999999999994</v>
      </c>
      <c r="I37" s="10">
        <f t="shared" si="2"/>
        <v>0.18099999999999999</v>
      </c>
      <c r="J37">
        <f>ROUND(G37/P37-1,2)</f>
        <v>-0.03</v>
      </c>
      <c r="P37">
        <v>55970</v>
      </c>
    </row>
    <row r="38" spans="1:16" x14ac:dyDescent="0.25">
      <c r="A38" t="s">
        <v>44</v>
      </c>
      <c r="B38" t="s">
        <v>46</v>
      </c>
      <c r="C38" s="9"/>
      <c r="D38" s="9"/>
      <c r="E38" s="9">
        <v>7540</v>
      </c>
      <c r="F38" s="9"/>
      <c r="G38" s="9">
        <f t="shared" si="0"/>
        <v>7540</v>
      </c>
      <c r="H38">
        <f t="shared" si="1"/>
        <v>10.7</v>
      </c>
      <c r="I38" s="10">
        <f t="shared" si="2"/>
        <v>2.5000000000000001E-2</v>
      </c>
      <c r="J38">
        <f>ROUND(G38/P38-1,2)</f>
        <v>0.16</v>
      </c>
      <c r="P38">
        <v>6500</v>
      </c>
    </row>
    <row r="39" spans="1:16" x14ac:dyDescent="0.25">
      <c r="A39" t="s">
        <v>44</v>
      </c>
      <c r="B39" t="s">
        <v>47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16</v>
      </c>
      <c r="B40" t="s">
        <v>19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A41" t="s">
        <v>16</v>
      </c>
      <c r="B41" t="s">
        <v>66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5">SUM(C8:C41)</f>
        <v>179660</v>
      </c>
      <c r="D49" s="12">
        <f t="shared" si="5"/>
        <v>233</v>
      </c>
      <c r="E49" s="12">
        <f t="shared" si="5"/>
        <v>119594</v>
      </c>
      <c r="F49" s="12">
        <f t="shared" si="5"/>
        <v>690</v>
      </c>
      <c r="G49" s="12">
        <f t="shared" si="5"/>
        <v>300177</v>
      </c>
      <c r="H49" s="11">
        <f t="shared" si="5"/>
        <v>425.82</v>
      </c>
      <c r="I49" s="4"/>
    </row>
    <row r="50" spans="1:10" x14ac:dyDescent="0.25">
      <c r="A50" s="11" t="s">
        <v>14</v>
      </c>
      <c r="C50" s="13">
        <f>ROUND(C49/G49,2)</f>
        <v>0.6</v>
      </c>
      <c r="D50" s="13">
        <f>ROUND(D49/G49,2)</f>
        <v>0</v>
      </c>
      <c r="E50" s="13">
        <f>ROUND(E49/G49,2)</f>
        <v>0.4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125230</v>
      </c>
      <c r="D54" s="15">
        <v>233</v>
      </c>
      <c r="E54" s="15">
        <v>112054</v>
      </c>
      <c r="F54" s="15">
        <v>690</v>
      </c>
      <c r="G54" s="15">
        <f>SUM(C54:F54)</f>
        <v>238207</v>
      </c>
      <c r="H54" s="17">
        <f>ROUND(G54/705,2)</f>
        <v>337.88</v>
      </c>
      <c r="I54" s="4"/>
      <c r="J54" s="4"/>
    </row>
    <row r="55" spans="1:10" x14ac:dyDescent="0.25">
      <c r="A55" s="33" t="s">
        <v>50</v>
      </c>
      <c r="B55" s="33"/>
      <c r="C55" s="15">
        <v>54430</v>
      </c>
      <c r="D55" s="15">
        <v>0</v>
      </c>
      <c r="E55" s="15">
        <v>7540</v>
      </c>
      <c r="F55" s="15">
        <v>0</v>
      </c>
      <c r="G55" s="15">
        <f>SUM(C55:F55)</f>
        <v>61970</v>
      </c>
      <c r="H55" s="17">
        <f>ROUND(G55/705,2)</f>
        <v>87.9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ROUND(G56/705,2)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ROUND(0.7639, 4)</f>
        <v>0.76390000000000002</v>
      </c>
      <c r="D60" s="19">
        <f>ROUND(0.7584, 4)</f>
        <v>0.75839999999999996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ROUND(0.7507, 4)</f>
        <v>0.75070000000000003</v>
      </c>
      <c r="D61" s="19">
        <f>ROUND(0.7449, 4)</f>
        <v>0.74490000000000001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5" t="s">
        <v>2</v>
      </c>
      <c r="D63" s="5" t="s">
        <v>87</v>
      </c>
      <c r="E63" s="5" t="s">
        <v>57</v>
      </c>
      <c r="F63" s="5" t="s">
        <v>58</v>
      </c>
      <c r="H63" s="6"/>
      <c r="I63" s="7"/>
      <c r="J63" s="7"/>
    </row>
    <row r="64" spans="1:10" x14ac:dyDescent="0.25">
      <c r="A64" s="32" t="s">
        <v>59</v>
      </c>
      <c r="B64" s="32"/>
      <c r="C64" s="17">
        <v>77.209999999999994</v>
      </c>
      <c r="D64" s="17">
        <v>85.28</v>
      </c>
      <c r="E64" s="17">
        <v>91.53</v>
      </c>
      <c r="F64" s="17">
        <v>56.73</v>
      </c>
      <c r="H64" s="3"/>
      <c r="I64" s="4"/>
      <c r="J64" s="4"/>
    </row>
    <row r="65" spans="1:10" x14ac:dyDescent="0.25">
      <c r="A65" s="32" t="s">
        <v>60</v>
      </c>
      <c r="B65" s="32"/>
      <c r="C65" s="17">
        <v>52.87</v>
      </c>
      <c r="D65" s="17">
        <v>55.25</v>
      </c>
      <c r="E65" s="17">
        <v>63.89</v>
      </c>
      <c r="F65" s="17">
        <v>64.47</v>
      </c>
      <c r="H65" s="3"/>
      <c r="I65" s="4"/>
      <c r="J65" s="4"/>
    </row>
    <row r="66" spans="1:10" x14ac:dyDescent="0.25">
      <c r="A66" s="32" t="s">
        <v>61</v>
      </c>
      <c r="B66" s="32"/>
      <c r="C66" s="17">
        <v>337.88</v>
      </c>
      <c r="D66" s="17">
        <v>313.57</v>
      </c>
      <c r="E66" s="17">
        <v>291.85000000000002</v>
      </c>
      <c r="F66" s="17">
        <v>285.41000000000003</v>
      </c>
      <c r="H66" s="3"/>
      <c r="I66" s="4"/>
      <c r="J66" s="4"/>
    </row>
    <row r="67" spans="1:10" x14ac:dyDescent="0.25">
      <c r="A67" s="32" t="s">
        <v>62</v>
      </c>
      <c r="B67" s="32"/>
      <c r="C67" s="16">
        <v>87.9</v>
      </c>
      <c r="D67" s="16">
        <v>99.45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P67"/>
  <sheetViews>
    <sheetView topLeftCell="A33" workbookViewId="0">
      <selection activeCell="A59" sqref="A59:E61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1.7109375" hidden="1" customWidth="1"/>
  </cols>
  <sheetData>
    <row r="2" spans="1:16" ht="18.75" x14ac:dyDescent="0.3">
      <c r="A2" s="1" t="s">
        <v>0</v>
      </c>
      <c r="B2" s="8" t="s">
        <v>258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2136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16</v>
      </c>
      <c r="B9" t="s">
        <v>17</v>
      </c>
      <c r="C9" s="9"/>
      <c r="D9" s="9"/>
      <c r="E9" s="9"/>
      <c r="F9" s="9">
        <v>100</v>
      </c>
      <c r="G9" s="9">
        <f t="shared" ref="G9:G41" si="0">SUM(C9:F9)</f>
        <v>100</v>
      </c>
      <c r="H9">
        <f t="shared" ref="H9:H41" si="1">ROUND(G9/2136,2)</f>
        <v>0.05</v>
      </c>
      <c r="I9" s="10">
        <f t="shared" ref="I9:I41" si="2">ROUND(G9/$G$49,3)</f>
        <v>0</v>
      </c>
      <c r="P9">
        <v>0</v>
      </c>
    </row>
    <row r="10" spans="1:16" x14ac:dyDescent="0.25">
      <c r="A10" t="s">
        <v>16</v>
      </c>
      <c r="B10" t="s">
        <v>66</v>
      </c>
      <c r="C10" s="9"/>
      <c r="D10" s="9"/>
      <c r="E10" s="9"/>
      <c r="F10" s="9">
        <v>343</v>
      </c>
      <c r="G10" s="9">
        <f t="shared" si="0"/>
        <v>343</v>
      </c>
      <c r="H10">
        <f t="shared" si="1"/>
        <v>0.16</v>
      </c>
      <c r="I10" s="10">
        <f t="shared" si="2"/>
        <v>0</v>
      </c>
      <c r="P10">
        <v>0</v>
      </c>
    </row>
    <row r="11" spans="1:16" x14ac:dyDescent="0.25">
      <c r="A11" t="s">
        <v>16</v>
      </c>
      <c r="B11" t="s">
        <v>18</v>
      </c>
      <c r="C11" s="9"/>
      <c r="D11" s="9"/>
      <c r="E11" s="9"/>
      <c r="F11" s="9">
        <v>64</v>
      </c>
      <c r="G11" s="9">
        <f t="shared" si="0"/>
        <v>64</v>
      </c>
      <c r="H11">
        <f t="shared" si="1"/>
        <v>0.03</v>
      </c>
      <c r="I11" s="10">
        <f t="shared" si="2"/>
        <v>0</v>
      </c>
      <c r="P11">
        <v>0</v>
      </c>
    </row>
    <row r="12" spans="1:16" x14ac:dyDescent="0.25">
      <c r="A12" t="s">
        <v>16</v>
      </c>
      <c r="B12" t="s">
        <v>19</v>
      </c>
      <c r="C12" s="9"/>
      <c r="D12" s="9"/>
      <c r="E12" s="9"/>
      <c r="F12" s="9"/>
      <c r="G12" s="9">
        <f t="shared" si="0"/>
        <v>0</v>
      </c>
      <c r="H12">
        <f t="shared" si="1"/>
        <v>0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67</v>
      </c>
      <c r="C13" s="9"/>
      <c r="D13" s="9"/>
      <c r="E13" s="9">
        <v>155</v>
      </c>
      <c r="F13" s="9"/>
      <c r="G13" s="9">
        <f t="shared" si="0"/>
        <v>155</v>
      </c>
      <c r="H13">
        <f t="shared" si="1"/>
        <v>7.0000000000000007E-2</v>
      </c>
      <c r="I13" s="10">
        <f t="shared" si="2"/>
        <v>0</v>
      </c>
      <c r="J13">
        <f>ROUND(G13/P13-1,2)</f>
        <v>0.41</v>
      </c>
      <c r="P13">
        <v>110</v>
      </c>
    </row>
    <row r="14" spans="1:16" x14ac:dyDescent="0.25">
      <c r="A14" t="s">
        <v>20</v>
      </c>
      <c r="B14" t="s">
        <v>21</v>
      </c>
      <c r="C14" s="9">
        <v>74810</v>
      </c>
      <c r="D14" s="9"/>
      <c r="E14" s="9">
        <v>24128.080000000002</v>
      </c>
      <c r="F14" s="9">
        <v>380</v>
      </c>
      <c r="G14" s="9">
        <f t="shared" si="0"/>
        <v>99318.080000000002</v>
      </c>
      <c r="H14">
        <f t="shared" si="1"/>
        <v>46.5</v>
      </c>
      <c r="I14" s="10">
        <f t="shared" si="2"/>
        <v>8.6999999999999994E-2</v>
      </c>
      <c r="J14">
        <f>ROUND(G14/P14-1,2)</f>
        <v>0.09</v>
      </c>
      <c r="P14">
        <v>91466.59</v>
      </c>
    </row>
    <row r="15" spans="1:16" x14ac:dyDescent="0.25">
      <c r="A15" t="s">
        <v>20</v>
      </c>
      <c r="B15" t="s">
        <v>22</v>
      </c>
      <c r="C15" s="9">
        <v>95965</v>
      </c>
      <c r="D15" s="9"/>
      <c r="E15" s="9"/>
      <c r="F15" s="9"/>
      <c r="G15" s="9">
        <f t="shared" si="0"/>
        <v>95965</v>
      </c>
      <c r="H15">
        <f t="shared" si="1"/>
        <v>44.93</v>
      </c>
      <c r="I15" s="10">
        <f t="shared" si="2"/>
        <v>8.4000000000000005E-2</v>
      </c>
      <c r="J15">
        <f>ROUND(G15/P15-1,2)</f>
        <v>0.32</v>
      </c>
      <c r="P15">
        <v>72960</v>
      </c>
    </row>
    <row r="16" spans="1:16" x14ac:dyDescent="0.25">
      <c r="A16" t="s">
        <v>20</v>
      </c>
      <c r="B16" t="s">
        <v>42</v>
      </c>
      <c r="C16" s="9"/>
      <c r="D16" s="9"/>
      <c r="E16" s="9">
        <v>415</v>
      </c>
      <c r="F16" s="9">
        <v>280</v>
      </c>
      <c r="G16" s="9">
        <f t="shared" si="0"/>
        <v>695</v>
      </c>
      <c r="H16">
        <f t="shared" si="1"/>
        <v>0.33</v>
      </c>
      <c r="I16" s="10">
        <f t="shared" si="2"/>
        <v>1E-3</v>
      </c>
      <c r="J16">
        <f>ROUND(G16/P16-1,2)</f>
        <v>2.74</v>
      </c>
      <c r="P16">
        <v>185.83</v>
      </c>
    </row>
    <row r="17" spans="1:16" x14ac:dyDescent="0.25">
      <c r="A17" t="s">
        <v>20</v>
      </c>
      <c r="B17" t="s">
        <v>23</v>
      </c>
      <c r="C17" s="9"/>
      <c r="D17" s="9"/>
      <c r="E17" s="9">
        <v>3900</v>
      </c>
      <c r="F17" s="9"/>
      <c r="G17" s="9">
        <f t="shared" si="0"/>
        <v>3900</v>
      </c>
      <c r="H17">
        <f t="shared" si="1"/>
        <v>1.83</v>
      </c>
      <c r="I17" s="10">
        <f t="shared" si="2"/>
        <v>3.0000000000000001E-3</v>
      </c>
      <c r="P17">
        <v>0</v>
      </c>
    </row>
    <row r="18" spans="1:16" x14ac:dyDescent="0.25">
      <c r="A18" t="s">
        <v>20</v>
      </c>
      <c r="B18" t="s">
        <v>24</v>
      </c>
      <c r="C18" s="9"/>
      <c r="D18" s="9"/>
      <c r="E18" s="9">
        <v>128320.36</v>
      </c>
      <c r="F18" s="9"/>
      <c r="G18" s="9">
        <f t="shared" si="0"/>
        <v>128320.36</v>
      </c>
      <c r="H18">
        <f t="shared" si="1"/>
        <v>60.08</v>
      </c>
      <c r="I18" s="10">
        <f t="shared" si="2"/>
        <v>0.112</v>
      </c>
      <c r="J18">
        <f t="shared" ref="J18:J36" si="3">ROUND(G18/P18-1,2)</f>
        <v>0.23</v>
      </c>
      <c r="P18">
        <v>104522.89</v>
      </c>
    </row>
    <row r="19" spans="1:16" x14ac:dyDescent="0.25">
      <c r="A19" t="s">
        <v>20</v>
      </c>
      <c r="B19" t="s">
        <v>25</v>
      </c>
      <c r="C19" s="9">
        <v>82800</v>
      </c>
      <c r="D19" s="9"/>
      <c r="E19" s="9">
        <v>48802.45</v>
      </c>
      <c r="F19" s="9">
        <v>370</v>
      </c>
      <c r="G19" s="9">
        <f t="shared" si="0"/>
        <v>131972.45000000001</v>
      </c>
      <c r="H19">
        <f t="shared" si="1"/>
        <v>61.78</v>
      </c>
      <c r="I19" s="10">
        <f t="shared" si="2"/>
        <v>0.11600000000000001</v>
      </c>
      <c r="J19">
        <f t="shared" si="3"/>
        <v>0.04</v>
      </c>
      <c r="P19">
        <v>126982.13</v>
      </c>
    </row>
    <row r="20" spans="1:16" x14ac:dyDescent="0.25">
      <c r="A20" t="s">
        <v>20</v>
      </c>
      <c r="B20" t="s">
        <v>69</v>
      </c>
      <c r="C20" s="9"/>
      <c r="D20" s="9"/>
      <c r="E20" s="9">
        <v>11190</v>
      </c>
      <c r="F20" s="9"/>
      <c r="G20" s="9">
        <f t="shared" si="0"/>
        <v>11190</v>
      </c>
      <c r="H20">
        <f t="shared" si="1"/>
        <v>5.24</v>
      </c>
      <c r="I20" s="10">
        <f t="shared" si="2"/>
        <v>0.01</v>
      </c>
      <c r="J20">
        <f t="shared" si="3"/>
        <v>0.72</v>
      </c>
      <c r="P20">
        <v>6520</v>
      </c>
    </row>
    <row r="21" spans="1:16" x14ac:dyDescent="0.25">
      <c r="A21" t="s">
        <v>20</v>
      </c>
      <c r="B21" t="s">
        <v>26</v>
      </c>
      <c r="C21" s="9">
        <v>125090</v>
      </c>
      <c r="D21" s="9"/>
      <c r="E21" s="9"/>
      <c r="F21" s="9">
        <v>150</v>
      </c>
      <c r="G21" s="9">
        <f t="shared" si="0"/>
        <v>125240</v>
      </c>
      <c r="H21">
        <f t="shared" si="1"/>
        <v>58.63</v>
      </c>
      <c r="I21" s="10">
        <f t="shared" si="2"/>
        <v>0.11</v>
      </c>
      <c r="J21">
        <f t="shared" si="3"/>
        <v>-0.02</v>
      </c>
      <c r="P21">
        <v>127540</v>
      </c>
    </row>
    <row r="22" spans="1:16" x14ac:dyDescent="0.25">
      <c r="A22" t="s">
        <v>20</v>
      </c>
      <c r="B22" t="s">
        <v>27</v>
      </c>
      <c r="C22" s="9"/>
      <c r="D22" s="9"/>
      <c r="E22" s="9">
        <v>1575</v>
      </c>
      <c r="F22" s="9"/>
      <c r="G22" s="9">
        <f t="shared" si="0"/>
        <v>1575</v>
      </c>
      <c r="H22">
        <f t="shared" si="1"/>
        <v>0.74</v>
      </c>
      <c r="I22" s="10">
        <f t="shared" si="2"/>
        <v>1E-3</v>
      </c>
      <c r="J22">
        <f t="shared" si="3"/>
        <v>26.63</v>
      </c>
      <c r="P22">
        <v>57</v>
      </c>
    </row>
    <row r="23" spans="1:16" x14ac:dyDescent="0.25">
      <c r="A23" t="s">
        <v>20</v>
      </c>
      <c r="B23" t="s">
        <v>28</v>
      </c>
      <c r="C23" s="9"/>
      <c r="D23" s="9"/>
      <c r="E23" s="9">
        <v>912</v>
      </c>
      <c r="F23" s="9"/>
      <c r="G23" s="9">
        <f t="shared" si="0"/>
        <v>912</v>
      </c>
      <c r="H23">
        <f t="shared" si="1"/>
        <v>0.43</v>
      </c>
      <c r="I23" s="10">
        <f t="shared" si="2"/>
        <v>1E-3</v>
      </c>
      <c r="J23">
        <f t="shared" si="3"/>
        <v>8.31</v>
      </c>
      <c r="P23">
        <v>98</v>
      </c>
    </row>
    <row r="24" spans="1:16" x14ac:dyDescent="0.25">
      <c r="A24" t="s">
        <v>20</v>
      </c>
      <c r="B24" t="s">
        <v>29</v>
      </c>
      <c r="C24" s="9"/>
      <c r="D24" s="9"/>
      <c r="E24" s="9">
        <v>298.31</v>
      </c>
      <c r="F24" s="9"/>
      <c r="G24" s="9">
        <f t="shared" si="0"/>
        <v>298.31</v>
      </c>
      <c r="H24">
        <f t="shared" si="1"/>
        <v>0.14000000000000001</v>
      </c>
      <c r="I24" s="10">
        <f t="shared" si="2"/>
        <v>0</v>
      </c>
      <c r="J24">
        <f t="shared" si="3"/>
        <v>1.32</v>
      </c>
      <c r="P24">
        <v>128.57</v>
      </c>
    </row>
    <row r="25" spans="1:16" x14ac:dyDescent="0.25">
      <c r="A25" t="s">
        <v>20</v>
      </c>
      <c r="B25" t="s">
        <v>30</v>
      </c>
      <c r="C25" s="9"/>
      <c r="D25" s="9"/>
      <c r="E25" s="9">
        <v>9391.61</v>
      </c>
      <c r="F25" s="9"/>
      <c r="G25" s="9">
        <f t="shared" si="0"/>
        <v>9391.61</v>
      </c>
      <c r="H25">
        <f t="shared" si="1"/>
        <v>4.4000000000000004</v>
      </c>
      <c r="I25" s="10">
        <f t="shared" si="2"/>
        <v>8.0000000000000002E-3</v>
      </c>
      <c r="J25">
        <f t="shared" si="3"/>
        <v>0.37</v>
      </c>
      <c r="P25">
        <v>6838.02</v>
      </c>
    </row>
    <row r="26" spans="1:16" x14ac:dyDescent="0.25">
      <c r="A26" t="s">
        <v>20</v>
      </c>
      <c r="B26" t="s">
        <v>31</v>
      </c>
      <c r="C26" s="9"/>
      <c r="D26" s="9"/>
      <c r="E26" s="9">
        <v>1409</v>
      </c>
      <c r="F26" s="9"/>
      <c r="G26" s="9">
        <f t="shared" si="0"/>
        <v>1409</v>
      </c>
      <c r="H26">
        <f t="shared" si="1"/>
        <v>0.66</v>
      </c>
      <c r="I26" s="10">
        <f t="shared" si="2"/>
        <v>1E-3</v>
      </c>
      <c r="J26">
        <f t="shared" si="3"/>
        <v>1.27</v>
      </c>
      <c r="P26">
        <v>620.39</v>
      </c>
    </row>
    <row r="27" spans="1:16" x14ac:dyDescent="0.25">
      <c r="A27" t="s">
        <v>20</v>
      </c>
      <c r="B27" t="s">
        <v>32</v>
      </c>
      <c r="C27" s="9"/>
      <c r="D27" s="9"/>
      <c r="E27" s="9">
        <v>387.14</v>
      </c>
      <c r="F27" s="9"/>
      <c r="G27" s="9">
        <f t="shared" si="0"/>
        <v>387.14</v>
      </c>
      <c r="H27">
        <f t="shared" si="1"/>
        <v>0.18</v>
      </c>
      <c r="I27" s="10">
        <f t="shared" si="2"/>
        <v>0</v>
      </c>
      <c r="J27">
        <f t="shared" si="3"/>
        <v>-0.72</v>
      </c>
      <c r="P27">
        <v>1367.65</v>
      </c>
    </row>
    <row r="28" spans="1:16" x14ac:dyDescent="0.25">
      <c r="A28" t="s">
        <v>20</v>
      </c>
      <c r="B28" t="s">
        <v>33</v>
      </c>
      <c r="C28" s="9"/>
      <c r="D28" s="9"/>
      <c r="E28" s="9">
        <v>2340</v>
      </c>
      <c r="F28" s="9"/>
      <c r="G28" s="9">
        <f t="shared" si="0"/>
        <v>2340</v>
      </c>
      <c r="H28">
        <f t="shared" si="1"/>
        <v>1.1000000000000001</v>
      </c>
      <c r="I28" s="10">
        <f t="shared" si="2"/>
        <v>2E-3</v>
      </c>
      <c r="J28">
        <f t="shared" si="3"/>
        <v>5.54</v>
      </c>
      <c r="P28">
        <v>357.77</v>
      </c>
    </row>
    <row r="29" spans="1:16" x14ac:dyDescent="0.25">
      <c r="A29" t="s">
        <v>20</v>
      </c>
      <c r="B29" t="s">
        <v>43</v>
      </c>
      <c r="C29" s="9"/>
      <c r="D29" s="9">
        <v>631</v>
      </c>
      <c r="E29" s="9">
        <v>355</v>
      </c>
      <c r="F29" s="9"/>
      <c r="G29" s="9">
        <f t="shared" si="0"/>
        <v>986</v>
      </c>
      <c r="H29">
        <f t="shared" si="1"/>
        <v>0.46</v>
      </c>
      <c r="I29" s="10">
        <f t="shared" si="2"/>
        <v>1E-3</v>
      </c>
      <c r="J29">
        <f t="shared" si="3"/>
        <v>6.7</v>
      </c>
      <c r="P29">
        <v>128</v>
      </c>
    </row>
    <row r="30" spans="1:16" x14ac:dyDescent="0.25">
      <c r="A30" t="s">
        <v>20</v>
      </c>
      <c r="B30" t="s">
        <v>34</v>
      </c>
      <c r="C30" s="9"/>
      <c r="D30" s="9"/>
      <c r="E30" s="9">
        <v>1165</v>
      </c>
      <c r="F30" s="9"/>
      <c r="G30" s="9">
        <f t="shared" si="0"/>
        <v>1165</v>
      </c>
      <c r="H30">
        <f t="shared" si="1"/>
        <v>0.55000000000000004</v>
      </c>
      <c r="I30" s="10">
        <f t="shared" si="2"/>
        <v>1E-3</v>
      </c>
      <c r="J30">
        <f t="shared" si="3"/>
        <v>1.59</v>
      </c>
      <c r="P30">
        <v>450.5</v>
      </c>
    </row>
    <row r="31" spans="1:16" x14ac:dyDescent="0.25">
      <c r="A31" t="s">
        <v>20</v>
      </c>
      <c r="B31" t="s">
        <v>35</v>
      </c>
      <c r="C31" s="9"/>
      <c r="D31" s="9"/>
      <c r="E31" s="9">
        <v>4399.51</v>
      </c>
      <c r="F31" s="9"/>
      <c r="G31" s="9">
        <f t="shared" si="0"/>
        <v>4399.51</v>
      </c>
      <c r="H31">
        <f t="shared" si="1"/>
        <v>2.06</v>
      </c>
      <c r="I31" s="10">
        <f t="shared" si="2"/>
        <v>4.0000000000000001E-3</v>
      </c>
      <c r="J31">
        <f t="shared" si="3"/>
        <v>-0.03</v>
      </c>
      <c r="P31">
        <v>4523.88</v>
      </c>
    </row>
    <row r="32" spans="1:16" x14ac:dyDescent="0.25">
      <c r="A32" t="s">
        <v>20</v>
      </c>
      <c r="B32" t="s">
        <v>41</v>
      </c>
      <c r="C32" s="9"/>
      <c r="D32" s="9"/>
      <c r="E32" s="9">
        <v>20500</v>
      </c>
      <c r="F32" s="9"/>
      <c r="G32" s="9">
        <f t="shared" si="0"/>
        <v>20500</v>
      </c>
      <c r="H32">
        <f t="shared" si="1"/>
        <v>9.6</v>
      </c>
      <c r="I32" s="10">
        <f t="shared" si="2"/>
        <v>1.7999999999999999E-2</v>
      </c>
      <c r="J32">
        <f t="shared" si="3"/>
        <v>0.56999999999999995</v>
      </c>
      <c r="P32">
        <v>13045</v>
      </c>
    </row>
    <row r="33" spans="1:16" x14ac:dyDescent="0.25">
      <c r="A33" t="s">
        <v>20</v>
      </c>
      <c r="B33" t="s">
        <v>36</v>
      </c>
      <c r="C33" s="9"/>
      <c r="D33" s="9"/>
      <c r="E33" s="9">
        <v>13441.43</v>
      </c>
      <c r="F33" s="9"/>
      <c r="G33" s="9">
        <f t="shared" si="0"/>
        <v>13441.43</v>
      </c>
      <c r="H33">
        <f t="shared" si="1"/>
        <v>6.29</v>
      </c>
      <c r="I33" s="10">
        <f t="shared" si="2"/>
        <v>1.2E-2</v>
      </c>
      <c r="J33">
        <f t="shared" si="3"/>
        <v>0.73</v>
      </c>
      <c r="P33">
        <v>7772.77</v>
      </c>
    </row>
    <row r="34" spans="1:16" x14ac:dyDescent="0.25">
      <c r="A34" t="s">
        <v>20</v>
      </c>
      <c r="B34" t="s">
        <v>37</v>
      </c>
      <c r="C34" s="9"/>
      <c r="D34" s="9"/>
      <c r="E34" s="9">
        <v>109043.87</v>
      </c>
      <c r="F34" s="9"/>
      <c r="G34" s="9">
        <f t="shared" si="0"/>
        <v>109043.87</v>
      </c>
      <c r="H34">
        <f t="shared" si="1"/>
        <v>51.05</v>
      </c>
      <c r="I34" s="10">
        <f t="shared" si="2"/>
        <v>9.6000000000000002E-2</v>
      </c>
      <c r="J34">
        <f t="shared" si="3"/>
        <v>0.54</v>
      </c>
      <c r="P34">
        <v>70936.539999999994</v>
      </c>
    </row>
    <row r="35" spans="1:16" x14ac:dyDescent="0.25">
      <c r="A35" t="s">
        <v>20</v>
      </c>
      <c r="B35" t="s">
        <v>39</v>
      </c>
      <c r="C35" s="9"/>
      <c r="D35" s="9"/>
      <c r="E35" s="9">
        <v>42465.63</v>
      </c>
      <c r="F35" s="9"/>
      <c r="G35" s="9">
        <f t="shared" si="0"/>
        <v>42465.63</v>
      </c>
      <c r="H35">
        <f t="shared" si="1"/>
        <v>19.88</v>
      </c>
      <c r="I35" s="10">
        <f t="shared" si="2"/>
        <v>3.6999999999999998E-2</v>
      </c>
      <c r="J35">
        <f t="shared" si="3"/>
        <v>0.42</v>
      </c>
      <c r="P35">
        <v>29865.57</v>
      </c>
    </row>
    <row r="36" spans="1:16" x14ac:dyDescent="0.25">
      <c r="A36" t="s">
        <v>20</v>
      </c>
      <c r="B36" t="s">
        <v>40</v>
      </c>
      <c r="C36" s="9"/>
      <c r="D36" s="9"/>
      <c r="E36" s="9">
        <v>83778.850000000006</v>
      </c>
      <c r="F36" s="9"/>
      <c r="G36" s="9">
        <f t="shared" si="0"/>
        <v>83778.850000000006</v>
      </c>
      <c r="H36">
        <f t="shared" si="1"/>
        <v>39.22</v>
      </c>
      <c r="I36" s="10">
        <f t="shared" si="2"/>
        <v>7.2999999999999995E-2</v>
      </c>
      <c r="J36">
        <f t="shared" si="3"/>
        <v>0.41</v>
      </c>
      <c r="P36">
        <v>59379.78</v>
      </c>
    </row>
    <row r="37" spans="1:16" x14ac:dyDescent="0.25">
      <c r="A37" t="s">
        <v>20</v>
      </c>
      <c r="B37" t="s">
        <v>70</v>
      </c>
      <c r="C37" s="9"/>
      <c r="D37" s="9"/>
      <c r="E37" s="9"/>
      <c r="F37" s="9"/>
      <c r="G37" s="9">
        <f t="shared" si="0"/>
        <v>0</v>
      </c>
      <c r="H37">
        <f t="shared" si="1"/>
        <v>0</v>
      </c>
      <c r="I37" s="10">
        <f t="shared" si="2"/>
        <v>0</v>
      </c>
      <c r="P37">
        <v>0</v>
      </c>
    </row>
    <row r="38" spans="1:16" x14ac:dyDescent="0.25">
      <c r="A38" t="s">
        <v>20</v>
      </c>
      <c r="B38" t="s">
        <v>38</v>
      </c>
      <c r="C38" s="9"/>
      <c r="D38" s="9"/>
      <c r="E38" s="9"/>
      <c r="F38" s="9"/>
      <c r="G38" s="9">
        <f t="shared" si="0"/>
        <v>0</v>
      </c>
      <c r="H38">
        <f t="shared" si="1"/>
        <v>0</v>
      </c>
      <c r="I38" s="10">
        <f t="shared" si="2"/>
        <v>0</v>
      </c>
      <c r="P38">
        <v>0</v>
      </c>
    </row>
    <row r="39" spans="1:16" x14ac:dyDescent="0.25">
      <c r="A39" t="s">
        <v>44</v>
      </c>
      <c r="B39" t="s">
        <v>45</v>
      </c>
      <c r="C39" s="9">
        <v>183390</v>
      </c>
      <c r="D39" s="9"/>
      <c r="E39" s="9"/>
      <c r="F39" s="9">
        <v>2560</v>
      </c>
      <c r="G39" s="9">
        <f t="shared" si="0"/>
        <v>185950</v>
      </c>
      <c r="H39">
        <f t="shared" si="1"/>
        <v>87.06</v>
      </c>
      <c r="I39" s="10">
        <f t="shared" si="2"/>
        <v>0.16300000000000001</v>
      </c>
      <c r="J39">
        <f>ROUND(G39/P39-1,2)</f>
        <v>-0.27</v>
      </c>
      <c r="P39">
        <v>253370</v>
      </c>
    </row>
    <row r="40" spans="1:16" x14ac:dyDescent="0.25">
      <c r="A40" t="s">
        <v>44</v>
      </c>
      <c r="B40" t="s">
        <v>46</v>
      </c>
      <c r="C40" s="9"/>
      <c r="D40" s="9"/>
      <c r="E40" s="9">
        <v>66182.44</v>
      </c>
      <c r="F40" s="9"/>
      <c r="G40" s="9">
        <f t="shared" si="0"/>
        <v>66182.44</v>
      </c>
      <c r="H40">
        <f t="shared" si="1"/>
        <v>30.98</v>
      </c>
      <c r="I40" s="10">
        <f t="shared" si="2"/>
        <v>5.8000000000000003E-2</v>
      </c>
      <c r="J40">
        <f>ROUND(G40/P40-1,2)</f>
        <v>0.1</v>
      </c>
      <c r="P40">
        <v>60259.74</v>
      </c>
    </row>
    <row r="41" spans="1:16" x14ac:dyDescent="0.25">
      <c r="A41" t="s">
        <v>44</v>
      </c>
      <c r="B41" t="s">
        <v>47</v>
      </c>
      <c r="C41" s="9"/>
      <c r="D41" s="9"/>
      <c r="E41" s="9"/>
      <c r="F41" s="9"/>
      <c r="G41" s="9">
        <f t="shared" si="0"/>
        <v>0</v>
      </c>
      <c r="H41">
        <f t="shared" si="1"/>
        <v>0</v>
      </c>
      <c r="I41" s="10">
        <f t="shared" si="2"/>
        <v>0</v>
      </c>
      <c r="P41">
        <v>0</v>
      </c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SUM(C8:C41)</f>
        <v>562055</v>
      </c>
      <c r="D49" s="12">
        <f t="shared" si="4"/>
        <v>631</v>
      </c>
      <c r="E49" s="12">
        <f t="shared" si="4"/>
        <v>574555.67999999993</v>
      </c>
      <c r="F49" s="12">
        <f t="shared" si="4"/>
        <v>4247</v>
      </c>
      <c r="G49" s="12">
        <f t="shared" si="4"/>
        <v>1141488.6800000002</v>
      </c>
      <c r="H49" s="11">
        <f t="shared" si="4"/>
        <v>534.43000000000006</v>
      </c>
      <c r="I49" s="4"/>
    </row>
    <row r="50" spans="1:10" x14ac:dyDescent="0.25">
      <c r="A50" s="11" t="s">
        <v>14</v>
      </c>
      <c r="C50" s="13">
        <f>ROUND(C49/G49,2)</f>
        <v>0.49</v>
      </c>
      <c r="D50" s="13">
        <f>ROUND(D49/G49,2)</f>
        <v>0</v>
      </c>
      <c r="E50" s="13">
        <f>ROUND(E49/G49,2)</f>
        <v>0.5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378665</v>
      </c>
      <c r="D54" s="15">
        <v>631</v>
      </c>
      <c r="E54" s="15">
        <v>508373.24</v>
      </c>
      <c r="F54" s="15">
        <v>1180</v>
      </c>
      <c r="G54" s="15">
        <f>SUM(C54:F54)</f>
        <v>888849.24</v>
      </c>
      <c r="H54" s="17">
        <f>ROUND(G54/2136,2)</f>
        <v>416.13</v>
      </c>
      <c r="I54" s="4"/>
      <c r="J54" s="4"/>
    </row>
    <row r="55" spans="1:10" x14ac:dyDescent="0.25">
      <c r="A55" s="33" t="s">
        <v>50</v>
      </c>
      <c r="B55" s="33"/>
      <c r="C55" s="15">
        <v>183390</v>
      </c>
      <c r="D55" s="15">
        <v>0</v>
      </c>
      <c r="E55" s="15">
        <v>66182.44</v>
      </c>
      <c r="F55" s="15">
        <v>2560</v>
      </c>
      <c r="G55" s="15">
        <f>SUM(C55:F55)</f>
        <v>252132.44</v>
      </c>
      <c r="H55" s="17">
        <f>ROUND(G55/2136,2)</f>
        <v>118.04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507</v>
      </c>
      <c r="G56" s="15">
        <f>SUM(C56:F56)</f>
        <v>507</v>
      </c>
      <c r="H56" s="17">
        <f>ROUND(G56/2136,2)</f>
        <v>0.24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ROUND(0.8087, 4)</f>
        <v>0.80869999999999997</v>
      </c>
      <c r="D60" s="19">
        <f>ROUND(0.7221, 4)</f>
        <v>0.72209999999999996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8">
        <f>ROUND(0.7721, 4)</f>
        <v>0.77210000000000001</v>
      </c>
      <c r="D61" s="18">
        <f>ROUND(0.6857, 4)</f>
        <v>0.68569999999999998</v>
      </c>
      <c r="E61" s="18">
        <f>ROUND(0.7592, 4)</f>
        <v>0.75919999999999999</v>
      </c>
    </row>
    <row r="63" spans="1:10" x14ac:dyDescent="0.25">
      <c r="A63" s="32" t="s">
        <v>55</v>
      </c>
      <c r="B63" s="32"/>
      <c r="C63" s="2" t="s">
        <v>2</v>
      </c>
      <c r="D63" s="2" t="s">
        <v>259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87.06</v>
      </c>
      <c r="D64" s="16">
        <v>104.75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58.63</v>
      </c>
      <c r="D65" s="16">
        <v>62.67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416.13</v>
      </c>
      <c r="D66" s="16">
        <v>369.91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118.04</v>
      </c>
      <c r="D67" s="16">
        <v>134.5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67"/>
  <sheetViews>
    <sheetView topLeftCell="A51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0.57031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10.5703125" hidden="1" customWidth="1"/>
  </cols>
  <sheetData>
    <row r="2" spans="1:16" ht="18.75" x14ac:dyDescent="0.3">
      <c r="A2" s="1" t="s">
        <v>0</v>
      </c>
      <c r="B2" s="8" t="s">
        <v>260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541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21</v>
      </c>
      <c r="C9" s="9">
        <v>19910</v>
      </c>
      <c r="D9" s="9"/>
      <c r="E9" s="9">
        <v>719.33</v>
      </c>
      <c r="F9" s="9"/>
      <c r="G9" s="9">
        <f t="shared" ref="G9:G32" si="0">SUM(C9:F9)</f>
        <v>20629.330000000002</v>
      </c>
      <c r="H9">
        <f t="shared" ref="H9:H32" si="1">ROUND(G9/541,2)</f>
        <v>38.130000000000003</v>
      </c>
      <c r="I9" s="10">
        <f t="shared" ref="I9:I32" si="2">ROUND(G9/$G$49,3)</f>
        <v>0.121</v>
      </c>
      <c r="J9">
        <f>ROUND(G9/P9-1,2)</f>
        <v>0.12</v>
      </c>
      <c r="P9">
        <v>18482.68</v>
      </c>
    </row>
    <row r="10" spans="1:16" x14ac:dyDescent="0.25">
      <c r="A10" t="s">
        <v>20</v>
      </c>
      <c r="B10" t="s">
        <v>22</v>
      </c>
      <c r="C10" s="9">
        <v>23880</v>
      </c>
      <c r="D10" s="9"/>
      <c r="E10" s="9"/>
      <c r="F10" s="9"/>
      <c r="G10" s="9">
        <f t="shared" si="0"/>
        <v>23880</v>
      </c>
      <c r="H10">
        <f t="shared" si="1"/>
        <v>44.14</v>
      </c>
      <c r="I10" s="10">
        <f t="shared" si="2"/>
        <v>0.14000000000000001</v>
      </c>
      <c r="J10">
        <f>ROUND(G10/P10-1,2)</f>
        <v>0.16</v>
      </c>
      <c r="P10">
        <v>20635</v>
      </c>
    </row>
    <row r="11" spans="1:16" x14ac:dyDescent="0.25">
      <c r="A11" t="s">
        <v>20</v>
      </c>
      <c r="B11" t="s">
        <v>42</v>
      </c>
      <c r="C11" s="9"/>
      <c r="D11" s="9"/>
      <c r="E11" s="9">
        <v>18.34</v>
      </c>
      <c r="F11" s="9"/>
      <c r="G11" s="9">
        <f t="shared" si="0"/>
        <v>18.34</v>
      </c>
      <c r="H11">
        <f t="shared" si="1"/>
        <v>0.03</v>
      </c>
      <c r="I11" s="10">
        <f t="shared" si="2"/>
        <v>0</v>
      </c>
      <c r="J11">
        <f>ROUND(G11/P11-1,2)</f>
        <v>-0.44</v>
      </c>
      <c r="P11">
        <v>32.729999999999997</v>
      </c>
    </row>
    <row r="12" spans="1:16" x14ac:dyDescent="0.25">
      <c r="A12" t="s">
        <v>20</v>
      </c>
      <c r="B12" t="s">
        <v>23</v>
      </c>
      <c r="C12" s="9"/>
      <c r="D12" s="9"/>
      <c r="E12" s="9">
        <v>62.5</v>
      </c>
      <c r="F12" s="9"/>
      <c r="G12" s="9">
        <f t="shared" si="0"/>
        <v>62.5</v>
      </c>
      <c r="H12">
        <f t="shared" si="1"/>
        <v>0.12</v>
      </c>
      <c r="I12" s="10">
        <f t="shared" si="2"/>
        <v>0</v>
      </c>
      <c r="P12">
        <v>0</v>
      </c>
    </row>
    <row r="13" spans="1:16" x14ac:dyDescent="0.25">
      <c r="A13" t="s">
        <v>20</v>
      </c>
      <c r="B13" t="s">
        <v>24</v>
      </c>
      <c r="C13" s="9"/>
      <c r="D13" s="9"/>
      <c r="E13" s="9">
        <v>9355.52</v>
      </c>
      <c r="F13" s="9"/>
      <c r="G13" s="9">
        <f t="shared" si="0"/>
        <v>9355.52</v>
      </c>
      <c r="H13">
        <f t="shared" si="1"/>
        <v>17.29</v>
      </c>
      <c r="I13" s="10">
        <f t="shared" si="2"/>
        <v>5.5E-2</v>
      </c>
      <c r="J13">
        <f t="shared" ref="J13:J26" si="3">ROUND(G13/P13-1,2)</f>
        <v>-0.69</v>
      </c>
      <c r="P13">
        <v>29918.9</v>
      </c>
    </row>
    <row r="14" spans="1:16" x14ac:dyDescent="0.25">
      <c r="A14" t="s">
        <v>20</v>
      </c>
      <c r="B14" t="s">
        <v>25</v>
      </c>
      <c r="C14" s="9">
        <v>20950</v>
      </c>
      <c r="D14" s="9"/>
      <c r="E14" s="9">
        <v>1197.98</v>
      </c>
      <c r="F14" s="9"/>
      <c r="G14" s="9">
        <f t="shared" si="0"/>
        <v>22147.98</v>
      </c>
      <c r="H14">
        <f t="shared" si="1"/>
        <v>40.94</v>
      </c>
      <c r="I14" s="10">
        <f t="shared" si="2"/>
        <v>0.13</v>
      </c>
      <c r="J14">
        <f t="shared" si="3"/>
        <v>0.23</v>
      </c>
      <c r="P14">
        <v>18055.8</v>
      </c>
    </row>
    <row r="15" spans="1:16" x14ac:dyDescent="0.25">
      <c r="A15" t="s">
        <v>20</v>
      </c>
      <c r="B15" t="s">
        <v>26</v>
      </c>
      <c r="C15" s="9">
        <v>20500</v>
      </c>
      <c r="D15" s="9"/>
      <c r="E15" s="9"/>
      <c r="F15" s="9"/>
      <c r="G15" s="9">
        <f t="shared" si="0"/>
        <v>20500</v>
      </c>
      <c r="H15">
        <f t="shared" si="1"/>
        <v>37.89</v>
      </c>
      <c r="I15" s="10">
        <f t="shared" si="2"/>
        <v>0.12</v>
      </c>
      <c r="J15">
        <f t="shared" si="3"/>
        <v>-0.33</v>
      </c>
      <c r="P15">
        <v>30570</v>
      </c>
    </row>
    <row r="16" spans="1:16" x14ac:dyDescent="0.25">
      <c r="A16" t="s">
        <v>20</v>
      </c>
      <c r="B16" t="s">
        <v>29</v>
      </c>
      <c r="C16" s="9"/>
      <c r="D16" s="9"/>
      <c r="E16" s="9">
        <v>22.77</v>
      </c>
      <c r="F16" s="9"/>
      <c r="G16" s="9">
        <f t="shared" si="0"/>
        <v>22.77</v>
      </c>
      <c r="H16">
        <f t="shared" si="1"/>
        <v>0.04</v>
      </c>
      <c r="I16" s="10">
        <f t="shared" si="2"/>
        <v>0</v>
      </c>
      <c r="J16">
        <f t="shared" si="3"/>
        <v>1.41</v>
      </c>
      <c r="P16">
        <v>9.4499999999999993</v>
      </c>
    </row>
    <row r="17" spans="1:16" x14ac:dyDescent="0.25">
      <c r="A17" t="s">
        <v>20</v>
      </c>
      <c r="B17" t="s">
        <v>30</v>
      </c>
      <c r="C17" s="9"/>
      <c r="D17" s="9"/>
      <c r="E17" s="9">
        <v>95.45</v>
      </c>
      <c r="F17" s="9"/>
      <c r="G17" s="9">
        <f t="shared" si="0"/>
        <v>95.45</v>
      </c>
      <c r="H17">
        <f t="shared" si="1"/>
        <v>0.18</v>
      </c>
      <c r="I17" s="10">
        <f t="shared" si="2"/>
        <v>1E-3</v>
      </c>
      <c r="J17">
        <f t="shared" si="3"/>
        <v>-0.87</v>
      </c>
      <c r="P17">
        <v>761.41</v>
      </c>
    </row>
    <row r="18" spans="1:16" x14ac:dyDescent="0.25">
      <c r="A18" t="s">
        <v>20</v>
      </c>
      <c r="B18" t="s">
        <v>31</v>
      </c>
      <c r="C18" s="9"/>
      <c r="D18" s="9"/>
      <c r="E18" s="9">
        <v>89.36</v>
      </c>
      <c r="F18" s="9"/>
      <c r="G18" s="9">
        <f t="shared" si="0"/>
        <v>89.36</v>
      </c>
      <c r="H18">
        <f t="shared" si="1"/>
        <v>0.17</v>
      </c>
      <c r="I18" s="10">
        <f t="shared" si="2"/>
        <v>1E-3</v>
      </c>
      <c r="J18">
        <f t="shared" si="3"/>
        <v>-0.82</v>
      </c>
      <c r="P18">
        <v>499.11</v>
      </c>
    </row>
    <row r="19" spans="1:16" x14ac:dyDescent="0.25">
      <c r="A19" t="s">
        <v>20</v>
      </c>
      <c r="B19" t="s">
        <v>33</v>
      </c>
      <c r="C19" s="9"/>
      <c r="D19" s="9"/>
      <c r="E19" s="9">
        <v>42.03</v>
      </c>
      <c r="F19" s="9"/>
      <c r="G19" s="9">
        <f t="shared" si="0"/>
        <v>42.03</v>
      </c>
      <c r="H19">
        <f t="shared" si="1"/>
        <v>0.08</v>
      </c>
      <c r="I19" s="10">
        <f t="shared" si="2"/>
        <v>0</v>
      </c>
      <c r="J19">
        <f t="shared" si="3"/>
        <v>-0.94</v>
      </c>
      <c r="P19">
        <v>683.33</v>
      </c>
    </row>
    <row r="20" spans="1:16" x14ac:dyDescent="0.25">
      <c r="A20" t="s">
        <v>20</v>
      </c>
      <c r="B20" t="s">
        <v>34</v>
      </c>
      <c r="C20" s="9"/>
      <c r="D20" s="9"/>
      <c r="E20" s="9">
        <v>73.75</v>
      </c>
      <c r="F20" s="9"/>
      <c r="G20" s="9">
        <f t="shared" si="0"/>
        <v>73.75</v>
      </c>
      <c r="H20">
        <f t="shared" si="1"/>
        <v>0.14000000000000001</v>
      </c>
      <c r="I20" s="10">
        <f t="shared" si="2"/>
        <v>0</v>
      </c>
      <c r="J20">
        <f t="shared" si="3"/>
        <v>-0.55000000000000004</v>
      </c>
      <c r="P20">
        <v>162.79</v>
      </c>
    </row>
    <row r="21" spans="1:16" x14ac:dyDescent="0.25">
      <c r="A21" t="s">
        <v>20</v>
      </c>
      <c r="B21" t="s">
        <v>35</v>
      </c>
      <c r="C21" s="9"/>
      <c r="D21" s="9"/>
      <c r="E21" s="9">
        <v>316.8</v>
      </c>
      <c r="F21" s="9"/>
      <c r="G21" s="9">
        <f t="shared" si="0"/>
        <v>316.8</v>
      </c>
      <c r="H21">
        <f t="shared" si="1"/>
        <v>0.59</v>
      </c>
      <c r="I21" s="10">
        <f t="shared" si="2"/>
        <v>2E-3</v>
      </c>
      <c r="J21">
        <f t="shared" si="3"/>
        <v>-0.65</v>
      </c>
      <c r="P21">
        <v>911.93</v>
      </c>
    </row>
    <row r="22" spans="1:16" x14ac:dyDescent="0.25">
      <c r="A22" t="s">
        <v>20</v>
      </c>
      <c r="B22" t="s">
        <v>36</v>
      </c>
      <c r="C22" s="9"/>
      <c r="D22" s="9"/>
      <c r="E22" s="9">
        <v>50.31</v>
      </c>
      <c r="F22" s="9"/>
      <c r="G22" s="9">
        <f t="shared" si="0"/>
        <v>50.31</v>
      </c>
      <c r="H22">
        <f t="shared" si="1"/>
        <v>0.09</v>
      </c>
      <c r="I22" s="10">
        <f t="shared" si="2"/>
        <v>0</v>
      </c>
      <c r="J22">
        <f t="shared" si="3"/>
        <v>-0.98</v>
      </c>
      <c r="P22">
        <v>2741.1</v>
      </c>
    </row>
    <row r="23" spans="1:16" x14ac:dyDescent="0.25">
      <c r="A23" t="s">
        <v>20</v>
      </c>
      <c r="B23" t="s">
        <v>37</v>
      </c>
      <c r="C23" s="9"/>
      <c r="D23" s="9"/>
      <c r="E23" s="9">
        <v>6093.66</v>
      </c>
      <c r="F23" s="9"/>
      <c r="G23" s="9">
        <f t="shared" si="0"/>
        <v>6093.66</v>
      </c>
      <c r="H23">
        <f t="shared" si="1"/>
        <v>11.26</v>
      </c>
      <c r="I23" s="10">
        <f t="shared" si="2"/>
        <v>3.5999999999999997E-2</v>
      </c>
      <c r="J23">
        <f t="shared" si="3"/>
        <v>-0.67</v>
      </c>
      <c r="P23">
        <v>18366.98</v>
      </c>
    </row>
    <row r="24" spans="1:16" x14ac:dyDescent="0.25">
      <c r="A24" t="s">
        <v>20</v>
      </c>
      <c r="B24" t="s">
        <v>39</v>
      </c>
      <c r="C24" s="9"/>
      <c r="D24" s="9"/>
      <c r="E24" s="9">
        <v>2099.21</v>
      </c>
      <c r="F24" s="9"/>
      <c r="G24" s="9">
        <f t="shared" si="0"/>
        <v>2099.21</v>
      </c>
      <c r="H24">
        <f t="shared" si="1"/>
        <v>3.88</v>
      </c>
      <c r="I24" s="10">
        <f t="shared" si="2"/>
        <v>1.2E-2</v>
      </c>
      <c r="J24">
        <f t="shared" si="3"/>
        <v>-0.71</v>
      </c>
      <c r="P24">
        <v>7216.27</v>
      </c>
    </row>
    <row r="25" spans="1:16" x14ac:dyDescent="0.25">
      <c r="A25" t="s">
        <v>20</v>
      </c>
      <c r="B25" t="s">
        <v>40</v>
      </c>
      <c r="C25" s="9"/>
      <c r="D25" s="9"/>
      <c r="E25" s="9">
        <v>2502.0500000000002</v>
      </c>
      <c r="F25" s="9"/>
      <c r="G25" s="9">
        <f t="shared" si="0"/>
        <v>2502.0500000000002</v>
      </c>
      <c r="H25">
        <f t="shared" si="1"/>
        <v>4.62</v>
      </c>
      <c r="I25" s="10">
        <f t="shared" si="2"/>
        <v>1.4999999999999999E-2</v>
      </c>
      <c r="J25">
        <f t="shared" si="3"/>
        <v>-0.44</v>
      </c>
      <c r="P25">
        <v>4495.88</v>
      </c>
    </row>
    <row r="26" spans="1:16" x14ac:dyDescent="0.25">
      <c r="A26" t="s">
        <v>20</v>
      </c>
      <c r="B26" t="s">
        <v>43</v>
      </c>
      <c r="C26" s="9"/>
      <c r="D26" s="9"/>
      <c r="E26" s="9"/>
      <c r="F26" s="9"/>
      <c r="G26" s="9">
        <f t="shared" si="0"/>
        <v>0</v>
      </c>
      <c r="H26">
        <f t="shared" si="1"/>
        <v>0</v>
      </c>
      <c r="I26" s="10">
        <f t="shared" si="2"/>
        <v>0</v>
      </c>
      <c r="J26">
        <f t="shared" si="3"/>
        <v>-1</v>
      </c>
      <c r="P26">
        <v>26</v>
      </c>
    </row>
    <row r="27" spans="1:16" x14ac:dyDescent="0.25">
      <c r="A27" t="s">
        <v>20</v>
      </c>
      <c r="B27" t="s">
        <v>32</v>
      </c>
      <c r="C27" s="9"/>
      <c r="D27" s="9"/>
      <c r="E27" s="9"/>
      <c r="F27" s="9"/>
      <c r="G27" s="9">
        <f t="shared" si="0"/>
        <v>0</v>
      </c>
      <c r="H27">
        <f t="shared" si="1"/>
        <v>0</v>
      </c>
      <c r="I27" s="10">
        <f t="shared" si="2"/>
        <v>0</v>
      </c>
      <c r="P27">
        <v>0</v>
      </c>
    </row>
    <row r="28" spans="1:16" x14ac:dyDescent="0.25">
      <c r="A28" t="s">
        <v>20</v>
      </c>
      <c r="B28" t="s">
        <v>38</v>
      </c>
      <c r="C28" s="9"/>
      <c r="D28" s="9"/>
      <c r="E28" s="9"/>
      <c r="F28" s="9"/>
      <c r="G28" s="9">
        <f t="shared" si="0"/>
        <v>0</v>
      </c>
      <c r="H28">
        <f t="shared" si="1"/>
        <v>0</v>
      </c>
      <c r="I28" s="10">
        <f t="shared" si="2"/>
        <v>0</v>
      </c>
      <c r="P28">
        <v>0</v>
      </c>
    </row>
    <row r="29" spans="1:16" x14ac:dyDescent="0.25">
      <c r="A29" t="s">
        <v>44</v>
      </c>
      <c r="B29" t="s">
        <v>45</v>
      </c>
      <c r="C29" s="9">
        <v>59260</v>
      </c>
      <c r="D29" s="9"/>
      <c r="E29" s="9"/>
      <c r="F29" s="9">
        <v>320</v>
      </c>
      <c r="G29" s="9">
        <f t="shared" si="0"/>
        <v>59580</v>
      </c>
      <c r="H29">
        <f t="shared" si="1"/>
        <v>110.13</v>
      </c>
      <c r="I29" s="10">
        <f t="shared" si="2"/>
        <v>0.34899999999999998</v>
      </c>
      <c r="J29">
        <f>ROUND(G29/P29-1,2)</f>
        <v>0.28999999999999998</v>
      </c>
      <c r="P29">
        <v>46300</v>
      </c>
    </row>
    <row r="30" spans="1:16" x14ac:dyDescent="0.25">
      <c r="A30" t="s">
        <v>44</v>
      </c>
      <c r="B30" t="s">
        <v>46</v>
      </c>
      <c r="C30" s="9"/>
      <c r="D30" s="9"/>
      <c r="E30" s="9">
        <v>3386.31</v>
      </c>
      <c r="F30" s="9"/>
      <c r="G30" s="9">
        <f t="shared" si="0"/>
        <v>3386.31</v>
      </c>
      <c r="H30">
        <f t="shared" si="1"/>
        <v>6.26</v>
      </c>
      <c r="I30" s="10">
        <f t="shared" si="2"/>
        <v>0.02</v>
      </c>
      <c r="J30">
        <f>ROUND(G30/P30-1,2)</f>
        <v>-0.76</v>
      </c>
      <c r="P30">
        <v>14104.46</v>
      </c>
    </row>
    <row r="31" spans="1:16" x14ac:dyDescent="0.25">
      <c r="A31" t="s">
        <v>44</v>
      </c>
      <c r="B31" t="s">
        <v>47</v>
      </c>
      <c r="C31" s="9"/>
      <c r="D31" s="9"/>
      <c r="E31" s="9"/>
      <c r="F31" s="9"/>
      <c r="G31" s="9">
        <f t="shared" si="0"/>
        <v>0</v>
      </c>
      <c r="H31">
        <f t="shared" si="1"/>
        <v>0</v>
      </c>
      <c r="I31" s="10">
        <f t="shared" si="2"/>
        <v>0</v>
      </c>
      <c r="P31">
        <v>0</v>
      </c>
    </row>
    <row r="32" spans="1:16" x14ac:dyDescent="0.25">
      <c r="A32" t="s">
        <v>16</v>
      </c>
      <c r="B32" t="s">
        <v>19</v>
      </c>
      <c r="C32" s="9"/>
      <c r="D32" s="9"/>
      <c r="E32" s="9"/>
      <c r="F32" s="9"/>
      <c r="G32" s="9">
        <f t="shared" si="0"/>
        <v>0</v>
      </c>
      <c r="H32">
        <f t="shared" si="1"/>
        <v>0</v>
      </c>
      <c r="I32" s="10">
        <f t="shared" si="2"/>
        <v>0</v>
      </c>
      <c r="P32">
        <v>0</v>
      </c>
    </row>
    <row r="33" spans="3:9" x14ac:dyDescent="0.25">
      <c r="C33" s="9"/>
      <c r="D33" s="9"/>
      <c r="E33" s="9"/>
      <c r="F33" s="9"/>
      <c r="G33" s="9"/>
      <c r="I33" s="10"/>
    </row>
    <row r="34" spans="3:9" x14ac:dyDescent="0.25">
      <c r="C34" s="9"/>
      <c r="D34" s="9"/>
      <c r="E34" s="9"/>
      <c r="F34" s="9"/>
      <c r="G34" s="9"/>
      <c r="I34" s="10"/>
    </row>
    <row r="35" spans="3:9" x14ac:dyDescent="0.25">
      <c r="C35" s="9"/>
      <c r="D35" s="9"/>
      <c r="E35" s="9"/>
      <c r="F35" s="9"/>
      <c r="G35" s="9"/>
      <c r="I35" s="10"/>
    </row>
    <row r="36" spans="3:9" x14ac:dyDescent="0.25">
      <c r="C36" s="9"/>
      <c r="D36" s="9"/>
      <c r="E36" s="9"/>
      <c r="F36" s="9"/>
      <c r="G36" s="9"/>
      <c r="I36" s="10"/>
    </row>
    <row r="37" spans="3:9" x14ac:dyDescent="0.25">
      <c r="C37" s="9"/>
      <c r="D37" s="9"/>
      <c r="E37" s="9"/>
      <c r="F37" s="9"/>
      <c r="G37" s="9"/>
      <c r="I37" s="10"/>
    </row>
    <row r="38" spans="3:9" x14ac:dyDescent="0.25">
      <c r="C38" s="9"/>
      <c r="D38" s="9"/>
      <c r="E38" s="9"/>
      <c r="F38" s="9"/>
      <c r="G38" s="9"/>
      <c r="I38" s="10"/>
    </row>
    <row r="39" spans="3:9" x14ac:dyDescent="0.25">
      <c r="C39" s="9"/>
      <c r="D39" s="9"/>
      <c r="E39" s="9"/>
      <c r="F39" s="9"/>
      <c r="G39" s="9"/>
      <c r="I39" s="10"/>
    </row>
    <row r="40" spans="3:9" x14ac:dyDescent="0.25">
      <c r="C40" s="9"/>
      <c r="D40" s="9"/>
      <c r="E40" s="9"/>
      <c r="F40" s="9"/>
      <c r="G40" s="9"/>
      <c r="I40" s="10"/>
    </row>
    <row r="41" spans="3:9" x14ac:dyDescent="0.25">
      <c r="C41" s="9"/>
      <c r="D41" s="9"/>
      <c r="E41" s="9"/>
      <c r="F41" s="9"/>
      <c r="G41" s="9"/>
      <c r="I41" s="10"/>
    </row>
    <row r="42" spans="3:9" x14ac:dyDescent="0.25">
      <c r="C42" s="9"/>
      <c r="D42" s="9"/>
      <c r="E42" s="9"/>
      <c r="F42" s="9"/>
      <c r="G42" s="9"/>
      <c r="I42" s="10"/>
    </row>
    <row r="43" spans="3:9" x14ac:dyDescent="0.25">
      <c r="C43" s="9"/>
      <c r="D43" s="9"/>
      <c r="E43" s="9"/>
      <c r="F43" s="9"/>
      <c r="G43" s="9"/>
      <c r="I43" s="10"/>
    </row>
    <row r="44" spans="3:9" x14ac:dyDescent="0.25">
      <c r="C44" s="9"/>
      <c r="D44" s="9"/>
      <c r="E44" s="9"/>
      <c r="F44" s="9"/>
      <c r="G44" s="9"/>
      <c r="I44" s="10"/>
    </row>
    <row r="45" spans="3:9" x14ac:dyDescent="0.25">
      <c r="C45" s="9"/>
      <c r="D45" s="9"/>
      <c r="E45" s="9"/>
      <c r="F45" s="9"/>
      <c r="G45" s="9"/>
      <c r="I45" s="10"/>
    </row>
    <row r="46" spans="3:9" x14ac:dyDescent="0.25">
      <c r="C46" s="9"/>
      <c r="D46" s="9"/>
      <c r="E46" s="9"/>
      <c r="F46" s="9"/>
      <c r="G46" s="9"/>
      <c r="I46" s="10"/>
    </row>
    <row r="47" spans="3:9" x14ac:dyDescent="0.25">
      <c r="C47" s="9"/>
      <c r="D47" s="9"/>
      <c r="E47" s="9"/>
      <c r="F47" s="9"/>
      <c r="G47" s="9"/>
      <c r="I47" s="10"/>
    </row>
    <row r="48" spans="3:9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SUM(C8:C32)</f>
        <v>144500</v>
      </c>
      <c r="D49" s="12">
        <f t="shared" si="4"/>
        <v>0</v>
      </c>
      <c r="E49" s="12">
        <f t="shared" si="4"/>
        <v>26125.370000000003</v>
      </c>
      <c r="F49" s="12">
        <f t="shared" si="4"/>
        <v>320</v>
      </c>
      <c r="G49" s="12">
        <f t="shared" si="4"/>
        <v>170945.37</v>
      </c>
      <c r="H49" s="11">
        <f t="shared" si="4"/>
        <v>315.98</v>
      </c>
      <c r="I49" s="4"/>
    </row>
    <row r="50" spans="1:10" x14ac:dyDescent="0.25">
      <c r="A50" s="11" t="s">
        <v>14</v>
      </c>
      <c r="C50" s="13">
        <f>ROUND(C49/G49,2)</f>
        <v>0.85</v>
      </c>
      <c r="D50" s="13">
        <f>ROUND(D49/G49,2)</f>
        <v>0</v>
      </c>
      <c r="E50" s="13">
        <f>ROUND(E49/G49,2)</f>
        <v>0.15</v>
      </c>
      <c r="F50" s="13">
        <f>ROUND(F49/G49,2)</f>
        <v>0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3" spans="1:10" x14ac:dyDescent="0.25">
      <c r="A53" s="36" t="s">
        <v>6</v>
      </c>
      <c r="B53" s="36"/>
      <c r="C53" s="2" t="s">
        <v>8</v>
      </c>
      <c r="D53" s="2" t="s">
        <v>9</v>
      </c>
      <c r="E53" s="2" t="s">
        <v>10</v>
      </c>
      <c r="F53" s="2" t="s">
        <v>11</v>
      </c>
      <c r="G53" s="2" t="s">
        <v>12</v>
      </c>
      <c r="H53" s="2" t="s">
        <v>13</v>
      </c>
      <c r="I53" s="1"/>
      <c r="J53" s="1"/>
    </row>
    <row r="54" spans="1:10" x14ac:dyDescent="0.25">
      <c r="A54" s="36" t="s">
        <v>49</v>
      </c>
      <c r="B54" s="36"/>
      <c r="C54" s="14">
        <v>85240</v>
      </c>
      <c r="D54" s="14">
        <v>0</v>
      </c>
      <c r="E54" s="14">
        <v>22739.06</v>
      </c>
      <c r="F54" s="14">
        <v>0</v>
      </c>
      <c r="G54" s="14">
        <f>SUM(C54:F54)</f>
        <v>107979.06</v>
      </c>
      <c r="H54" s="16">
        <f>ROUND(G54/541,2)</f>
        <v>199.59</v>
      </c>
    </row>
    <row r="55" spans="1:10" x14ac:dyDescent="0.25">
      <c r="A55" s="36" t="s">
        <v>50</v>
      </c>
      <c r="B55" s="36"/>
      <c r="C55" s="14">
        <v>59260</v>
      </c>
      <c r="D55" s="14">
        <v>0</v>
      </c>
      <c r="E55" s="14">
        <v>3386.31</v>
      </c>
      <c r="F55" s="14">
        <v>320</v>
      </c>
      <c r="G55" s="14">
        <f>SUM(C55:F55)</f>
        <v>62966.31</v>
      </c>
      <c r="H55" s="16">
        <f>ROUND(G55/541,2)</f>
        <v>116.39</v>
      </c>
    </row>
    <row r="56" spans="1:10" x14ac:dyDescent="0.25">
      <c r="A56" s="36" t="s">
        <v>51</v>
      </c>
      <c r="B56" s="36"/>
      <c r="C56" s="14">
        <v>0</v>
      </c>
      <c r="D56" s="14">
        <v>0</v>
      </c>
      <c r="E56" s="14">
        <v>0</v>
      </c>
      <c r="F56" s="14">
        <v>0</v>
      </c>
      <c r="G56" s="14">
        <f>SUM(C56:F56)</f>
        <v>0</v>
      </c>
      <c r="H56" s="16">
        <f>ROUND(G56/541,2)</f>
        <v>0</v>
      </c>
    </row>
    <row r="59" spans="1:10" x14ac:dyDescent="0.25">
      <c r="A59" s="34" t="s">
        <v>269</v>
      </c>
      <c r="B59" s="34"/>
      <c r="C59" s="2" t="s">
        <v>2</v>
      </c>
      <c r="D59" s="2">
        <v>2022</v>
      </c>
      <c r="E59" s="2" t="s">
        <v>53</v>
      </c>
      <c r="F59" s="1"/>
      <c r="G59" s="1"/>
      <c r="H59" s="1"/>
      <c r="I59" s="1"/>
      <c r="J59" s="1"/>
    </row>
    <row r="60" spans="1:10" x14ac:dyDescent="0.25">
      <c r="A60" s="35" t="s">
        <v>52</v>
      </c>
      <c r="B60" s="35"/>
      <c r="C60" s="18">
        <f>ROUND(0.6289, 4)</f>
        <v>0.62890000000000001</v>
      </c>
      <c r="D60" s="18">
        <f>ROUND(0.7405, 4)</f>
        <v>0.74050000000000005</v>
      </c>
      <c r="E60" s="18">
        <f>ROUND(0.7768, 4)</f>
        <v>0.77680000000000005</v>
      </c>
    </row>
    <row r="61" spans="1:10" x14ac:dyDescent="0.25">
      <c r="A61" s="35" t="s">
        <v>54</v>
      </c>
      <c r="B61" s="35"/>
      <c r="C61" s="18">
        <f>ROUND(0.5814, 4)</f>
        <v>0.58140000000000003</v>
      </c>
      <c r="D61" s="18">
        <f>ROUND(0.7027, 4)</f>
        <v>0.70269999999999999</v>
      </c>
      <c r="E61" s="18">
        <f>ROUND(0.7592, 4)</f>
        <v>0.75919999999999999</v>
      </c>
    </row>
    <row r="63" spans="1:10" x14ac:dyDescent="0.25">
      <c r="A63" s="35" t="s">
        <v>55</v>
      </c>
      <c r="B63" s="35"/>
      <c r="C63" s="2" t="s">
        <v>2</v>
      </c>
      <c r="D63" s="2" t="s">
        <v>261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5" t="s">
        <v>59</v>
      </c>
      <c r="B64" s="35"/>
      <c r="C64" s="16">
        <v>110.13</v>
      </c>
      <c r="D64" s="16">
        <v>89.69</v>
      </c>
      <c r="E64" s="16">
        <v>91.53</v>
      </c>
      <c r="F64" s="16">
        <v>56.73</v>
      </c>
    </row>
    <row r="65" spans="1:6" x14ac:dyDescent="0.25">
      <c r="A65" s="35" t="s">
        <v>60</v>
      </c>
      <c r="B65" s="35"/>
      <c r="C65" s="16">
        <v>37.89</v>
      </c>
      <c r="D65" s="16">
        <v>50.42</v>
      </c>
      <c r="E65" s="16">
        <v>63.89</v>
      </c>
      <c r="F65" s="16">
        <v>64.47</v>
      </c>
    </row>
    <row r="66" spans="1:6" x14ac:dyDescent="0.25">
      <c r="A66" s="35" t="s">
        <v>61</v>
      </c>
      <c r="B66" s="35"/>
      <c r="C66" s="16">
        <v>199.59</v>
      </c>
      <c r="D66" s="16">
        <v>259.89999999999998</v>
      </c>
      <c r="E66" s="16">
        <v>291.85000000000002</v>
      </c>
      <c r="F66" s="16">
        <v>285.41000000000003</v>
      </c>
    </row>
    <row r="67" spans="1:6" x14ac:dyDescent="0.25">
      <c r="A67" s="35" t="s">
        <v>62</v>
      </c>
      <c r="B67" s="35"/>
      <c r="C67" s="16">
        <v>116.39</v>
      </c>
      <c r="D67" s="16">
        <v>110.07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67"/>
  <sheetViews>
    <sheetView topLeftCell="A39" workbookViewId="0">
      <selection activeCell="A59" sqref="A59:B59"/>
    </sheetView>
  </sheetViews>
  <sheetFormatPr defaultRowHeight="15" x14ac:dyDescent="0.25"/>
  <cols>
    <col min="1" max="1" width="38.85546875" bestFit="1" customWidth="1"/>
    <col min="2" max="2" width="51.85546875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9.28515625" bestFit="1" customWidth="1"/>
    <col min="7" max="7" width="17.5703125" bestFit="1" customWidth="1"/>
    <col min="8" max="8" width="16.42578125" bestFit="1" customWidth="1"/>
    <col min="9" max="9" width="10.5703125" bestFit="1" customWidth="1"/>
    <col min="10" max="10" width="11.7109375" bestFit="1" customWidth="1"/>
    <col min="16" max="16" width="8.140625" hidden="1" customWidth="1"/>
  </cols>
  <sheetData>
    <row r="2" spans="1:16" ht="18.75" x14ac:dyDescent="0.3">
      <c r="A2" s="1" t="s">
        <v>0</v>
      </c>
      <c r="B2" s="8" t="s">
        <v>88</v>
      </c>
    </row>
    <row r="3" spans="1:16" x14ac:dyDescent="0.25">
      <c r="A3" s="1" t="s">
        <v>2</v>
      </c>
      <c r="B3" t="s">
        <v>3</v>
      </c>
    </row>
    <row r="4" spans="1:16" x14ac:dyDescent="0.25">
      <c r="A4" s="1" t="s">
        <v>4</v>
      </c>
      <c r="B4">
        <v>3899</v>
      </c>
    </row>
    <row r="7" spans="1:16" x14ac:dyDescent="0.25">
      <c r="C7" s="1" t="s">
        <v>5</v>
      </c>
    </row>
    <row r="8" spans="1:16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t="s">
        <v>15</v>
      </c>
    </row>
    <row r="9" spans="1:16" x14ac:dyDescent="0.25">
      <c r="A9" t="s">
        <v>20</v>
      </c>
      <c r="B9" t="s">
        <v>67</v>
      </c>
      <c r="C9" s="9"/>
      <c r="D9" s="9"/>
      <c r="E9" s="9">
        <v>75</v>
      </c>
      <c r="F9" s="9"/>
      <c r="G9" s="9">
        <f t="shared" ref="G9:G40" si="0">SUM(C9:F9)</f>
        <v>75</v>
      </c>
      <c r="H9">
        <f t="shared" ref="H9:H40" si="1">ROUND(G9/3899,2)</f>
        <v>0.02</v>
      </c>
      <c r="I9" s="10">
        <f t="shared" ref="I9:I40" si="2">ROUND(G9/$G$49,3)</f>
        <v>0</v>
      </c>
      <c r="J9">
        <f t="shared" ref="J9:J38" si="3">ROUND(G9/P9-1,2)</f>
        <v>-0.54</v>
      </c>
      <c r="P9">
        <v>163</v>
      </c>
    </row>
    <row r="10" spans="1:16" x14ac:dyDescent="0.25">
      <c r="A10" t="s">
        <v>20</v>
      </c>
      <c r="B10" t="s">
        <v>21</v>
      </c>
      <c r="C10" s="9">
        <v>147320</v>
      </c>
      <c r="D10" s="9"/>
      <c r="E10" s="9">
        <v>19180</v>
      </c>
      <c r="F10" s="9"/>
      <c r="G10" s="9">
        <f t="shared" si="0"/>
        <v>166500</v>
      </c>
      <c r="H10">
        <f t="shared" si="1"/>
        <v>42.7</v>
      </c>
      <c r="I10" s="10">
        <f t="shared" si="2"/>
        <v>9.5000000000000001E-2</v>
      </c>
      <c r="J10">
        <f t="shared" si="3"/>
        <v>0.03</v>
      </c>
      <c r="P10">
        <v>161545</v>
      </c>
    </row>
    <row r="11" spans="1:16" x14ac:dyDescent="0.25">
      <c r="A11" t="s">
        <v>20</v>
      </c>
      <c r="B11" t="s">
        <v>22</v>
      </c>
      <c r="C11" s="9">
        <v>195780</v>
      </c>
      <c r="D11" s="9"/>
      <c r="E11" s="9"/>
      <c r="F11" s="9"/>
      <c r="G11" s="9">
        <f t="shared" si="0"/>
        <v>195780</v>
      </c>
      <c r="H11">
        <f t="shared" si="1"/>
        <v>50.21</v>
      </c>
      <c r="I11" s="10">
        <f t="shared" si="2"/>
        <v>0.111</v>
      </c>
      <c r="J11">
        <f t="shared" si="3"/>
        <v>-0.04</v>
      </c>
      <c r="P11">
        <v>204150</v>
      </c>
    </row>
    <row r="12" spans="1:16" x14ac:dyDescent="0.25">
      <c r="A12" t="s">
        <v>20</v>
      </c>
      <c r="B12" t="s">
        <v>79</v>
      </c>
      <c r="C12" s="9"/>
      <c r="D12" s="9"/>
      <c r="E12" s="9">
        <v>415</v>
      </c>
      <c r="F12" s="9"/>
      <c r="G12" s="9">
        <f t="shared" si="0"/>
        <v>415</v>
      </c>
      <c r="H12">
        <f t="shared" si="1"/>
        <v>0.11</v>
      </c>
      <c r="I12" s="10">
        <f t="shared" si="2"/>
        <v>0</v>
      </c>
      <c r="J12">
        <f t="shared" si="3"/>
        <v>0.48</v>
      </c>
      <c r="P12">
        <v>281</v>
      </c>
    </row>
    <row r="13" spans="1:16" x14ac:dyDescent="0.25">
      <c r="A13" t="s">
        <v>20</v>
      </c>
      <c r="B13" t="s">
        <v>42</v>
      </c>
      <c r="C13" s="9"/>
      <c r="D13" s="9"/>
      <c r="E13" s="9">
        <v>447</v>
      </c>
      <c r="F13" s="9"/>
      <c r="G13" s="9">
        <f t="shared" si="0"/>
        <v>447</v>
      </c>
      <c r="H13">
        <f t="shared" si="1"/>
        <v>0.11</v>
      </c>
      <c r="I13" s="10">
        <f t="shared" si="2"/>
        <v>0</v>
      </c>
      <c r="J13">
        <f t="shared" si="3"/>
        <v>-0.01</v>
      </c>
      <c r="P13">
        <v>451</v>
      </c>
    </row>
    <row r="14" spans="1:16" x14ac:dyDescent="0.25">
      <c r="A14" t="s">
        <v>20</v>
      </c>
      <c r="B14" t="s">
        <v>23</v>
      </c>
      <c r="C14" s="9"/>
      <c r="D14" s="9"/>
      <c r="E14" s="9">
        <v>5000</v>
      </c>
      <c r="F14" s="9"/>
      <c r="G14" s="9">
        <f t="shared" si="0"/>
        <v>5000</v>
      </c>
      <c r="H14">
        <f t="shared" si="1"/>
        <v>1.28</v>
      </c>
      <c r="I14" s="10">
        <f t="shared" si="2"/>
        <v>3.0000000000000001E-3</v>
      </c>
      <c r="J14">
        <f t="shared" si="3"/>
        <v>1.84</v>
      </c>
      <c r="P14">
        <v>1760</v>
      </c>
    </row>
    <row r="15" spans="1:16" x14ac:dyDescent="0.25">
      <c r="A15" t="s">
        <v>20</v>
      </c>
      <c r="B15" t="s">
        <v>24</v>
      </c>
      <c r="C15" s="9"/>
      <c r="D15" s="9"/>
      <c r="E15" s="9">
        <v>95460</v>
      </c>
      <c r="F15" s="9"/>
      <c r="G15" s="9">
        <f t="shared" si="0"/>
        <v>95460</v>
      </c>
      <c r="H15">
        <f t="shared" si="1"/>
        <v>24.48</v>
      </c>
      <c r="I15" s="10">
        <f t="shared" si="2"/>
        <v>5.3999999999999999E-2</v>
      </c>
      <c r="J15">
        <f t="shared" si="3"/>
        <v>0.87</v>
      </c>
      <c r="P15">
        <v>51180</v>
      </c>
    </row>
    <row r="16" spans="1:16" x14ac:dyDescent="0.25">
      <c r="A16" t="s">
        <v>20</v>
      </c>
      <c r="B16" t="s">
        <v>25</v>
      </c>
      <c r="C16" s="9">
        <v>259410</v>
      </c>
      <c r="D16" s="9"/>
      <c r="E16" s="9">
        <v>12280</v>
      </c>
      <c r="F16" s="9"/>
      <c r="G16" s="9">
        <f t="shared" si="0"/>
        <v>271690</v>
      </c>
      <c r="H16">
        <f t="shared" si="1"/>
        <v>69.680000000000007</v>
      </c>
      <c r="I16" s="10">
        <f t="shared" si="2"/>
        <v>0.155</v>
      </c>
      <c r="J16">
        <f t="shared" si="3"/>
        <v>-0.02</v>
      </c>
      <c r="P16">
        <v>276245</v>
      </c>
    </row>
    <row r="17" spans="1:16" x14ac:dyDescent="0.25">
      <c r="A17" t="s">
        <v>20</v>
      </c>
      <c r="B17" t="s">
        <v>69</v>
      </c>
      <c r="C17" s="9"/>
      <c r="D17" s="9"/>
      <c r="E17" s="9">
        <v>6740</v>
      </c>
      <c r="F17" s="9"/>
      <c r="G17" s="9">
        <f t="shared" si="0"/>
        <v>6740</v>
      </c>
      <c r="H17">
        <f t="shared" si="1"/>
        <v>1.73</v>
      </c>
      <c r="I17" s="10">
        <f t="shared" si="2"/>
        <v>4.0000000000000001E-3</v>
      </c>
      <c r="J17">
        <f t="shared" si="3"/>
        <v>0.64</v>
      </c>
      <c r="P17">
        <v>4120</v>
      </c>
    </row>
    <row r="18" spans="1:16" x14ac:dyDescent="0.25">
      <c r="A18" t="s">
        <v>20</v>
      </c>
      <c r="B18" t="s">
        <v>26</v>
      </c>
      <c r="C18" s="9">
        <v>364580</v>
      </c>
      <c r="D18" s="9"/>
      <c r="E18" s="9"/>
      <c r="F18" s="9">
        <v>1720</v>
      </c>
      <c r="G18" s="9">
        <f t="shared" si="0"/>
        <v>366300</v>
      </c>
      <c r="H18">
        <f t="shared" si="1"/>
        <v>93.95</v>
      </c>
      <c r="I18" s="10">
        <f t="shared" si="2"/>
        <v>0.20899999999999999</v>
      </c>
      <c r="J18">
        <f t="shared" si="3"/>
        <v>0.04</v>
      </c>
      <c r="P18">
        <v>351110</v>
      </c>
    </row>
    <row r="19" spans="1:16" x14ac:dyDescent="0.25">
      <c r="A19" t="s">
        <v>20</v>
      </c>
      <c r="B19" t="s">
        <v>27</v>
      </c>
      <c r="C19" s="9"/>
      <c r="D19" s="9"/>
      <c r="E19" s="9">
        <v>1029</v>
      </c>
      <c r="F19" s="9"/>
      <c r="G19" s="9">
        <f t="shared" si="0"/>
        <v>1029</v>
      </c>
      <c r="H19">
        <f t="shared" si="1"/>
        <v>0.26</v>
      </c>
      <c r="I19" s="10">
        <f t="shared" si="2"/>
        <v>1E-3</v>
      </c>
      <c r="J19">
        <f t="shared" si="3"/>
        <v>0.7</v>
      </c>
      <c r="P19">
        <v>606</v>
      </c>
    </row>
    <row r="20" spans="1:16" x14ac:dyDescent="0.25">
      <c r="A20" t="s">
        <v>20</v>
      </c>
      <c r="B20" t="s">
        <v>28</v>
      </c>
      <c r="C20" s="9"/>
      <c r="D20" s="9"/>
      <c r="E20" s="9">
        <v>617</v>
      </c>
      <c r="F20" s="9"/>
      <c r="G20" s="9">
        <f t="shared" si="0"/>
        <v>617</v>
      </c>
      <c r="H20">
        <f t="shared" si="1"/>
        <v>0.16</v>
      </c>
      <c r="I20" s="10">
        <f t="shared" si="2"/>
        <v>0</v>
      </c>
      <c r="J20">
        <f t="shared" si="3"/>
        <v>3.75</v>
      </c>
      <c r="P20">
        <v>130</v>
      </c>
    </row>
    <row r="21" spans="1:16" x14ac:dyDescent="0.25">
      <c r="A21" t="s">
        <v>20</v>
      </c>
      <c r="B21" t="s">
        <v>29</v>
      </c>
      <c r="C21" s="9"/>
      <c r="D21" s="9"/>
      <c r="E21" s="9">
        <v>142</v>
      </c>
      <c r="F21" s="9"/>
      <c r="G21" s="9">
        <f t="shared" si="0"/>
        <v>142</v>
      </c>
      <c r="H21">
        <f t="shared" si="1"/>
        <v>0.04</v>
      </c>
      <c r="I21" s="10">
        <f t="shared" si="2"/>
        <v>0</v>
      </c>
      <c r="J21">
        <f t="shared" si="3"/>
        <v>-0.11</v>
      </c>
      <c r="P21">
        <v>160</v>
      </c>
    </row>
    <row r="22" spans="1:16" x14ac:dyDescent="0.25">
      <c r="A22" t="s">
        <v>20</v>
      </c>
      <c r="B22" t="s">
        <v>30</v>
      </c>
      <c r="C22" s="9"/>
      <c r="D22" s="9"/>
      <c r="E22" s="9">
        <v>3908</v>
      </c>
      <c r="F22" s="9"/>
      <c r="G22" s="9">
        <f t="shared" si="0"/>
        <v>3908</v>
      </c>
      <c r="H22">
        <f t="shared" si="1"/>
        <v>1</v>
      </c>
      <c r="I22" s="10">
        <f t="shared" si="2"/>
        <v>2E-3</v>
      </c>
      <c r="J22">
        <f t="shared" si="3"/>
        <v>0.21</v>
      </c>
      <c r="P22">
        <v>3220</v>
      </c>
    </row>
    <row r="23" spans="1:16" x14ac:dyDescent="0.25">
      <c r="A23" t="s">
        <v>20</v>
      </c>
      <c r="B23" t="s">
        <v>31</v>
      </c>
      <c r="C23" s="9"/>
      <c r="D23" s="9"/>
      <c r="E23" s="9">
        <v>1780</v>
      </c>
      <c r="F23" s="9"/>
      <c r="G23" s="9">
        <f t="shared" si="0"/>
        <v>1780</v>
      </c>
      <c r="H23">
        <f t="shared" si="1"/>
        <v>0.46</v>
      </c>
      <c r="I23" s="10">
        <f t="shared" si="2"/>
        <v>1E-3</v>
      </c>
      <c r="J23">
        <f t="shared" si="3"/>
        <v>-0.09</v>
      </c>
      <c r="P23">
        <v>1950</v>
      </c>
    </row>
    <row r="24" spans="1:16" x14ac:dyDescent="0.25">
      <c r="A24" t="s">
        <v>20</v>
      </c>
      <c r="B24" t="s">
        <v>32</v>
      </c>
      <c r="C24" s="9"/>
      <c r="D24" s="9"/>
      <c r="E24" s="9">
        <v>1300</v>
      </c>
      <c r="F24" s="9"/>
      <c r="G24" s="9">
        <f t="shared" si="0"/>
        <v>1300</v>
      </c>
      <c r="H24">
        <f t="shared" si="1"/>
        <v>0.33</v>
      </c>
      <c r="I24" s="10">
        <f t="shared" si="2"/>
        <v>1E-3</v>
      </c>
      <c r="J24">
        <f t="shared" si="3"/>
        <v>-0.04</v>
      </c>
      <c r="P24">
        <v>1350</v>
      </c>
    </row>
    <row r="25" spans="1:16" x14ac:dyDescent="0.25">
      <c r="A25" t="s">
        <v>20</v>
      </c>
      <c r="B25" t="s">
        <v>33</v>
      </c>
      <c r="C25" s="9"/>
      <c r="D25" s="9"/>
      <c r="E25" s="9">
        <v>3060</v>
      </c>
      <c r="F25" s="9"/>
      <c r="G25" s="9">
        <f t="shared" si="0"/>
        <v>3060</v>
      </c>
      <c r="H25">
        <f t="shared" si="1"/>
        <v>0.78</v>
      </c>
      <c r="I25" s="10">
        <f t="shared" si="2"/>
        <v>2E-3</v>
      </c>
      <c r="J25">
        <f t="shared" si="3"/>
        <v>0.52</v>
      </c>
      <c r="P25">
        <v>2015</v>
      </c>
    </row>
    <row r="26" spans="1:16" x14ac:dyDescent="0.25">
      <c r="A26" t="s">
        <v>20</v>
      </c>
      <c r="B26" t="s">
        <v>43</v>
      </c>
      <c r="C26" s="9"/>
      <c r="D26" s="9">
        <v>337</v>
      </c>
      <c r="E26" s="9"/>
      <c r="F26" s="9"/>
      <c r="G26" s="9">
        <f t="shared" si="0"/>
        <v>337</v>
      </c>
      <c r="H26">
        <f t="shared" si="1"/>
        <v>0.09</v>
      </c>
      <c r="I26" s="10">
        <f t="shared" si="2"/>
        <v>0</v>
      </c>
      <c r="J26">
        <f t="shared" si="3"/>
        <v>0.05</v>
      </c>
      <c r="P26">
        <v>322</v>
      </c>
    </row>
    <row r="27" spans="1:16" x14ac:dyDescent="0.25">
      <c r="A27" t="s">
        <v>20</v>
      </c>
      <c r="B27" t="s">
        <v>34</v>
      </c>
      <c r="C27" s="9"/>
      <c r="D27" s="9"/>
      <c r="E27" s="9">
        <v>220</v>
      </c>
      <c r="F27" s="9"/>
      <c r="G27" s="9">
        <f t="shared" si="0"/>
        <v>220</v>
      </c>
      <c r="H27">
        <f t="shared" si="1"/>
        <v>0.06</v>
      </c>
      <c r="I27" s="10">
        <f t="shared" si="2"/>
        <v>0</v>
      </c>
      <c r="J27">
        <f t="shared" si="3"/>
        <v>-0.57999999999999996</v>
      </c>
      <c r="P27">
        <v>518</v>
      </c>
    </row>
    <row r="28" spans="1:16" x14ac:dyDescent="0.25">
      <c r="A28" t="s">
        <v>20</v>
      </c>
      <c r="B28" t="s">
        <v>70</v>
      </c>
      <c r="C28" s="9"/>
      <c r="D28" s="9"/>
      <c r="E28" s="9">
        <v>100</v>
      </c>
      <c r="F28" s="9"/>
      <c r="G28" s="9">
        <f t="shared" si="0"/>
        <v>100</v>
      </c>
      <c r="H28">
        <f t="shared" si="1"/>
        <v>0.03</v>
      </c>
      <c r="I28" s="10">
        <f t="shared" si="2"/>
        <v>0</v>
      </c>
      <c r="J28">
        <f t="shared" si="3"/>
        <v>-0.95</v>
      </c>
      <c r="P28">
        <v>2210</v>
      </c>
    </row>
    <row r="29" spans="1:16" x14ac:dyDescent="0.25">
      <c r="A29" t="s">
        <v>20</v>
      </c>
      <c r="B29" t="s">
        <v>35</v>
      </c>
      <c r="C29" s="9"/>
      <c r="D29" s="9"/>
      <c r="E29" s="9">
        <v>3377</v>
      </c>
      <c r="F29" s="9"/>
      <c r="G29" s="9">
        <f t="shared" si="0"/>
        <v>3377</v>
      </c>
      <c r="H29">
        <f t="shared" si="1"/>
        <v>0.87</v>
      </c>
      <c r="I29" s="10">
        <f t="shared" si="2"/>
        <v>2E-3</v>
      </c>
      <c r="J29">
        <f t="shared" si="3"/>
        <v>0</v>
      </c>
      <c r="P29">
        <v>3386</v>
      </c>
    </row>
    <row r="30" spans="1:16" x14ac:dyDescent="0.25">
      <c r="A30" t="s">
        <v>20</v>
      </c>
      <c r="B30" t="s">
        <v>36</v>
      </c>
      <c r="C30" s="9"/>
      <c r="D30" s="9"/>
      <c r="E30" s="9">
        <v>11336</v>
      </c>
      <c r="F30" s="9"/>
      <c r="G30" s="9">
        <f t="shared" si="0"/>
        <v>11336</v>
      </c>
      <c r="H30">
        <f t="shared" si="1"/>
        <v>2.91</v>
      </c>
      <c r="I30" s="10">
        <f t="shared" si="2"/>
        <v>6.0000000000000001E-3</v>
      </c>
      <c r="J30">
        <f t="shared" si="3"/>
        <v>0.92</v>
      </c>
      <c r="P30">
        <v>5898</v>
      </c>
    </row>
    <row r="31" spans="1:16" x14ac:dyDescent="0.25">
      <c r="A31" t="s">
        <v>20</v>
      </c>
      <c r="B31" t="s">
        <v>41</v>
      </c>
      <c r="C31" s="9"/>
      <c r="D31" s="9"/>
      <c r="E31" s="9">
        <v>7717</v>
      </c>
      <c r="F31" s="9"/>
      <c r="G31" s="9">
        <f t="shared" si="0"/>
        <v>7717</v>
      </c>
      <c r="H31">
        <f t="shared" si="1"/>
        <v>1.98</v>
      </c>
      <c r="I31" s="10">
        <f t="shared" si="2"/>
        <v>4.0000000000000001E-3</v>
      </c>
      <c r="J31">
        <f t="shared" si="3"/>
        <v>-0.06</v>
      </c>
      <c r="P31">
        <v>8220</v>
      </c>
    </row>
    <row r="32" spans="1:16" x14ac:dyDescent="0.25">
      <c r="A32" t="s">
        <v>20</v>
      </c>
      <c r="B32" t="s">
        <v>37</v>
      </c>
      <c r="C32" s="9"/>
      <c r="D32" s="9"/>
      <c r="E32" s="9">
        <v>87580</v>
      </c>
      <c r="F32" s="9"/>
      <c r="G32" s="9">
        <f t="shared" si="0"/>
        <v>87580</v>
      </c>
      <c r="H32">
        <f t="shared" si="1"/>
        <v>22.46</v>
      </c>
      <c r="I32" s="10">
        <f t="shared" si="2"/>
        <v>0.05</v>
      </c>
      <c r="J32">
        <f t="shared" si="3"/>
        <v>0.15</v>
      </c>
      <c r="P32">
        <v>76050</v>
      </c>
    </row>
    <row r="33" spans="1:16" x14ac:dyDescent="0.25">
      <c r="A33" t="s">
        <v>20</v>
      </c>
      <c r="B33" t="s">
        <v>38</v>
      </c>
      <c r="C33" s="9"/>
      <c r="D33" s="9"/>
      <c r="E33" s="9">
        <v>7720</v>
      </c>
      <c r="F33" s="9"/>
      <c r="G33" s="9">
        <f t="shared" si="0"/>
        <v>7720</v>
      </c>
      <c r="H33">
        <f t="shared" si="1"/>
        <v>1.98</v>
      </c>
      <c r="I33" s="10">
        <f t="shared" si="2"/>
        <v>4.0000000000000001E-3</v>
      </c>
      <c r="J33">
        <f t="shared" si="3"/>
        <v>0.13</v>
      </c>
      <c r="P33">
        <v>6850</v>
      </c>
    </row>
    <row r="34" spans="1:16" x14ac:dyDescent="0.25">
      <c r="A34" t="s">
        <v>20</v>
      </c>
      <c r="B34" t="s">
        <v>39</v>
      </c>
      <c r="C34" s="9"/>
      <c r="D34" s="9"/>
      <c r="E34" s="9">
        <v>25240</v>
      </c>
      <c r="F34" s="9"/>
      <c r="G34" s="9">
        <f t="shared" si="0"/>
        <v>25240</v>
      </c>
      <c r="H34">
        <f t="shared" si="1"/>
        <v>6.47</v>
      </c>
      <c r="I34" s="10">
        <f t="shared" si="2"/>
        <v>1.4E-2</v>
      </c>
      <c r="J34">
        <f t="shared" si="3"/>
        <v>7.0000000000000007E-2</v>
      </c>
      <c r="P34">
        <v>23560</v>
      </c>
    </row>
    <row r="35" spans="1:16" x14ac:dyDescent="0.25">
      <c r="A35" t="s">
        <v>20</v>
      </c>
      <c r="B35" t="s">
        <v>40</v>
      </c>
      <c r="C35" s="9"/>
      <c r="D35" s="9"/>
      <c r="E35" s="9">
        <v>172840</v>
      </c>
      <c r="F35" s="9">
        <v>2640</v>
      </c>
      <c r="G35" s="9">
        <f t="shared" si="0"/>
        <v>175480</v>
      </c>
      <c r="H35">
        <f t="shared" si="1"/>
        <v>45.01</v>
      </c>
      <c r="I35" s="10">
        <f t="shared" si="2"/>
        <v>0.1</v>
      </c>
      <c r="J35">
        <f t="shared" si="3"/>
        <v>0.57999999999999996</v>
      </c>
      <c r="P35">
        <v>110800</v>
      </c>
    </row>
    <row r="36" spans="1:16" x14ac:dyDescent="0.25">
      <c r="A36" t="s">
        <v>44</v>
      </c>
      <c r="B36" t="s">
        <v>45</v>
      </c>
      <c r="C36" s="9">
        <v>228800</v>
      </c>
      <c r="D36" s="9"/>
      <c r="E36" s="9"/>
      <c r="F36" s="9">
        <v>1630</v>
      </c>
      <c r="G36" s="9">
        <f t="shared" si="0"/>
        <v>230430</v>
      </c>
      <c r="H36">
        <f t="shared" si="1"/>
        <v>59.1</v>
      </c>
      <c r="I36" s="10">
        <f t="shared" si="2"/>
        <v>0.13100000000000001</v>
      </c>
      <c r="J36">
        <f t="shared" si="3"/>
        <v>7.0000000000000007E-2</v>
      </c>
      <c r="P36">
        <v>215330</v>
      </c>
    </row>
    <row r="37" spans="1:16" x14ac:dyDescent="0.25">
      <c r="A37" t="s">
        <v>44</v>
      </c>
      <c r="B37" t="s">
        <v>47</v>
      </c>
      <c r="C37" s="9"/>
      <c r="D37" s="9"/>
      <c r="E37" s="9"/>
      <c r="F37" s="9">
        <v>39880</v>
      </c>
      <c r="G37" s="9">
        <f t="shared" si="0"/>
        <v>39880</v>
      </c>
      <c r="H37">
        <f t="shared" si="1"/>
        <v>10.23</v>
      </c>
      <c r="I37" s="10">
        <f t="shared" si="2"/>
        <v>2.3E-2</v>
      </c>
      <c r="J37">
        <f t="shared" si="3"/>
        <v>-0.24</v>
      </c>
      <c r="P37">
        <v>52340</v>
      </c>
    </row>
    <row r="38" spans="1:16" x14ac:dyDescent="0.25">
      <c r="A38" t="s">
        <v>44</v>
      </c>
      <c r="B38" t="s">
        <v>46</v>
      </c>
      <c r="C38" s="9"/>
      <c r="D38" s="9"/>
      <c r="E38" s="9">
        <v>46410</v>
      </c>
      <c r="F38" s="9"/>
      <c r="G38" s="9">
        <f t="shared" si="0"/>
        <v>46410</v>
      </c>
      <c r="H38">
        <f t="shared" si="1"/>
        <v>11.9</v>
      </c>
      <c r="I38" s="10">
        <f t="shared" si="2"/>
        <v>2.5999999999999999E-2</v>
      </c>
      <c r="J38">
        <f t="shared" si="3"/>
        <v>0.13</v>
      </c>
      <c r="P38">
        <v>40925</v>
      </c>
    </row>
    <row r="39" spans="1:16" x14ac:dyDescent="0.25">
      <c r="A39" t="s">
        <v>16</v>
      </c>
      <c r="B39" t="s">
        <v>19</v>
      </c>
      <c r="C39" s="9"/>
      <c r="D39" s="9"/>
      <c r="E39" s="9"/>
      <c r="F39" s="9"/>
      <c r="G39" s="9">
        <f t="shared" si="0"/>
        <v>0</v>
      </c>
      <c r="H39">
        <f t="shared" si="1"/>
        <v>0</v>
      </c>
      <c r="I39" s="10">
        <f t="shared" si="2"/>
        <v>0</v>
      </c>
      <c r="P39">
        <v>0</v>
      </c>
    </row>
    <row r="40" spans="1:16" x14ac:dyDescent="0.25">
      <c r="A40" t="s">
        <v>16</v>
      </c>
      <c r="B40" t="s">
        <v>66</v>
      </c>
      <c r="C40" s="9"/>
      <c r="D40" s="9"/>
      <c r="E40" s="9"/>
      <c r="F40" s="9"/>
      <c r="G40" s="9">
        <f t="shared" si="0"/>
        <v>0</v>
      </c>
      <c r="H40">
        <f t="shared" si="1"/>
        <v>0</v>
      </c>
      <c r="I40" s="10">
        <f t="shared" si="2"/>
        <v>0</v>
      </c>
      <c r="P40">
        <v>0</v>
      </c>
    </row>
    <row r="41" spans="1:16" x14ac:dyDescent="0.25">
      <c r="C41" s="9"/>
      <c r="D41" s="9"/>
      <c r="E41" s="9"/>
      <c r="F41" s="9"/>
      <c r="G41" s="9"/>
      <c r="I41" s="10"/>
    </row>
    <row r="42" spans="1:16" x14ac:dyDescent="0.25">
      <c r="C42" s="9"/>
      <c r="D42" s="9"/>
      <c r="E42" s="9"/>
      <c r="F42" s="9"/>
      <c r="G42" s="9"/>
      <c r="I42" s="10"/>
    </row>
    <row r="43" spans="1:16" x14ac:dyDescent="0.25">
      <c r="C43" s="9"/>
      <c r="D43" s="9"/>
      <c r="E43" s="9"/>
      <c r="F43" s="9"/>
      <c r="G43" s="9"/>
      <c r="I43" s="10"/>
    </row>
    <row r="44" spans="1:16" x14ac:dyDescent="0.25">
      <c r="C44" s="9"/>
      <c r="D44" s="9"/>
      <c r="E44" s="9"/>
      <c r="F44" s="9"/>
      <c r="G44" s="9"/>
      <c r="I44" s="10"/>
    </row>
    <row r="45" spans="1:16" x14ac:dyDescent="0.25">
      <c r="C45" s="9"/>
      <c r="D45" s="9"/>
      <c r="E45" s="9"/>
      <c r="F45" s="9"/>
      <c r="G45" s="9"/>
      <c r="I45" s="10"/>
    </row>
    <row r="46" spans="1:16" x14ac:dyDescent="0.25">
      <c r="C46" s="9"/>
      <c r="D46" s="9"/>
      <c r="E46" s="9"/>
      <c r="F46" s="9"/>
      <c r="G46" s="9"/>
      <c r="I46" s="10"/>
    </row>
    <row r="47" spans="1:16" x14ac:dyDescent="0.25">
      <c r="C47" s="9"/>
      <c r="D47" s="9"/>
      <c r="E47" s="9"/>
      <c r="F47" s="9"/>
      <c r="G47" s="9"/>
      <c r="I47" s="10"/>
    </row>
    <row r="48" spans="1:16" x14ac:dyDescent="0.25">
      <c r="C48" s="9"/>
      <c r="D48" s="9"/>
      <c r="E48" s="9"/>
      <c r="F48" s="9"/>
      <c r="G48" s="9"/>
      <c r="I48" s="10"/>
    </row>
    <row r="49" spans="1:10" x14ac:dyDescent="0.25">
      <c r="A49" s="11" t="s">
        <v>12</v>
      </c>
      <c r="C49" s="12">
        <f t="shared" ref="C49:H49" si="4">SUM(C8:C40)</f>
        <v>1195890</v>
      </c>
      <c r="D49" s="12">
        <f t="shared" si="4"/>
        <v>337</v>
      </c>
      <c r="E49" s="12">
        <f t="shared" si="4"/>
        <v>513973</v>
      </c>
      <c r="F49" s="12">
        <f t="shared" si="4"/>
        <v>45870</v>
      </c>
      <c r="G49" s="12">
        <f t="shared" si="4"/>
        <v>1756070</v>
      </c>
      <c r="H49" s="11">
        <f t="shared" si="4"/>
        <v>450.39000000000004</v>
      </c>
      <c r="I49" s="4"/>
    </row>
    <row r="50" spans="1:10" x14ac:dyDescent="0.25">
      <c r="A50" s="11" t="s">
        <v>14</v>
      </c>
      <c r="C50" s="13">
        <f>ROUND(C49/G49,2)</f>
        <v>0.68</v>
      </c>
      <c r="D50" s="13">
        <f>ROUND(D49/G49,2)</f>
        <v>0</v>
      </c>
      <c r="E50" s="13">
        <f>ROUND(E49/G49,2)</f>
        <v>0.28999999999999998</v>
      </c>
      <c r="F50" s="13">
        <f>ROUND(F49/G49,2)</f>
        <v>0.03</v>
      </c>
      <c r="G50" s="11"/>
      <c r="H50" s="11"/>
      <c r="I50" s="4"/>
    </row>
    <row r="51" spans="1:10" x14ac:dyDescent="0.25">
      <c r="A51" s="11" t="s">
        <v>48</v>
      </c>
      <c r="C51" s="11"/>
      <c r="D51" s="11"/>
      <c r="E51" s="11"/>
      <c r="F51" s="11"/>
      <c r="G51" s="11"/>
      <c r="H51" s="11"/>
      <c r="I51" s="4"/>
    </row>
    <row r="52" spans="1:10" x14ac:dyDescent="0.25">
      <c r="C52" s="3"/>
      <c r="D52" s="3"/>
      <c r="E52" s="3"/>
      <c r="F52" s="3"/>
      <c r="G52" s="3"/>
      <c r="H52" s="3"/>
      <c r="I52" s="4"/>
      <c r="J52" s="4"/>
    </row>
    <row r="53" spans="1:10" x14ac:dyDescent="0.25">
      <c r="A53" s="33" t="s">
        <v>6</v>
      </c>
      <c r="B53" s="33"/>
      <c r="C53" s="5" t="s">
        <v>8</v>
      </c>
      <c r="D53" s="5" t="s">
        <v>9</v>
      </c>
      <c r="E53" s="5" t="s">
        <v>10</v>
      </c>
      <c r="F53" s="5" t="s">
        <v>11</v>
      </c>
      <c r="G53" s="5" t="s">
        <v>12</v>
      </c>
      <c r="H53" s="5" t="s">
        <v>13</v>
      </c>
      <c r="I53" s="7"/>
      <c r="J53" s="7"/>
    </row>
    <row r="54" spans="1:10" x14ac:dyDescent="0.25">
      <c r="A54" s="33" t="s">
        <v>49</v>
      </c>
      <c r="B54" s="33"/>
      <c r="C54" s="15">
        <v>967090</v>
      </c>
      <c r="D54" s="15">
        <v>337</v>
      </c>
      <c r="E54" s="15">
        <v>467563</v>
      </c>
      <c r="F54" s="15">
        <v>4360</v>
      </c>
      <c r="G54" s="15">
        <f>SUM(C54:F54)</f>
        <v>1439350</v>
      </c>
      <c r="H54" s="17">
        <f>ROUND(G54/3899,2)</f>
        <v>369.16</v>
      </c>
      <c r="I54" s="4"/>
      <c r="J54" s="4"/>
    </row>
    <row r="55" spans="1:10" x14ac:dyDescent="0.25">
      <c r="A55" s="33" t="s">
        <v>50</v>
      </c>
      <c r="B55" s="33"/>
      <c r="C55" s="15">
        <v>228800</v>
      </c>
      <c r="D55" s="15">
        <v>0</v>
      </c>
      <c r="E55" s="15">
        <v>46410</v>
      </c>
      <c r="F55" s="15">
        <v>41510</v>
      </c>
      <c r="G55" s="15">
        <f>SUM(C55:F55)</f>
        <v>316720</v>
      </c>
      <c r="H55" s="17">
        <f>ROUND(G55/3899,2)</f>
        <v>81.23</v>
      </c>
      <c r="I55" s="4"/>
      <c r="J55" s="4"/>
    </row>
    <row r="56" spans="1:10" x14ac:dyDescent="0.25">
      <c r="A56" s="33" t="s">
        <v>51</v>
      </c>
      <c r="B56" s="33"/>
      <c r="C56" s="15">
        <v>0</v>
      </c>
      <c r="D56" s="15">
        <v>0</v>
      </c>
      <c r="E56" s="15">
        <v>0</v>
      </c>
      <c r="F56" s="15">
        <v>0</v>
      </c>
      <c r="G56" s="15">
        <f>SUM(C56:F56)</f>
        <v>0</v>
      </c>
      <c r="H56" s="17">
        <f>ROUND(G56/3899,2)</f>
        <v>0</v>
      </c>
      <c r="I56" s="4"/>
      <c r="J56" s="4"/>
    </row>
    <row r="57" spans="1:10" x14ac:dyDescent="0.25">
      <c r="C57" s="3"/>
      <c r="D57" s="3"/>
      <c r="E57" s="3"/>
      <c r="F57" s="3"/>
      <c r="G57" s="3"/>
      <c r="H57" s="3"/>
      <c r="I57" s="4"/>
      <c r="J57" s="4"/>
    </row>
    <row r="58" spans="1:10" x14ac:dyDescent="0.25">
      <c r="C58" s="3"/>
      <c r="D58" s="3"/>
      <c r="E58" s="3"/>
      <c r="F58" s="3"/>
      <c r="G58" s="3"/>
      <c r="H58" s="3"/>
      <c r="I58" s="4"/>
      <c r="J58" s="4"/>
    </row>
    <row r="59" spans="1:10" x14ac:dyDescent="0.25">
      <c r="A59" s="34" t="s">
        <v>269</v>
      </c>
      <c r="B59" s="34"/>
      <c r="C59" s="5" t="s">
        <v>2</v>
      </c>
      <c r="D59" s="5">
        <v>2022</v>
      </c>
      <c r="E59" s="5" t="s">
        <v>53</v>
      </c>
      <c r="F59" s="6"/>
      <c r="G59" s="6"/>
      <c r="H59" s="6"/>
      <c r="I59" s="7"/>
      <c r="J59" s="7"/>
    </row>
    <row r="60" spans="1:10" x14ac:dyDescent="0.25">
      <c r="A60" s="32" t="s">
        <v>52</v>
      </c>
      <c r="B60" s="32"/>
      <c r="C60" s="19">
        <f>ROUND(0.8544, 4)</f>
        <v>0.85440000000000005</v>
      </c>
      <c r="D60" s="19">
        <f>ROUND(0.8538, 4)</f>
        <v>0.8538</v>
      </c>
      <c r="E60" s="19">
        <f>ROUND(0.7768, 4)</f>
        <v>0.77680000000000005</v>
      </c>
      <c r="F60" s="3"/>
      <c r="G60" s="3"/>
      <c r="H60" s="3"/>
      <c r="I60" s="4"/>
      <c r="J60" s="4"/>
    </row>
    <row r="61" spans="1:10" x14ac:dyDescent="0.25">
      <c r="A61" s="32" t="s">
        <v>54</v>
      </c>
      <c r="B61" s="32"/>
      <c r="C61" s="19">
        <f>ROUND(0.8414, 4)</f>
        <v>0.84140000000000004</v>
      </c>
      <c r="D61" s="19">
        <f>ROUND(0.8404, 4)</f>
        <v>0.84040000000000004</v>
      </c>
      <c r="E61" s="19">
        <f>ROUND(0.7592, 4)</f>
        <v>0.75919999999999999</v>
      </c>
      <c r="F61" s="3"/>
      <c r="G61" s="3"/>
      <c r="H61" s="3"/>
      <c r="I61" s="4"/>
      <c r="J61" s="4"/>
    </row>
    <row r="62" spans="1:10" x14ac:dyDescent="0.25">
      <c r="C62" s="3"/>
      <c r="D62" s="3"/>
      <c r="E62" s="3"/>
      <c r="F62" s="3"/>
      <c r="G62" s="3"/>
      <c r="H62" s="3"/>
      <c r="I62" s="4"/>
      <c r="J62" s="4"/>
    </row>
    <row r="63" spans="1:10" x14ac:dyDescent="0.25">
      <c r="A63" s="32" t="s">
        <v>55</v>
      </c>
      <c r="B63" s="32"/>
      <c r="C63" s="2" t="s">
        <v>2</v>
      </c>
      <c r="D63" s="2" t="s">
        <v>89</v>
      </c>
      <c r="E63" s="2" t="s">
        <v>57</v>
      </c>
      <c r="F63" s="2" t="s">
        <v>58</v>
      </c>
      <c r="H63" s="1"/>
      <c r="I63" s="1"/>
      <c r="J63" s="1"/>
    </row>
    <row r="64" spans="1:10" x14ac:dyDescent="0.25">
      <c r="A64" s="32" t="s">
        <v>59</v>
      </c>
      <c r="B64" s="32"/>
      <c r="C64" s="16">
        <v>59.1</v>
      </c>
      <c r="D64" s="16">
        <v>64.42</v>
      </c>
      <c r="E64" s="16">
        <v>91.53</v>
      </c>
      <c r="F64" s="16">
        <v>56.73</v>
      </c>
    </row>
    <row r="65" spans="1:6" x14ac:dyDescent="0.25">
      <c r="A65" s="32" t="s">
        <v>60</v>
      </c>
      <c r="B65" s="32"/>
      <c r="C65" s="16">
        <v>93.95</v>
      </c>
      <c r="D65" s="16">
        <v>81.099999999999994</v>
      </c>
      <c r="E65" s="16">
        <v>63.89</v>
      </c>
      <c r="F65" s="16">
        <v>64.47</v>
      </c>
    </row>
    <row r="66" spans="1:6" x14ac:dyDescent="0.25">
      <c r="A66" s="32" t="s">
        <v>61</v>
      </c>
      <c r="B66" s="32"/>
      <c r="C66" s="16">
        <v>369.16</v>
      </c>
      <c r="D66" s="16">
        <v>351.44</v>
      </c>
      <c r="E66" s="16">
        <v>291.85000000000002</v>
      </c>
      <c r="F66" s="16">
        <v>285.41000000000003</v>
      </c>
    </row>
    <row r="67" spans="1:6" x14ac:dyDescent="0.25">
      <c r="A67" s="32" t="s">
        <v>62</v>
      </c>
      <c r="B67" s="32"/>
      <c r="C67" s="16">
        <v>81.23</v>
      </c>
      <c r="D67" s="16">
        <v>89.36</v>
      </c>
      <c r="E67" s="16">
        <v>115.16</v>
      </c>
      <c r="F67" s="16">
        <v>80.39</v>
      </c>
    </row>
  </sheetData>
  <mergeCells count="12">
    <mergeCell ref="A53:B53"/>
    <mergeCell ref="A54:B54"/>
    <mergeCell ref="A55:B55"/>
    <mergeCell ref="A56:B56"/>
    <mergeCell ref="A59:B59"/>
    <mergeCell ref="A66:B66"/>
    <mergeCell ref="A67:B67"/>
    <mergeCell ref="A60:B60"/>
    <mergeCell ref="A61:B61"/>
    <mergeCell ref="A63:B63"/>
    <mergeCell ref="A64:B64"/>
    <mergeCell ref="A65:B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81</vt:i4>
      </vt:variant>
    </vt:vector>
  </HeadingPairs>
  <TitlesOfParts>
    <vt:vector size="81" baseType="lpstr">
      <vt:lpstr>Legenda</vt:lpstr>
      <vt:lpstr>AMARO</vt:lpstr>
      <vt:lpstr>AMPEZZO</vt:lpstr>
      <vt:lpstr>ARTA TERME</vt:lpstr>
      <vt:lpstr>ARTEGNA</vt:lpstr>
      <vt:lpstr>BASILIANO</vt:lpstr>
      <vt:lpstr>BERTIOLO</vt:lpstr>
      <vt:lpstr>BORDANO</vt:lpstr>
      <vt:lpstr>BUTTRIO</vt:lpstr>
      <vt:lpstr>CAMINO AL TAGLIAMENTO</vt:lpstr>
      <vt:lpstr>CAMPOFORMIDO</vt:lpstr>
      <vt:lpstr>CAVAZZO CARNICO</vt:lpstr>
      <vt:lpstr>CERCIVENTO</vt:lpstr>
      <vt:lpstr>CODROIPO</vt:lpstr>
      <vt:lpstr>COLLOREDO DI MONTE ALBANO</vt:lpstr>
      <vt:lpstr>COMEGLIANS</vt:lpstr>
      <vt:lpstr>CORNO DI ROSAZZO</vt:lpstr>
      <vt:lpstr>COSEANO</vt:lpstr>
      <vt:lpstr>DIGNANO</vt:lpstr>
      <vt:lpstr>DOGNA</vt:lpstr>
      <vt:lpstr>ENEMONZO</vt:lpstr>
      <vt:lpstr>FAGAGNA</vt:lpstr>
      <vt:lpstr>FLAIBANO</vt:lpstr>
      <vt:lpstr>FORGARIA NEL FRIULI</vt:lpstr>
      <vt:lpstr>FORNI AVOLTRI</vt:lpstr>
      <vt:lpstr>FORNI DI SOPRA</vt:lpstr>
      <vt:lpstr>FORNI DI SOTTO</vt:lpstr>
      <vt:lpstr>GEMONA DEL FRIULI</vt:lpstr>
      <vt:lpstr>LAUCO</vt:lpstr>
      <vt:lpstr>LESTIZZA</vt:lpstr>
      <vt:lpstr>LUSEVERA</vt:lpstr>
      <vt:lpstr>MAGNANO IN RIVIERA</vt:lpstr>
      <vt:lpstr>MAJANO</vt:lpstr>
      <vt:lpstr>MARTIGNACCO</vt:lpstr>
      <vt:lpstr>MOGGIO UDINESE</vt:lpstr>
      <vt:lpstr>MOIMACCO</vt:lpstr>
      <vt:lpstr>MONTENARS</vt:lpstr>
      <vt:lpstr>MORTEGLIANO</vt:lpstr>
      <vt:lpstr>MORUZZO</vt:lpstr>
      <vt:lpstr>NIMIS</vt:lpstr>
      <vt:lpstr>OSOPPO</vt:lpstr>
      <vt:lpstr>OVARO</vt:lpstr>
      <vt:lpstr>PAGNACCO</vt:lpstr>
      <vt:lpstr>PALUZZA</vt:lpstr>
      <vt:lpstr>PASIAN DI PRATO</vt:lpstr>
      <vt:lpstr>PAULARO</vt:lpstr>
      <vt:lpstr>PAVIA DI UDINE</vt:lpstr>
      <vt:lpstr>POZZUOLO DEL FRIULI</vt:lpstr>
      <vt:lpstr>PRADAMANO</vt:lpstr>
      <vt:lpstr>PRATO CARNICO</vt:lpstr>
      <vt:lpstr>PREMARIACCO</vt:lpstr>
      <vt:lpstr>PREONE</vt:lpstr>
      <vt:lpstr>RAGOGNA</vt:lpstr>
      <vt:lpstr>RAVASCLETTO</vt:lpstr>
      <vt:lpstr>RAVEO</vt:lpstr>
      <vt:lpstr>REANA DEL ROJALE</vt:lpstr>
      <vt:lpstr>REMANZACCO</vt:lpstr>
      <vt:lpstr>RESIUTTA</vt:lpstr>
      <vt:lpstr>RIGOLATO</vt:lpstr>
      <vt:lpstr>RIVE D'ARCANO</vt:lpstr>
      <vt:lpstr>RIVIGNANO TEOR</vt:lpstr>
      <vt:lpstr>SAN DANIELE DEL FRIULI</vt:lpstr>
      <vt:lpstr>SAN DORLIGO DELLA VALLE</vt:lpstr>
      <vt:lpstr>SAN GIOVANNI AL NATISONE</vt:lpstr>
      <vt:lpstr>SAN VITO DI FAGAGNA</vt:lpstr>
      <vt:lpstr>SAPPADA</vt:lpstr>
      <vt:lpstr>SAURIS</vt:lpstr>
      <vt:lpstr>SEDEGLIANO</vt:lpstr>
      <vt:lpstr>SOCCHIEVE</vt:lpstr>
      <vt:lpstr>SUTRIO</vt:lpstr>
      <vt:lpstr>TAIPANA</vt:lpstr>
      <vt:lpstr>TARCENTO</vt:lpstr>
      <vt:lpstr>TOLMEZZO</vt:lpstr>
      <vt:lpstr>TRASAGHIS</vt:lpstr>
      <vt:lpstr>TREPPO GRANDE</vt:lpstr>
      <vt:lpstr>TREPPO LIGOSULLO</vt:lpstr>
      <vt:lpstr>VARMO</vt:lpstr>
      <vt:lpstr>VENZONE</vt:lpstr>
      <vt:lpstr>VERZEGNIS</vt:lpstr>
      <vt:lpstr>VILLA SANTINA</vt:lpstr>
      <vt:lpstr>ZUGLIO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Michela Dosualdo</cp:lastModifiedBy>
  <dcterms:created xsi:type="dcterms:W3CDTF">2024-03-20T15:24:48Z</dcterms:created>
  <dcterms:modified xsi:type="dcterms:W3CDTF">2024-03-21T11:43:59Z</dcterms:modified>
  <cp:category/>
</cp:coreProperties>
</file>