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O:\AREA COMUNICAZIONE\SITO INTERNET A&amp;T2000\RISULTATI RACCOLTA\2024\"/>
    </mc:Choice>
  </mc:AlternateContent>
  <xr:revisionPtr revIDLastSave="0" documentId="8_{14B1AEB6-5557-48BD-97DA-62109851C0D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MARO" sheetId="1" r:id="rId1"/>
    <sheet name="AMPEZZO" sheetId="2" r:id="rId2"/>
    <sheet name="ARTA TERME" sheetId="3" r:id="rId3"/>
    <sheet name="ARTEGNA" sheetId="4" r:id="rId4"/>
    <sheet name="BASILIANO" sheetId="5" r:id="rId5"/>
    <sheet name="BERTIOLO" sheetId="6" r:id="rId6"/>
    <sheet name="BORDANO" sheetId="7" r:id="rId7"/>
    <sheet name="BUTTRIO" sheetId="8" r:id="rId8"/>
    <sheet name="CAMINO AL TAGLIAMENTO" sheetId="9" r:id="rId9"/>
    <sheet name="CAMPOFORMIDO" sheetId="10" r:id="rId10"/>
    <sheet name="CAVAZZO CARNICO" sheetId="11" r:id="rId11"/>
    <sheet name="CERCIVENTO" sheetId="12" r:id="rId12"/>
    <sheet name="CODROIPO" sheetId="13" r:id="rId13"/>
    <sheet name="COLLOREDO DI MONTE ALBANO" sheetId="14" r:id="rId14"/>
    <sheet name="COMEGLIANS" sheetId="15" r:id="rId15"/>
    <sheet name="CORNO DI ROSAZZO" sheetId="16" r:id="rId16"/>
    <sheet name="COSEANO" sheetId="17" r:id="rId17"/>
    <sheet name="DIGNANO" sheetId="18" r:id="rId18"/>
    <sheet name="DOGNA" sheetId="19" r:id="rId19"/>
    <sheet name="ENEMONZO" sheetId="20" r:id="rId20"/>
    <sheet name="FAGAGNA" sheetId="21" r:id="rId21"/>
    <sheet name="FLAIBANO" sheetId="22" r:id="rId22"/>
    <sheet name="FORGARIA NEL FRIULI" sheetId="23" r:id="rId23"/>
    <sheet name="FORNI AVOLTRI" sheetId="24" r:id="rId24"/>
    <sheet name="FORNI DI SOPRA" sheetId="25" r:id="rId25"/>
    <sheet name="FORNI DI SOTTO" sheetId="26" r:id="rId26"/>
    <sheet name="GEMONA DEL FRIULI" sheetId="27" r:id="rId27"/>
    <sheet name="LAUCO" sheetId="28" r:id="rId28"/>
    <sheet name="LESTIZZA" sheetId="29" r:id="rId29"/>
    <sheet name="LUSEVERA" sheetId="30" r:id="rId30"/>
    <sheet name="MAGNANO IN RIVIERA" sheetId="31" r:id="rId31"/>
    <sheet name="MAJANO" sheetId="32" r:id="rId32"/>
    <sheet name="MARTIGNACCO" sheetId="33" r:id="rId33"/>
    <sheet name="MOGGIO UDINESE" sheetId="34" r:id="rId34"/>
    <sheet name="MOIMACCO" sheetId="35" r:id="rId35"/>
    <sheet name="MONTENARS" sheetId="36" r:id="rId36"/>
    <sheet name="MORTEGLIANO" sheetId="37" r:id="rId37"/>
    <sheet name="MORUZZO" sheetId="38" r:id="rId38"/>
    <sheet name="NIMIS" sheetId="39" r:id="rId39"/>
    <sheet name="OSOPPO" sheetId="40" r:id="rId40"/>
    <sheet name="OVARO" sheetId="41" r:id="rId41"/>
    <sheet name="PAGNACCO" sheetId="42" r:id="rId42"/>
    <sheet name="PALUZZA" sheetId="43" r:id="rId43"/>
    <sheet name="PASIAN DI PRATO" sheetId="44" r:id="rId44"/>
    <sheet name="PAULARO" sheetId="45" r:id="rId45"/>
    <sheet name="PAVIA DI UDINE" sheetId="46" r:id="rId46"/>
    <sheet name="POZZUOLO DEL FRIULI" sheetId="47" r:id="rId47"/>
    <sheet name="PRADAMANO" sheetId="48" r:id="rId48"/>
    <sheet name="PRATO CARNICO" sheetId="49" r:id="rId49"/>
    <sheet name="PREMARIACCO" sheetId="50" r:id="rId50"/>
    <sheet name="PREONE" sheetId="51" r:id="rId51"/>
    <sheet name="RAGOGNA" sheetId="52" r:id="rId52"/>
    <sheet name="RAVASCLETTO" sheetId="53" r:id="rId53"/>
    <sheet name="RAVEO" sheetId="54" r:id="rId54"/>
    <sheet name="REANA DEL ROJALE" sheetId="55" r:id="rId55"/>
    <sheet name="REMANZACCO" sheetId="56" r:id="rId56"/>
    <sheet name="RESIUTTA" sheetId="57" r:id="rId57"/>
    <sheet name="RIGOLATO" sheetId="58" r:id="rId58"/>
    <sheet name="RIVE D'ARCANO" sheetId="59" r:id="rId59"/>
    <sheet name="RIVIGNANO TEOR" sheetId="60" r:id="rId60"/>
    <sheet name="SAN DANIELE DEL FRIULI" sheetId="61" r:id="rId61"/>
    <sheet name="SAN DORLIGO DELLA VALLE" sheetId="62" r:id="rId62"/>
    <sheet name="SAN GIOVANNI AL NATISONE" sheetId="63" r:id="rId63"/>
    <sheet name="SAN VITO DI FAGAGNA" sheetId="64" r:id="rId64"/>
    <sheet name="SAPPADA" sheetId="65" r:id="rId65"/>
    <sheet name="SAURIS" sheetId="66" r:id="rId66"/>
    <sheet name="SEDEGLIANO" sheetId="67" r:id="rId67"/>
    <sheet name="SOCCHIEVE" sheetId="68" r:id="rId68"/>
    <sheet name="SUTRIO" sheetId="69" r:id="rId69"/>
    <sheet name="TAIPANA" sheetId="70" r:id="rId70"/>
    <sheet name="TARCENTO" sheetId="71" r:id="rId71"/>
    <sheet name="TOLMEZZO" sheetId="72" r:id="rId72"/>
    <sheet name="TRASAGHIS" sheetId="73" r:id="rId73"/>
    <sheet name="TREPPO GRANDE" sheetId="74" r:id="rId74"/>
    <sheet name="TREPPO LIGOSULLO" sheetId="75" r:id="rId75"/>
    <sheet name="VARMO" sheetId="76" r:id="rId76"/>
    <sheet name="VENZONE" sheetId="77" r:id="rId77"/>
    <sheet name="VERZEGNIS" sheetId="78" r:id="rId78"/>
    <sheet name="VILLA SANTINA" sheetId="79" r:id="rId79"/>
    <sheet name="ZUGLIO" sheetId="80" r:id="rId8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1" i="80" l="1"/>
  <c r="G60" i="80"/>
  <c r="G59" i="80"/>
  <c r="G58" i="80"/>
  <c r="E53" i="80"/>
  <c r="D53" i="80"/>
  <c r="C53" i="80"/>
  <c r="E52" i="80"/>
  <c r="D52" i="80"/>
  <c r="C52" i="80"/>
  <c r="G46" i="80"/>
  <c r="H46" i="80" s="1"/>
  <c r="H45" i="80"/>
  <c r="G45" i="80"/>
  <c r="G44" i="80"/>
  <c r="H44" i="80" s="1"/>
  <c r="F37" i="80"/>
  <c r="E37" i="80"/>
  <c r="D37" i="80"/>
  <c r="C37" i="80"/>
  <c r="G36" i="80"/>
  <c r="H35" i="80"/>
  <c r="G35" i="80"/>
  <c r="J34" i="80"/>
  <c r="G34" i="80"/>
  <c r="H34" i="80" s="1"/>
  <c r="J33" i="80"/>
  <c r="H33" i="80"/>
  <c r="G33" i="80"/>
  <c r="H32" i="80"/>
  <c r="G32" i="80"/>
  <c r="H31" i="80"/>
  <c r="G31" i="80"/>
  <c r="G30" i="80"/>
  <c r="J29" i="80"/>
  <c r="G29" i="80"/>
  <c r="G28" i="80"/>
  <c r="J28" i="80" s="1"/>
  <c r="J27" i="80"/>
  <c r="G27" i="80"/>
  <c r="G26" i="80"/>
  <c r="J26" i="80" s="1"/>
  <c r="G25" i="80"/>
  <c r="G24" i="80"/>
  <c r="J24" i="80" s="1"/>
  <c r="G23" i="80"/>
  <c r="H22" i="80"/>
  <c r="G22" i="80"/>
  <c r="H21" i="80"/>
  <c r="G21" i="80"/>
  <c r="G20" i="80"/>
  <c r="J20" i="80" s="1"/>
  <c r="G19" i="80"/>
  <c r="G18" i="80"/>
  <c r="G17" i="80"/>
  <c r="J17" i="80" s="1"/>
  <c r="G16" i="80"/>
  <c r="H16" i="80" s="1"/>
  <c r="J15" i="80"/>
  <c r="H15" i="80"/>
  <c r="G15" i="80"/>
  <c r="J14" i="80"/>
  <c r="G14" i="80"/>
  <c r="H14" i="80" s="1"/>
  <c r="G13" i="80"/>
  <c r="H13" i="80" s="1"/>
  <c r="J12" i="80"/>
  <c r="H12" i="80"/>
  <c r="G12" i="80"/>
  <c r="G11" i="80"/>
  <c r="J11" i="80" s="1"/>
  <c r="J10" i="80"/>
  <c r="H10" i="80"/>
  <c r="G10" i="80"/>
  <c r="H9" i="80"/>
  <c r="G9" i="80"/>
  <c r="G66" i="79"/>
  <c r="G65" i="79"/>
  <c r="G64" i="79"/>
  <c r="G63" i="79"/>
  <c r="E58" i="79"/>
  <c r="D58" i="79"/>
  <c r="C58" i="79"/>
  <c r="E57" i="79"/>
  <c r="D57" i="79"/>
  <c r="C57" i="79"/>
  <c r="G51" i="79"/>
  <c r="H51" i="79" s="1"/>
  <c r="G50" i="79"/>
  <c r="H50" i="79" s="1"/>
  <c r="H49" i="79"/>
  <c r="G49" i="79"/>
  <c r="C43" i="79"/>
  <c r="F42" i="79"/>
  <c r="F43" i="79" s="1"/>
  <c r="E42" i="79"/>
  <c r="D42" i="79"/>
  <c r="C42" i="79"/>
  <c r="H41" i="79"/>
  <c r="G41" i="79"/>
  <c r="H40" i="79"/>
  <c r="G40" i="79"/>
  <c r="I40" i="79" s="1"/>
  <c r="G39" i="79"/>
  <c r="H39" i="79" s="1"/>
  <c r="H38" i="79"/>
  <c r="G38" i="79"/>
  <c r="G37" i="79"/>
  <c r="H37" i="79" s="1"/>
  <c r="H36" i="79"/>
  <c r="G36" i="79"/>
  <c r="J36" i="79" s="1"/>
  <c r="I35" i="79"/>
  <c r="G35" i="79"/>
  <c r="J35" i="79" s="1"/>
  <c r="G34" i="79"/>
  <c r="G33" i="79"/>
  <c r="H32" i="79"/>
  <c r="G32" i="79"/>
  <c r="J31" i="79"/>
  <c r="I31" i="79"/>
  <c r="H31" i="79"/>
  <c r="G31" i="79"/>
  <c r="J30" i="79"/>
  <c r="H30" i="79"/>
  <c r="G30" i="79"/>
  <c r="J29" i="79"/>
  <c r="H29" i="79"/>
  <c r="G29" i="79"/>
  <c r="J28" i="79"/>
  <c r="H28" i="79"/>
  <c r="G28" i="79"/>
  <c r="J27" i="79"/>
  <c r="H27" i="79"/>
  <c r="G27" i="79"/>
  <c r="J26" i="79"/>
  <c r="H26" i="79"/>
  <c r="G26" i="79"/>
  <c r="J25" i="79"/>
  <c r="H25" i="79"/>
  <c r="G25" i="79"/>
  <c r="J24" i="79"/>
  <c r="H24" i="79"/>
  <c r="G24" i="79"/>
  <c r="J23" i="79"/>
  <c r="H23" i="79"/>
  <c r="G23" i="79"/>
  <c r="J22" i="79"/>
  <c r="H22" i="79"/>
  <c r="G22" i="79"/>
  <c r="J21" i="79"/>
  <c r="H21" i="79"/>
  <c r="G21" i="79"/>
  <c r="J20" i="79"/>
  <c r="H20" i="79"/>
  <c r="G20" i="79"/>
  <c r="J19" i="79"/>
  <c r="H19" i="79"/>
  <c r="G19" i="79"/>
  <c r="J18" i="79"/>
  <c r="H18" i="79"/>
  <c r="G18" i="79"/>
  <c r="J17" i="79"/>
  <c r="I17" i="79"/>
  <c r="H17" i="79"/>
  <c r="G17" i="79"/>
  <c r="J16" i="79"/>
  <c r="H16" i="79"/>
  <c r="G16" i="79"/>
  <c r="J15" i="79"/>
  <c r="I15" i="79"/>
  <c r="H15" i="79"/>
  <c r="G15" i="79"/>
  <c r="J14" i="79"/>
  <c r="H14" i="79"/>
  <c r="G14" i="79"/>
  <c r="J13" i="79"/>
  <c r="H13" i="79"/>
  <c r="G13" i="79"/>
  <c r="J12" i="79"/>
  <c r="H12" i="79"/>
  <c r="G12" i="79"/>
  <c r="J11" i="79"/>
  <c r="H11" i="79"/>
  <c r="G11" i="79"/>
  <c r="J10" i="79"/>
  <c r="H10" i="79"/>
  <c r="G10" i="79"/>
  <c r="J9" i="79"/>
  <c r="H9" i="79"/>
  <c r="G9" i="79"/>
  <c r="G42" i="79" s="1"/>
  <c r="G64" i="78"/>
  <c r="G63" i="78"/>
  <c r="G62" i="78"/>
  <c r="G61" i="78"/>
  <c r="E56" i="78"/>
  <c r="D56" i="78"/>
  <c r="C56" i="78"/>
  <c r="E55" i="78"/>
  <c r="D55" i="78"/>
  <c r="C55" i="78"/>
  <c r="H49" i="78"/>
  <c r="G49" i="78"/>
  <c r="G48" i="78"/>
  <c r="H48" i="78" s="1"/>
  <c r="H47" i="78"/>
  <c r="G47" i="78"/>
  <c r="G40" i="78"/>
  <c r="F40" i="78"/>
  <c r="E40" i="78"/>
  <c r="D40" i="78"/>
  <c r="C40" i="78"/>
  <c r="G39" i="78"/>
  <c r="G38" i="78"/>
  <c r="H37" i="78"/>
  <c r="G37" i="78"/>
  <c r="J36" i="78"/>
  <c r="H36" i="78"/>
  <c r="G36" i="78"/>
  <c r="J35" i="78"/>
  <c r="H35" i="78"/>
  <c r="G35" i="78"/>
  <c r="J34" i="78"/>
  <c r="H34" i="78"/>
  <c r="G34" i="78"/>
  <c r="J33" i="78"/>
  <c r="H33" i="78"/>
  <c r="G33" i="78"/>
  <c r="J32" i="78"/>
  <c r="I32" i="78"/>
  <c r="H32" i="78"/>
  <c r="G32" i="78"/>
  <c r="J31" i="78"/>
  <c r="H31" i="78"/>
  <c r="G31" i="78"/>
  <c r="J30" i="78"/>
  <c r="I30" i="78"/>
  <c r="H30" i="78"/>
  <c r="G30" i="78"/>
  <c r="J29" i="78"/>
  <c r="H29" i="78"/>
  <c r="G29" i="78"/>
  <c r="J28" i="78"/>
  <c r="H28" i="78"/>
  <c r="G28" i="78"/>
  <c r="J27" i="78"/>
  <c r="H27" i="78"/>
  <c r="G27" i="78"/>
  <c r="H26" i="78"/>
  <c r="G26" i="78"/>
  <c r="H25" i="78"/>
  <c r="G25" i="78"/>
  <c r="I25" i="78" s="1"/>
  <c r="G24" i="78"/>
  <c r="I24" i="78" s="1"/>
  <c r="J23" i="78"/>
  <c r="G23" i="78"/>
  <c r="G22" i="78"/>
  <c r="J22" i="78" s="1"/>
  <c r="G21" i="78"/>
  <c r="H20" i="78"/>
  <c r="G20" i="78"/>
  <c r="H19" i="78"/>
  <c r="G19" i="78"/>
  <c r="G18" i="78"/>
  <c r="J18" i="78" s="1"/>
  <c r="G17" i="78"/>
  <c r="J16" i="78"/>
  <c r="H16" i="78"/>
  <c r="G16" i="78"/>
  <c r="I16" i="78" s="1"/>
  <c r="G15" i="78"/>
  <c r="J14" i="78"/>
  <c r="H14" i="78"/>
  <c r="G14" i="78"/>
  <c r="G13" i="78"/>
  <c r="G12" i="78"/>
  <c r="G11" i="78"/>
  <c r="J11" i="78" s="1"/>
  <c r="I10" i="78"/>
  <c r="H10" i="78"/>
  <c r="G10" i="78"/>
  <c r="G9" i="78"/>
  <c r="H9" i="78" s="1"/>
  <c r="G61" i="77"/>
  <c r="G60" i="77"/>
  <c r="G59" i="77"/>
  <c r="G58" i="77"/>
  <c r="E53" i="77"/>
  <c r="D53" i="77"/>
  <c r="C53" i="77"/>
  <c r="E52" i="77"/>
  <c r="D52" i="77"/>
  <c r="C52" i="77"/>
  <c r="H46" i="77"/>
  <c r="G46" i="77"/>
  <c r="G45" i="77"/>
  <c r="H45" i="77" s="1"/>
  <c r="G44" i="77"/>
  <c r="H44" i="77" s="1"/>
  <c r="F37" i="77"/>
  <c r="E37" i="77"/>
  <c r="D37" i="77"/>
  <c r="C37" i="77"/>
  <c r="C38" i="77" s="1"/>
  <c r="J36" i="77"/>
  <c r="G36" i="77"/>
  <c r="G35" i="77"/>
  <c r="J35" i="77" s="1"/>
  <c r="H34" i="77"/>
  <c r="G34" i="77"/>
  <c r="I33" i="77"/>
  <c r="G33" i="77"/>
  <c r="H33" i="77" s="1"/>
  <c r="G32" i="77"/>
  <c r="J31" i="77"/>
  <c r="H31" i="77"/>
  <c r="G31" i="77"/>
  <c r="G30" i="77"/>
  <c r="H29" i="77"/>
  <c r="G29" i="77"/>
  <c r="J28" i="77"/>
  <c r="H28" i="77"/>
  <c r="G28" i="77"/>
  <c r="J27" i="77"/>
  <c r="H27" i="77"/>
  <c r="G27" i="77"/>
  <c r="I26" i="77"/>
  <c r="G26" i="77"/>
  <c r="H26" i="77" s="1"/>
  <c r="H25" i="77"/>
  <c r="G25" i="77"/>
  <c r="J25" i="77" s="1"/>
  <c r="G24" i="77"/>
  <c r="J24" i="77" s="1"/>
  <c r="H23" i="77"/>
  <c r="G23" i="77"/>
  <c r="J23" i="77" s="1"/>
  <c r="G22" i="77"/>
  <c r="J22" i="77" s="1"/>
  <c r="H21" i="77"/>
  <c r="G21" i="77"/>
  <c r="J21" i="77" s="1"/>
  <c r="G20" i="77"/>
  <c r="J20" i="77" s="1"/>
  <c r="H19" i="77"/>
  <c r="G19" i="77"/>
  <c r="J19" i="77" s="1"/>
  <c r="I18" i="77"/>
  <c r="G18" i="77"/>
  <c r="J18" i="77" s="1"/>
  <c r="H17" i="77"/>
  <c r="G17" i="77"/>
  <c r="J17" i="77" s="1"/>
  <c r="G16" i="77"/>
  <c r="J16" i="77" s="1"/>
  <c r="H15" i="77"/>
  <c r="G15" i="77"/>
  <c r="J15" i="77" s="1"/>
  <c r="I14" i="77"/>
  <c r="G14" i="77"/>
  <c r="J14" i="77" s="1"/>
  <c r="H13" i="77"/>
  <c r="G13" i="77"/>
  <c r="J13" i="77" s="1"/>
  <c r="H12" i="77"/>
  <c r="G12" i="77"/>
  <c r="G11" i="77"/>
  <c r="J10" i="77"/>
  <c r="H10" i="77"/>
  <c r="G10" i="77"/>
  <c r="G9" i="77"/>
  <c r="G37" i="77" s="1"/>
  <c r="G68" i="76"/>
  <c r="G67" i="76"/>
  <c r="G66" i="76"/>
  <c r="G65" i="76"/>
  <c r="E60" i="76"/>
  <c r="D60" i="76"/>
  <c r="C60" i="76"/>
  <c r="E59" i="76"/>
  <c r="D59" i="76"/>
  <c r="C59" i="76"/>
  <c r="H53" i="76"/>
  <c r="G53" i="76"/>
  <c r="H52" i="76"/>
  <c r="G52" i="76"/>
  <c r="G51" i="76"/>
  <c r="H51" i="76" s="1"/>
  <c r="F44" i="76"/>
  <c r="E44" i="76"/>
  <c r="D44" i="76"/>
  <c r="C44" i="76"/>
  <c r="G43" i="76"/>
  <c r="H43" i="76" s="1"/>
  <c r="G42" i="76"/>
  <c r="G41" i="76"/>
  <c r="G40" i="76"/>
  <c r="J40" i="76" s="1"/>
  <c r="G39" i="76"/>
  <c r="G38" i="76"/>
  <c r="J38" i="76" s="1"/>
  <c r="H37" i="76"/>
  <c r="G37" i="76"/>
  <c r="J36" i="76"/>
  <c r="H36" i="76"/>
  <c r="G36" i="76"/>
  <c r="J35" i="76"/>
  <c r="H35" i="76"/>
  <c r="G35" i="76"/>
  <c r="J34" i="76"/>
  <c r="H34" i="76"/>
  <c r="G34" i="76"/>
  <c r="J33" i="76"/>
  <c r="H33" i="76"/>
  <c r="G33" i="76"/>
  <c r="J32" i="76"/>
  <c r="H32" i="76"/>
  <c r="G32" i="76"/>
  <c r="J31" i="76"/>
  <c r="H31" i="76"/>
  <c r="G31" i="76"/>
  <c r="G30" i="76"/>
  <c r="H30" i="76" s="1"/>
  <c r="H29" i="76"/>
  <c r="G29" i="76"/>
  <c r="J29" i="76" s="1"/>
  <c r="G28" i="76"/>
  <c r="J28" i="76" s="1"/>
  <c r="H27" i="76"/>
  <c r="G27" i="76"/>
  <c r="J27" i="76" s="1"/>
  <c r="G26" i="76"/>
  <c r="J26" i="76" s="1"/>
  <c r="H25" i="76"/>
  <c r="G25" i="76"/>
  <c r="J25" i="76" s="1"/>
  <c r="G24" i="76"/>
  <c r="J24" i="76" s="1"/>
  <c r="H23" i="76"/>
  <c r="G23" i="76"/>
  <c r="J23" i="76" s="1"/>
  <c r="H22" i="76"/>
  <c r="G22" i="76"/>
  <c r="G21" i="76"/>
  <c r="J20" i="76"/>
  <c r="H20" i="76"/>
  <c r="G20" i="76"/>
  <c r="G19" i="76"/>
  <c r="J18" i="76"/>
  <c r="H18" i="76"/>
  <c r="G18" i="76"/>
  <c r="G17" i="76"/>
  <c r="J16" i="76"/>
  <c r="H16" i="76"/>
  <c r="G16" i="76"/>
  <c r="G15" i="76"/>
  <c r="J14" i="76"/>
  <c r="H14" i="76"/>
  <c r="G14" i="76"/>
  <c r="G13" i="76"/>
  <c r="J12" i="76"/>
  <c r="H12" i="76"/>
  <c r="G12" i="76"/>
  <c r="G11" i="76"/>
  <c r="J10" i="76"/>
  <c r="H10" i="76"/>
  <c r="G10" i="76"/>
  <c r="H9" i="76"/>
  <c r="G9" i="76"/>
  <c r="G61" i="75"/>
  <c r="G60" i="75"/>
  <c r="G59" i="75"/>
  <c r="G58" i="75"/>
  <c r="E53" i="75"/>
  <c r="D53" i="75"/>
  <c r="C53" i="75"/>
  <c r="E52" i="75"/>
  <c r="D52" i="75"/>
  <c r="C52" i="75"/>
  <c r="H46" i="75"/>
  <c r="G46" i="75"/>
  <c r="H45" i="75"/>
  <c r="G45" i="75"/>
  <c r="H44" i="75"/>
  <c r="G44" i="75"/>
  <c r="F37" i="75"/>
  <c r="E37" i="75"/>
  <c r="D37" i="75"/>
  <c r="C37" i="75"/>
  <c r="G36" i="75"/>
  <c r="H36" i="75" s="1"/>
  <c r="G35" i="75"/>
  <c r="J34" i="75"/>
  <c r="H34" i="75"/>
  <c r="G34" i="75"/>
  <c r="J33" i="75"/>
  <c r="H33" i="75"/>
  <c r="G33" i="75"/>
  <c r="G32" i="75"/>
  <c r="H31" i="75"/>
  <c r="G31" i="75"/>
  <c r="H30" i="75"/>
  <c r="G30" i="75"/>
  <c r="H29" i="75"/>
  <c r="G29" i="75"/>
  <c r="G28" i="75"/>
  <c r="H28" i="75" s="1"/>
  <c r="H27" i="75"/>
  <c r="G27" i="75"/>
  <c r="G26" i="75"/>
  <c r="H26" i="75" s="1"/>
  <c r="H25" i="75"/>
  <c r="G25" i="75"/>
  <c r="J24" i="75"/>
  <c r="H24" i="75"/>
  <c r="G24" i="75"/>
  <c r="J23" i="75"/>
  <c r="H23" i="75"/>
  <c r="G23" i="75"/>
  <c r="G22" i="75"/>
  <c r="H22" i="75" s="1"/>
  <c r="G21" i="75"/>
  <c r="G20" i="75"/>
  <c r="G19" i="75"/>
  <c r="G18" i="75"/>
  <c r="H18" i="75" s="1"/>
  <c r="G17" i="75"/>
  <c r="J16" i="75"/>
  <c r="G16" i="75"/>
  <c r="H16" i="75" s="1"/>
  <c r="G15" i="75"/>
  <c r="G14" i="75"/>
  <c r="H13" i="75"/>
  <c r="G13" i="75"/>
  <c r="J12" i="75"/>
  <c r="H12" i="75"/>
  <c r="G12" i="75"/>
  <c r="J11" i="75"/>
  <c r="H11" i="75"/>
  <c r="G11" i="75"/>
  <c r="J10" i="75"/>
  <c r="H10" i="75"/>
  <c r="G10" i="75"/>
  <c r="J9" i="75"/>
  <c r="H9" i="75"/>
  <c r="G9" i="75"/>
  <c r="G43" i="74"/>
  <c r="G42" i="74"/>
  <c r="G41" i="74"/>
  <c r="G40" i="74"/>
  <c r="E35" i="74"/>
  <c r="D35" i="74"/>
  <c r="C35" i="74"/>
  <c r="E34" i="74"/>
  <c r="D34" i="74"/>
  <c r="C34" i="74"/>
  <c r="H28" i="74"/>
  <c r="G28" i="74"/>
  <c r="H27" i="74"/>
  <c r="G27" i="74"/>
  <c r="H26" i="74"/>
  <c r="G26" i="74"/>
  <c r="F19" i="74"/>
  <c r="E19" i="74"/>
  <c r="D19" i="74"/>
  <c r="C19" i="74"/>
  <c r="G18" i="74"/>
  <c r="H18" i="74" s="1"/>
  <c r="H17" i="74"/>
  <c r="G17" i="74"/>
  <c r="J16" i="74"/>
  <c r="H16" i="74"/>
  <c r="G16" i="74"/>
  <c r="G15" i="74"/>
  <c r="H15" i="74" s="1"/>
  <c r="G14" i="74"/>
  <c r="J14" i="74" s="1"/>
  <c r="G13" i="74"/>
  <c r="H12" i="74"/>
  <c r="G12" i="74"/>
  <c r="J12" i="74" s="1"/>
  <c r="G11" i="74"/>
  <c r="G10" i="74"/>
  <c r="J10" i="74" s="1"/>
  <c r="G9" i="74"/>
  <c r="G69" i="73"/>
  <c r="G68" i="73"/>
  <c r="G67" i="73"/>
  <c r="G66" i="73"/>
  <c r="E61" i="73"/>
  <c r="D61" i="73"/>
  <c r="C61" i="73"/>
  <c r="E60" i="73"/>
  <c r="D60" i="73"/>
  <c r="C60" i="73"/>
  <c r="G54" i="73"/>
  <c r="H54" i="73" s="1"/>
  <c r="G53" i="73"/>
  <c r="H53" i="73" s="1"/>
  <c r="G52" i="73"/>
  <c r="H52" i="73" s="1"/>
  <c r="F45" i="73"/>
  <c r="E45" i="73"/>
  <c r="D45" i="73"/>
  <c r="C45" i="73"/>
  <c r="H44" i="73"/>
  <c r="G44" i="73"/>
  <c r="G43" i="73"/>
  <c r="H43" i="73" s="1"/>
  <c r="H42" i="73"/>
  <c r="G42" i="73"/>
  <c r="G41" i="73"/>
  <c r="G40" i="73"/>
  <c r="G39" i="73"/>
  <c r="H39" i="73" s="1"/>
  <c r="G38" i="73"/>
  <c r="H37" i="73"/>
  <c r="G37" i="73"/>
  <c r="G36" i="73"/>
  <c r="H36" i="73" s="1"/>
  <c r="H35" i="73"/>
  <c r="G35" i="73"/>
  <c r="G34" i="73"/>
  <c r="G33" i="73"/>
  <c r="G32" i="73"/>
  <c r="H32" i="73" s="1"/>
  <c r="G31" i="73"/>
  <c r="J30" i="73"/>
  <c r="G30" i="73"/>
  <c r="H30" i="73" s="1"/>
  <c r="G29" i="73"/>
  <c r="G28" i="73"/>
  <c r="H28" i="73" s="1"/>
  <c r="J27" i="73"/>
  <c r="G27" i="73"/>
  <c r="H27" i="73" s="1"/>
  <c r="G26" i="73"/>
  <c r="H26" i="73" s="1"/>
  <c r="G25" i="73"/>
  <c r="J24" i="73"/>
  <c r="G24" i="73"/>
  <c r="H24" i="73" s="1"/>
  <c r="G23" i="73"/>
  <c r="H23" i="73" s="1"/>
  <c r="G22" i="73"/>
  <c r="J21" i="73"/>
  <c r="G21" i="73"/>
  <c r="H21" i="73" s="1"/>
  <c r="G20" i="73"/>
  <c r="H20" i="73" s="1"/>
  <c r="H19" i="73"/>
  <c r="G19" i="73"/>
  <c r="G18" i="73"/>
  <c r="G17" i="73"/>
  <c r="H16" i="73"/>
  <c r="G16" i="73"/>
  <c r="J16" i="73" s="1"/>
  <c r="H15" i="73"/>
  <c r="G15" i="73"/>
  <c r="J15" i="73" s="1"/>
  <c r="H14" i="73"/>
  <c r="G14" i="73"/>
  <c r="H13" i="73"/>
  <c r="G13" i="73"/>
  <c r="J13" i="73" s="1"/>
  <c r="G12" i="73"/>
  <c r="H11" i="73"/>
  <c r="G11" i="73"/>
  <c r="J11" i="73" s="1"/>
  <c r="G10" i="73"/>
  <c r="J10" i="73" s="1"/>
  <c r="H9" i="73"/>
  <c r="G9" i="73"/>
  <c r="J9" i="73" s="1"/>
  <c r="G71" i="72"/>
  <c r="G70" i="72"/>
  <c r="G69" i="72"/>
  <c r="G68" i="72"/>
  <c r="E63" i="72"/>
  <c r="D63" i="72"/>
  <c r="C63" i="72"/>
  <c r="E62" i="72"/>
  <c r="D62" i="72"/>
  <c r="C62" i="72"/>
  <c r="H56" i="72"/>
  <c r="G56" i="72"/>
  <c r="G55" i="72"/>
  <c r="H55" i="72" s="1"/>
  <c r="H54" i="72"/>
  <c r="G54" i="72"/>
  <c r="F47" i="72"/>
  <c r="E47" i="72"/>
  <c r="D47" i="72"/>
  <c r="C47" i="72"/>
  <c r="G46" i="72"/>
  <c r="H45" i="72"/>
  <c r="G45" i="72"/>
  <c r="G44" i="72"/>
  <c r="G43" i="72"/>
  <c r="J42" i="72"/>
  <c r="G42" i="72"/>
  <c r="G41" i="72"/>
  <c r="J40" i="72"/>
  <c r="G40" i="72"/>
  <c r="G39" i="72"/>
  <c r="H38" i="72"/>
  <c r="G38" i="72"/>
  <c r="H37" i="72"/>
  <c r="G37" i="72"/>
  <c r="G36" i="72"/>
  <c r="J35" i="72"/>
  <c r="G35" i="72"/>
  <c r="H34" i="72"/>
  <c r="G34" i="72"/>
  <c r="J33" i="72"/>
  <c r="G33" i="72"/>
  <c r="G32" i="72"/>
  <c r="J31" i="72"/>
  <c r="G31" i="72"/>
  <c r="G30" i="72"/>
  <c r="J29" i="72"/>
  <c r="G29" i="72"/>
  <c r="G28" i="72"/>
  <c r="J27" i="72"/>
  <c r="G27" i="72"/>
  <c r="G26" i="72"/>
  <c r="J25" i="72"/>
  <c r="G25" i="72"/>
  <c r="G24" i="72"/>
  <c r="J23" i="72"/>
  <c r="G23" i="72"/>
  <c r="G22" i="72"/>
  <c r="J21" i="72"/>
  <c r="G21" i="72"/>
  <c r="G20" i="72"/>
  <c r="J19" i="72"/>
  <c r="G19" i="72"/>
  <c r="H18" i="72"/>
  <c r="G18" i="72"/>
  <c r="J17" i="72"/>
  <c r="G17" i="72"/>
  <c r="G16" i="72"/>
  <c r="J15" i="72"/>
  <c r="G15" i="72"/>
  <c r="G14" i="72"/>
  <c r="J13" i="72"/>
  <c r="G13" i="72"/>
  <c r="G12" i="72"/>
  <c r="J11" i="72"/>
  <c r="G11" i="72"/>
  <c r="G10" i="72"/>
  <c r="J9" i="72"/>
  <c r="G9" i="72"/>
  <c r="G59" i="71"/>
  <c r="G58" i="71"/>
  <c r="G57" i="71"/>
  <c r="G56" i="71"/>
  <c r="E51" i="71"/>
  <c r="D51" i="71"/>
  <c r="C51" i="71"/>
  <c r="E50" i="71"/>
  <c r="D50" i="71"/>
  <c r="C50" i="71"/>
  <c r="G44" i="71"/>
  <c r="H44" i="71" s="1"/>
  <c r="H43" i="71"/>
  <c r="G43" i="71"/>
  <c r="G42" i="71"/>
  <c r="H42" i="71" s="1"/>
  <c r="F35" i="71"/>
  <c r="E35" i="71"/>
  <c r="D35" i="71"/>
  <c r="C35" i="71"/>
  <c r="I34" i="71"/>
  <c r="H34" i="71"/>
  <c r="G34" i="71"/>
  <c r="G33" i="71"/>
  <c r="J33" i="71" s="1"/>
  <c r="J32" i="71"/>
  <c r="H32" i="71"/>
  <c r="G32" i="71"/>
  <c r="G31" i="71"/>
  <c r="J31" i="71" s="1"/>
  <c r="J30" i="71"/>
  <c r="H30" i="71"/>
  <c r="G30" i="71"/>
  <c r="G29" i="71"/>
  <c r="J29" i="71" s="1"/>
  <c r="J28" i="71"/>
  <c r="H28" i="71"/>
  <c r="G28" i="71"/>
  <c r="G27" i="71"/>
  <c r="J27" i="71" s="1"/>
  <c r="J26" i="71"/>
  <c r="H26" i="71"/>
  <c r="G26" i="71"/>
  <c r="G25" i="71"/>
  <c r="J25" i="71" s="1"/>
  <c r="J24" i="71"/>
  <c r="H24" i="71"/>
  <c r="G24" i="71"/>
  <c r="G23" i="71"/>
  <c r="J23" i="71" s="1"/>
  <c r="J22" i="71"/>
  <c r="H22" i="71"/>
  <c r="G22" i="71"/>
  <c r="G21" i="71"/>
  <c r="J21" i="71" s="1"/>
  <c r="G20" i="71"/>
  <c r="J19" i="71"/>
  <c r="G19" i="71"/>
  <c r="I18" i="71"/>
  <c r="H18" i="71"/>
  <c r="G18" i="71"/>
  <c r="J18" i="71" s="1"/>
  <c r="J17" i="71"/>
  <c r="G17" i="71"/>
  <c r="G16" i="71"/>
  <c r="J16" i="71" s="1"/>
  <c r="J15" i="71"/>
  <c r="G15" i="71"/>
  <c r="I15" i="71" s="1"/>
  <c r="H14" i="71"/>
  <c r="G14" i="71"/>
  <c r="J14" i="71" s="1"/>
  <c r="J13" i="71"/>
  <c r="G13" i="71"/>
  <c r="H12" i="71"/>
  <c r="G12" i="71"/>
  <c r="J11" i="71"/>
  <c r="G11" i="71"/>
  <c r="H10" i="71"/>
  <c r="G10" i="71"/>
  <c r="J10" i="71" s="1"/>
  <c r="J9" i="71"/>
  <c r="G9" i="71"/>
  <c r="G35" i="71" s="1"/>
  <c r="G61" i="70"/>
  <c r="G60" i="70"/>
  <c r="G59" i="70"/>
  <c r="G58" i="70"/>
  <c r="E53" i="70"/>
  <c r="D53" i="70"/>
  <c r="C53" i="70"/>
  <c r="E52" i="70"/>
  <c r="D52" i="70"/>
  <c r="C52" i="70"/>
  <c r="H46" i="70"/>
  <c r="G46" i="70"/>
  <c r="H45" i="70"/>
  <c r="G45" i="70"/>
  <c r="G44" i="70"/>
  <c r="H44" i="70" s="1"/>
  <c r="F37" i="70"/>
  <c r="E37" i="70"/>
  <c r="D37" i="70"/>
  <c r="C37" i="70"/>
  <c r="H36" i="70"/>
  <c r="G36" i="70"/>
  <c r="G35" i="70"/>
  <c r="G34" i="70"/>
  <c r="J33" i="70"/>
  <c r="G33" i="70"/>
  <c r="H33" i="70" s="1"/>
  <c r="H32" i="70"/>
  <c r="G32" i="70"/>
  <c r="H31" i="70"/>
  <c r="G31" i="70"/>
  <c r="G30" i="70"/>
  <c r="J29" i="70"/>
  <c r="H29" i="70"/>
  <c r="G29" i="70"/>
  <c r="G28" i="70"/>
  <c r="J28" i="70" s="1"/>
  <c r="G27" i="70"/>
  <c r="J27" i="70" s="1"/>
  <c r="G26" i="70"/>
  <c r="H25" i="70"/>
  <c r="G25" i="70"/>
  <c r="J24" i="70"/>
  <c r="G24" i="70"/>
  <c r="H24" i="70" s="1"/>
  <c r="G23" i="70"/>
  <c r="H22" i="70"/>
  <c r="G22" i="70"/>
  <c r="G21" i="70"/>
  <c r="G20" i="70"/>
  <c r="J20" i="70" s="1"/>
  <c r="G19" i="70"/>
  <c r="J19" i="70" s="1"/>
  <c r="J18" i="70"/>
  <c r="H18" i="70"/>
  <c r="G18" i="70"/>
  <c r="G17" i="70"/>
  <c r="J17" i="70" s="1"/>
  <c r="G16" i="70"/>
  <c r="G15" i="70"/>
  <c r="J15" i="70" s="1"/>
  <c r="J14" i="70"/>
  <c r="H14" i="70"/>
  <c r="G14" i="70"/>
  <c r="G13" i="70"/>
  <c r="J13" i="70" s="1"/>
  <c r="J12" i="70"/>
  <c r="G12" i="70"/>
  <c r="H12" i="70" s="1"/>
  <c r="G11" i="70"/>
  <c r="J11" i="70" s="1"/>
  <c r="G10" i="70"/>
  <c r="G9" i="70"/>
  <c r="G69" i="69"/>
  <c r="G68" i="69"/>
  <c r="G67" i="69"/>
  <c r="G66" i="69"/>
  <c r="E61" i="69"/>
  <c r="D61" i="69"/>
  <c r="C61" i="69"/>
  <c r="E60" i="69"/>
  <c r="D60" i="69"/>
  <c r="C60" i="69"/>
  <c r="G54" i="69"/>
  <c r="H54" i="69" s="1"/>
  <c r="G53" i="69"/>
  <c r="H53" i="69" s="1"/>
  <c r="G52" i="69"/>
  <c r="H52" i="69" s="1"/>
  <c r="F45" i="69"/>
  <c r="E45" i="69"/>
  <c r="D45" i="69"/>
  <c r="C45" i="69"/>
  <c r="H44" i="69"/>
  <c r="G44" i="69"/>
  <c r="H43" i="69"/>
  <c r="G43" i="69"/>
  <c r="G42" i="69"/>
  <c r="H42" i="69" s="1"/>
  <c r="G41" i="69"/>
  <c r="H41" i="69" s="1"/>
  <c r="G40" i="69"/>
  <c r="J39" i="69"/>
  <c r="G39" i="69"/>
  <c r="H39" i="69" s="1"/>
  <c r="G38" i="69"/>
  <c r="H37" i="69"/>
  <c r="G37" i="69"/>
  <c r="G36" i="69"/>
  <c r="G35" i="69"/>
  <c r="J34" i="69"/>
  <c r="G34" i="69"/>
  <c r="H34" i="69" s="1"/>
  <c r="G33" i="69"/>
  <c r="J32" i="69"/>
  <c r="H32" i="69"/>
  <c r="G32" i="69"/>
  <c r="G31" i="69"/>
  <c r="J30" i="69"/>
  <c r="H30" i="69"/>
  <c r="G30" i="69"/>
  <c r="G29" i="69"/>
  <c r="J28" i="69"/>
  <c r="H28" i="69"/>
  <c r="G28" i="69"/>
  <c r="G27" i="69"/>
  <c r="J26" i="69"/>
  <c r="H26" i="69"/>
  <c r="G26" i="69"/>
  <c r="G25" i="69"/>
  <c r="J24" i="69"/>
  <c r="H24" i="69"/>
  <c r="G24" i="69"/>
  <c r="H23" i="69"/>
  <c r="G23" i="69"/>
  <c r="G22" i="69"/>
  <c r="J22" i="69" s="1"/>
  <c r="J21" i="69"/>
  <c r="H21" i="69"/>
  <c r="G21" i="69"/>
  <c r="J20" i="69"/>
  <c r="H20" i="69"/>
  <c r="G20" i="69"/>
  <c r="J19" i="69"/>
  <c r="H19" i="69"/>
  <c r="G19" i="69"/>
  <c r="J18" i="69"/>
  <c r="H18" i="69"/>
  <c r="G18" i="69"/>
  <c r="J17" i="69"/>
  <c r="H17" i="69"/>
  <c r="G17" i="69"/>
  <c r="J16" i="69"/>
  <c r="H16" i="69"/>
  <c r="G16" i="69"/>
  <c r="J15" i="69"/>
  <c r="H15" i="69"/>
  <c r="G15" i="69"/>
  <c r="J14" i="69"/>
  <c r="H14" i="69"/>
  <c r="G14" i="69"/>
  <c r="J13" i="69"/>
  <c r="H13" i="69"/>
  <c r="G13" i="69"/>
  <c r="J12" i="69"/>
  <c r="H12" i="69"/>
  <c r="G12" i="69"/>
  <c r="J11" i="69"/>
  <c r="H11" i="69"/>
  <c r="G11" i="69"/>
  <c r="J10" i="69"/>
  <c r="H10" i="69"/>
  <c r="G10" i="69"/>
  <c r="J9" i="69"/>
  <c r="H9" i="69"/>
  <c r="G9" i="69"/>
  <c r="G61" i="68"/>
  <c r="G60" i="68"/>
  <c r="G59" i="68"/>
  <c r="G58" i="68"/>
  <c r="E53" i="68"/>
  <c r="D53" i="68"/>
  <c r="C53" i="68"/>
  <c r="E52" i="68"/>
  <c r="D52" i="68"/>
  <c r="C52" i="68"/>
  <c r="H46" i="68"/>
  <c r="G46" i="68"/>
  <c r="G45" i="68"/>
  <c r="H45" i="68" s="1"/>
  <c r="H44" i="68"/>
  <c r="G44" i="68"/>
  <c r="F37" i="68"/>
  <c r="E37" i="68"/>
  <c r="D37" i="68"/>
  <c r="C37" i="68"/>
  <c r="G36" i="68"/>
  <c r="H36" i="68" s="1"/>
  <c r="H35" i="68"/>
  <c r="G35" i="68"/>
  <c r="J34" i="68"/>
  <c r="H34" i="68"/>
  <c r="G34" i="68"/>
  <c r="J33" i="68"/>
  <c r="H33" i="68"/>
  <c r="G33" i="68"/>
  <c r="G32" i="68"/>
  <c r="G31" i="68"/>
  <c r="G30" i="68"/>
  <c r="H30" i="68" s="1"/>
  <c r="H29" i="68"/>
  <c r="G29" i="68"/>
  <c r="J28" i="68"/>
  <c r="H28" i="68"/>
  <c r="G28" i="68"/>
  <c r="J27" i="68"/>
  <c r="H27" i="68"/>
  <c r="G27" i="68"/>
  <c r="J26" i="68"/>
  <c r="H26" i="68"/>
  <c r="G26" i="68"/>
  <c r="J25" i="68"/>
  <c r="H25" i="68"/>
  <c r="G25" i="68"/>
  <c r="J24" i="68"/>
  <c r="H24" i="68"/>
  <c r="G24" i="68"/>
  <c r="J23" i="68"/>
  <c r="H23" i="68"/>
  <c r="G23" i="68"/>
  <c r="G22" i="68"/>
  <c r="H21" i="68"/>
  <c r="G21" i="68"/>
  <c r="G20" i="68"/>
  <c r="G19" i="68"/>
  <c r="H19" i="68" s="1"/>
  <c r="H18" i="68"/>
  <c r="G18" i="68"/>
  <c r="J17" i="68"/>
  <c r="H17" i="68"/>
  <c r="G17" i="68"/>
  <c r="G16" i="68"/>
  <c r="H15" i="68"/>
  <c r="G15" i="68"/>
  <c r="G14" i="68"/>
  <c r="J14" i="68" s="1"/>
  <c r="G13" i="68"/>
  <c r="G12" i="68"/>
  <c r="H12" i="68" s="1"/>
  <c r="G11" i="68"/>
  <c r="J11" i="68" s="1"/>
  <c r="J10" i="68"/>
  <c r="G10" i="68"/>
  <c r="H10" i="68" s="1"/>
  <c r="H9" i="68"/>
  <c r="G9" i="68"/>
  <c r="G69" i="67"/>
  <c r="G68" i="67"/>
  <c r="G67" i="67"/>
  <c r="G66" i="67"/>
  <c r="E61" i="67"/>
  <c r="D61" i="67"/>
  <c r="C61" i="67"/>
  <c r="E60" i="67"/>
  <c r="D60" i="67"/>
  <c r="C60" i="67"/>
  <c r="H54" i="67"/>
  <c r="G54" i="67"/>
  <c r="H53" i="67"/>
  <c r="G53" i="67"/>
  <c r="H52" i="67"/>
  <c r="G52" i="67"/>
  <c r="F45" i="67"/>
  <c r="E45" i="67"/>
  <c r="D45" i="67"/>
  <c r="C45" i="67"/>
  <c r="G44" i="67"/>
  <c r="H44" i="67" s="1"/>
  <c r="H43" i="67"/>
  <c r="G43" i="67"/>
  <c r="J43" i="67" s="1"/>
  <c r="J42" i="67"/>
  <c r="G42" i="67"/>
  <c r="H42" i="67" s="1"/>
  <c r="H41" i="67"/>
  <c r="G41" i="67"/>
  <c r="J41" i="67" s="1"/>
  <c r="J40" i="67"/>
  <c r="G40" i="67"/>
  <c r="H40" i="67" s="1"/>
  <c r="H39" i="67"/>
  <c r="G39" i="67"/>
  <c r="G38" i="67"/>
  <c r="G37" i="67"/>
  <c r="J37" i="67" s="1"/>
  <c r="G36" i="67"/>
  <c r="H35" i="67"/>
  <c r="G35" i="67"/>
  <c r="H34" i="67"/>
  <c r="G34" i="67"/>
  <c r="J33" i="67"/>
  <c r="G33" i="67"/>
  <c r="H33" i="67" s="1"/>
  <c r="H32" i="67"/>
  <c r="G32" i="67"/>
  <c r="J32" i="67" s="1"/>
  <c r="J31" i="67"/>
  <c r="G31" i="67"/>
  <c r="H31" i="67" s="1"/>
  <c r="H30" i="67"/>
  <c r="G30" i="67"/>
  <c r="J30" i="67" s="1"/>
  <c r="H29" i="67"/>
  <c r="G29" i="67"/>
  <c r="J28" i="67"/>
  <c r="H28" i="67"/>
  <c r="G28" i="67"/>
  <c r="J27" i="67"/>
  <c r="H27" i="67"/>
  <c r="G27" i="67"/>
  <c r="J26" i="67"/>
  <c r="H26" i="67"/>
  <c r="G26" i="67"/>
  <c r="J25" i="67"/>
  <c r="H25" i="67"/>
  <c r="G25" i="67"/>
  <c r="J24" i="67"/>
  <c r="H24" i="67"/>
  <c r="G24" i="67"/>
  <c r="J23" i="67"/>
  <c r="H23" i="67"/>
  <c r="G23" i="67"/>
  <c r="G22" i="67"/>
  <c r="G21" i="67"/>
  <c r="G20" i="67"/>
  <c r="J20" i="67" s="1"/>
  <c r="G19" i="67"/>
  <c r="G18" i="67"/>
  <c r="J18" i="67" s="1"/>
  <c r="G17" i="67"/>
  <c r="G16" i="67"/>
  <c r="J16" i="67" s="1"/>
  <c r="H15" i="67"/>
  <c r="G15" i="67"/>
  <c r="G14" i="67"/>
  <c r="J14" i="67" s="1"/>
  <c r="G13" i="67"/>
  <c r="G12" i="67"/>
  <c r="J12" i="67" s="1"/>
  <c r="G11" i="67"/>
  <c r="J10" i="67"/>
  <c r="H10" i="67"/>
  <c r="G10" i="67"/>
  <c r="G9" i="67"/>
  <c r="G61" i="66"/>
  <c r="G60" i="66"/>
  <c r="G59" i="66"/>
  <c r="G58" i="66"/>
  <c r="E53" i="66"/>
  <c r="D53" i="66"/>
  <c r="C53" i="66"/>
  <c r="E52" i="66"/>
  <c r="D52" i="66"/>
  <c r="C52" i="66"/>
  <c r="H46" i="66"/>
  <c r="G46" i="66"/>
  <c r="H45" i="66"/>
  <c r="G45" i="66"/>
  <c r="G44" i="66"/>
  <c r="H44" i="66" s="1"/>
  <c r="F37" i="66"/>
  <c r="E37" i="66"/>
  <c r="D37" i="66"/>
  <c r="C37" i="66"/>
  <c r="G36" i="66"/>
  <c r="G35" i="66"/>
  <c r="J34" i="66"/>
  <c r="H34" i="66"/>
  <c r="G34" i="66"/>
  <c r="G33" i="66"/>
  <c r="G32" i="66"/>
  <c r="H32" i="66" s="1"/>
  <c r="H31" i="66"/>
  <c r="G31" i="66"/>
  <c r="G30" i="66"/>
  <c r="H29" i="66"/>
  <c r="G29" i="66"/>
  <c r="H28" i="66"/>
  <c r="G28" i="66"/>
  <c r="H27" i="66"/>
  <c r="G27" i="66"/>
  <c r="G26" i="66"/>
  <c r="H26" i="66" s="1"/>
  <c r="G25" i="66"/>
  <c r="G24" i="66"/>
  <c r="H24" i="66" s="1"/>
  <c r="H23" i="66"/>
  <c r="G23" i="66"/>
  <c r="H22" i="66"/>
  <c r="G22" i="66"/>
  <c r="G21" i="66"/>
  <c r="J21" i="66" s="1"/>
  <c r="G20" i="66"/>
  <c r="G19" i="66"/>
  <c r="H19" i="66" s="1"/>
  <c r="H18" i="66"/>
  <c r="G18" i="66"/>
  <c r="J18" i="66" s="1"/>
  <c r="H17" i="66"/>
  <c r="G17" i="66"/>
  <c r="J16" i="66"/>
  <c r="H16" i="66"/>
  <c r="G16" i="66"/>
  <c r="J15" i="66"/>
  <c r="H15" i="66"/>
  <c r="G15" i="66"/>
  <c r="J14" i="66"/>
  <c r="H14" i="66"/>
  <c r="G14" i="66"/>
  <c r="G13" i="66"/>
  <c r="G12" i="66"/>
  <c r="J12" i="66" s="1"/>
  <c r="H11" i="66"/>
  <c r="G11" i="66"/>
  <c r="G10" i="66"/>
  <c r="J10" i="66" s="1"/>
  <c r="G9" i="66"/>
  <c r="G66" i="65"/>
  <c r="G65" i="65"/>
  <c r="G64" i="65"/>
  <c r="G63" i="65"/>
  <c r="E58" i="65"/>
  <c r="D58" i="65"/>
  <c r="C58" i="65"/>
  <c r="E57" i="65"/>
  <c r="D57" i="65"/>
  <c r="C57" i="65"/>
  <c r="G51" i="65"/>
  <c r="H51" i="65" s="1"/>
  <c r="H50" i="65"/>
  <c r="G50" i="65"/>
  <c r="G49" i="65"/>
  <c r="H49" i="65" s="1"/>
  <c r="F42" i="65"/>
  <c r="E42" i="65"/>
  <c r="D42" i="65"/>
  <c r="C42" i="65"/>
  <c r="H41" i="65"/>
  <c r="G41" i="65"/>
  <c r="G40" i="65"/>
  <c r="H39" i="65"/>
  <c r="G39" i="65"/>
  <c r="H38" i="65"/>
  <c r="G38" i="65"/>
  <c r="J37" i="65"/>
  <c r="G37" i="65"/>
  <c r="H37" i="65" s="1"/>
  <c r="H36" i="65"/>
  <c r="G36" i="65"/>
  <c r="J36" i="65" s="1"/>
  <c r="H35" i="65"/>
  <c r="G35" i="65"/>
  <c r="G34" i="65"/>
  <c r="H34" i="65" s="1"/>
  <c r="G33" i="65"/>
  <c r="G32" i="65"/>
  <c r="H32" i="65" s="1"/>
  <c r="H31" i="65"/>
  <c r="G31" i="65"/>
  <c r="H30" i="65"/>
  <c r="G30" i="65"/>
  <c r="H29" i="65"/>
  <c r="G29" i="65"/>
  <c r="H28" i="65"/>
  <c r="G28" i="65"/>
  <c r="H27" i="65"/>
  <c r="G27" i="65"/>
  <c r="G26" i="65"/>
  <c r="H26" i="65" s="1"/>
  <c r="G25" i="65"/>
  <c r="G24" i="65"/>
  <c r="H24" i="65" s="1"/>
  <c r="H23" i="65"/>
  <c r="G23" i="65"/>
  <c r="J22" i="65"/>
  <c r="H22" i="65"/>
  <c r="G22" i="65"/>
  <c r="J21" i="65"/>
  <c r="H21" i="65"/>
  <c r="G21" i="65"/>
  <c r="G20" i="65"/>
  <c r="G19" i="65"/>
  <c r="G18" i="65"/>
  <c r="H17" i="65"/>
  <c r="G17" i="65"/>
  <c r="G16" i="65"/>
  <c r="J15" i="65"/>
  <c r="H15" i="65"/>
  <c r="G15" i="65"/>
  <c r="J14" i="65"/>
  <c r="G14" i="65"/>
  <c r="J13" i="65"/>
  <c r="H13" i="65"/>
  <c r="G13" i="65"/>
  <c r="G12" i="65"/>
  <c r="J11" i="65"/>
  <c r="H11" i="65"/>
  <c r="G11" i="65"/>
  <c r="G10" i="65"/>
  <c r="J9" i="65"/>
  <c r="H9" i="65"/>
  <c r="G9" i="65"/>
  <c r="G62" i="64"/>
  <c r="G61" i="64"/>
  <c r="G60" i="64"/>
  <c r="G59" i="64"/>
  <c r="E54" i="64"/>
  <c r="D54" i="64"/>
  <c r="C54" i="64"/>
  <c r="E53" i="64"/>
  <c r="D53" i="64"/>
  <c r="C53" i="64"/>
  <c r="H47" i="64"/>
  <c r="G47" i="64"/>
  <c r="H46" i="64"/>
  <c r="G46" i="64"/>
  <c r="H45" i="64"/>
  <c r="G45" i="64"/>
  <c r="F38" i="64"/>
  <c r="E38" i="64"/>
  <c r="D38" i="64"/>
  <c r="C38" i="64"/>
  <c r="H37" i="64"/>
  <c r="G37" i="64"/>
  <c r="G36" i="64"/>
  <c r="J35" i="64"/>
  <c r="G35" i="64"/>
  <c r="H35" i="64" s="1"/>
  <c r="H34" i="64"/>
  <c r="G34" i="64"/>
  <c r="G33" i="64"/>
  <c r="G32" i="64"/>
  <c r="G31" i="64"/>
  <c r="J31" i="64" s="1"/>
  <c r="H30" i="64"/>
  <c r="G30" i="64"/>
  <c r="G29" i="64"/>
  <c r="G28" i="64"/>
  <c r="H28" i="64" s="1"/>
  <c r="G27" i="64"/>
  <c r="H27" i="64" s="1"/>
  <c r="H26" i="64"/>
  <c r="G26" i="64"/>
  <c r="J25" i="64"/>
  <c r="H25" i="64"/>
  <c r="G25" i="64"/>
  <c r="G24" i="64"/>
  <c r="H24" i="64" s="1"/>
  <c r="G23" i="64"/>
  <c r="H23" i="64" s="1"/>
  <c r="J22" i="64"/>
  <c r="H22" i="64"/>
  <c r="G22" i="64"/>
  <c r="J21" i="64"/>
  <c r="H21" i="64"/>
  <c r="G21" i="64"/>
  <c r="J20" i="64"/>
  <c r="H20" i="64"/>
  <c r="G20" i="64"/>
  <c r="H19" i="64"/>
  <c r="G19" i="64"/>
  <c r="J19" i="64" s="1"/>
  <c r="G18" i="64"/>
  <c r="G17" i="64"/>
  <c r="J17" i="64" s="1"/>
  <c r="G16" i="64"/>
  <c r="H15" i="64"/>
  <c r="G15" i="64"/>
  <c r="G14" i="64"/>
  <c r="H13" i="64"/>
  <c r="G13" i="64"/>
  <c r="J13" i="64" s="1"/>
  <c r="H12" i="64"/>
  <c r="G12" i="64"/>
  <c r="G11" i="64"/>
  <c r="J10" i="64"/>
  <c r="H10" i="64"/>
  <c r="G10" i="64"/>
  <c r="G9" i="64"/>
  <c r="G70" i="63"/>
  <c r="G69" i="63"/>
  <c r="G68" i="63"/>
  <c r="G67" i="63"/>
  <c r="E62" i="63"/>
  <c r="D62" i="63"/>
  <c r="C62" i="63"/>
  <c r="E61" i="63"/>
  <c r="D61" i="63"/>
  <c r="C61" i="63"/>
  <c r="H55" i="63"/>
  <c r="G55" i="63"/>
  <c r="H54" i="63"/>
  <c r="G54" i="63"/>
  <c r="G53" i="63"/>
  <c r="H53" i="63" s="1"/>
  <c r="F46" i="63"/>
  <c r="E46" i="63"/>
  <c r="D46" i="63"/>
  <c r="C46" i="63"/>
  <c r="G45" i="63"/>
  <c r="H45" i="63" s="1"/>
  <c r="G44" i="63"/>
  <c r="J43" i="63"/>
  <c r="H43" i="63"/>
  <c r="G43" i="63"/>
  <c r="G42" i="63"/>
  <c r="H42" i="63" s="1"/>
  <c r="J41" i="63"/>
  <c r="H41" i="63"/>
  <c r="G41" i="63"/>
  <c r="G40" i="63"/>
  <c r="G39" i="63"/>
  <c r="H38" i="63"/>
  <c r="G38" i="63"/>
  <c r="G37" i="63"/>
  <c r="H36" i="63"/>
  <c r="G36" i="63"/>
  <c r="G35" i="63"/>
  <c r="H35" i="63" s="1"/>
  <c r="G34" i="63"/>
  <c r="G33" i="63"/>
  <c r="G32" i="63"/>
  <c r="H31" i="63"/>
  <c r="G31" i="63"/>
  <c r="J30" i="63"/>
  <c r="H30" i="63"/>
  <c r="G30" i="63"/>
  <c r="G29" i="63"/>
  <c r="H28" i="63"/>
  <c r="G28" i="63"/>
  <c r="J28" i="63" s="1"/>
  <c r="J27" i="63"/>
  <c r="G27" i="63"/>
  <c r="H27" i="63" s="1"/>
  <c r="G26" i="63"/>
  <c r="G25" i="63"/>
  <c r="G24" i="63"/>
  <c r="J24" i="63" s="1"/>
  <c r="J23" i="63"/>
  <c r="H23" i="63"/>
  <c r="G23" i="63"/>
  <c r="H22" i="63"/>
  <c r="G22" i="63"/>
  <c r="G21" i="63"/>
  <c r="J20" i="63"/>
  <c r="H20" i="63"/>
  <c r="G20" i="63"/>
  <c r="G19" i="63"/>
  <c r="J18" i="63"/>
  <c r="H18" i="63"/>
  <c r="G18" i="63"/>
  <c r="G17" i="63"/>
  <c r="J17" i="63" s="1"/>
  <c r="J16" i="63"/>
  <c r="H16" i="63"/>
  <c r="G16" i="63"/>
  <c r="H15" i="63"/>
  <c r="G15" i="63"/>
  <c r="J15" i="63" s="1"/>
  <c r="J14" i="63"/>
  <c r="H14" i="63"/>
  <c r="G14" i="63"/>
  <c r="G13" i="63"/>
  <c r="J12" i="63"/>
  <c r="H12" i="63"/>
  <c r="G12" i="63"/>
  <c r="G11" i="63"/>
  <c r="J10" i="63"/>
  <c r="H10" i="63"/>
  <c r="G10" i="63"/>
  <c r="G9" i="63"/>
  <c r="G72" i="62"/>
  <c r="G71" i="62"/>
  <c r="G70" i="62"/>
  <c r="G69" i="62"/>
  <c r="E64" i="62"/>
  <c r="D64" i="62"/>
  <c r="C64" i="62"/>
  <c r="E63" i="62"/>
  <c r="D63" i="62"/>
  <c r="C63" i="62"/>
  <c r="H57" i="62"/>
  <c r="G57" i="62"/>
  <c r="G56" i="62"/>
  <c r="H56" i="62" s="1"/>
  <c r="H55" i="62"/>
  <c r="G55" i="62"/>
  <c r="G48" i="62"/>
  <c r="F48" i="62"/>
  <c r="E48" i="62"/>
  <c r="D48" i="62"/>
  <c r="C48" i="62"/>
  <c r="G47" i="62"/>
  <c r="H47" i="62" s="1"/>
  <c r="H46" i="62"/>
  <c r="G46" i="62"/>
  <c r="G45" i="62"/>
  <c r="G44" i="62"/>
  <c r="G43" i="62"/>
  <c r="J42" i="62"/>
  <c r="G42" i="62"/>
  <c r="G41" i="62"/>
  <c r="G40" i="62"/>
  <c r="H40" i="62" s="1"/>
  <c r="H39" i="62"/>
  <c r="G39" i="62"/>
  <c r="J38" i="62"/>
  <c r="H38" i="62"/>
  <c r="G38" i="62"/>
  <c r="G37" i="62"/>
  <c r="J36" i="62"/>
  <c r="H36" i="62"/>
  <c r="G36" i="62"/>
  <c r="G35" i="62"/>
  <c r="J34" i="62"/>
  <c r="H34" i="62"/>
  <c r="G34" i="62"/>
  <c r="G33" i="62"/>
  <c r="J33" i="62" s="1"/>
  <c r="J32" i="62"/>
  <c r="H32" i="62"/>
  <c r="G32" i="62"/>
  <c r="H31" i="62"/>
  <c r="G31" i="62"/>
  <c r="J31" i="62" s="1"/>
  <c r="J30" i="62"/>
  <c r="H30" i="62"/>
  <c r="G30" i="62"/>
  <c r="H29" i="62"/>
  <c r="G29" i="62"/>
  <c r="J28" i="62"/>
  <c r="H28" i="62"/>
  <c r="G28" i="62"/>
  <c r="G27" i="62"/>
  <c r="G26" i="62"/>
  <c r="H26" i="62" s="1"/>
  <c r="H25" i="62"/>
  <c r="G25" i="62"/>
  <c r="G24" i="62"/>
  <c r="G23" i="62"/>
  <c r="J22" i="62"/>
  <c r="G22" i="62"/>
  <c r="H22" i="62" s="1"/>
  <c r="H21" i="62"/>
  <c r="G21" i="62"/>
  <c r="H20" i="62"/>
  <c r="G20" i="62"/>
  <c r="G19" i="62"/>
  <c r="H18" i="62"/>
  <c r="G18" i="62"/>
  <c r="G17" i="62"/>
  <c r="G16" i="62"/>
  <c r="J15" i="62"/>
  <c r="G15" i="62"/>
  <c r="H14" i="62"/>
  <c r="G14" i="62"/>
  <c r="J14" i="62" s="1"/>
  <c r="G13" i="62"/>
  <c r="G12" i="62"/>
  <c r="G11" i="62"/>
  <c r="H11" i="62" s="1"/>
  <c r="J10" i="62"/>
  <c r="H10" i="62"/>
  <c r="G10" i="62"/>
  <c r="J9" i="62"/>
  <c r="G9" i="62"/>
  <c r="H9" i="62" s="1"/>
  <c r="G64" i="61"/>
  <c r="G63" i="61"/>
  <c r="G62" i="61"/>
  <c r="G61" i="61"/>
  <c r="E56" i="61"/>
  <c r="D56" i="61"/>
  <c r="C56" i="61"/>
  <c r="E55" i="61"/>
  <c r="D55" i="61"/>
  <c r="C55" i="61"/>
  <c r="G49" i="61"/>
  <c r="H49" i="61" s="1"/>
  <c r="G48" i="61"/>
  <c r="H48" i="61" s="1"/>
  <c r="G47" i="61"/>
  <c r="H47" i="61" s="1"/>
  <c r="F40" i="61"/>
  <c r="E40" i="61"/>
  <c r="D40" i="61"/>
  <c r="C40" i="61"/>
  <c r="J39" i="61"/>
  <c r="H39" i="61"/>
  <c r="G39" i="61"/>
  <c r="G38" i="61"/>
  <c r="J37" i="61"/>
  <c r="G37" i="61"/>
  <c r="H37" i="61" s="1"/>
  <c r="G36" i="61"/>
  <c r="G35" i="61"/>
  <c r="G34" i="61"/>
  <c r="J33" i="61"/>
  <c r="G33" i="61"/>
  <c r="H33" i="61" s="1"/>
  <c r="G32" i="61"/>
  <c r="G31" i="61"/>
  <c r="G30" i="61"/>
  <c r="J29" i="61"/>
  <c r="G29" i="61"/>
  <c r="H29" i="61" s="1"/>
  <c r="G28" i="61"/>
  <c r="G27" i="61"/>
  <c r="G26" i="61"/>
  <c r="H25" i="61"/>
  <c r="G25" i="61"/>
  <c r="J24" i="61"/>
  <c r="G24" i="61"/>
  <c r="H24" i="61" s="1"/>
  <c r="H23" i="61"/>
  <c r="G23" i="61"/>
  <c r="J22" i="61"/>
  <c r="G22" i="61"/>
  <c r="H22" i="61" s="1"/>
  <c r="J21" i="61"/>
  <c r="G21" i="61"/>
  <c r="J20" i="61"/>
  <c r="G20" i="61"/>
  <c r="H20" i="61" s="1"/>
  <c r="J19" i="61"/>
  <c r="G19" i="61"/>
  <c r="H19" i="61" s="1"/>
  <c r="J18" i="61"/>
  <c r="G18" i="61"/>
  <c r="H18" i="61" s="1"/>
  <c r="H17" i="61"/>
  <c r="G17" i="61"/>
  <c r="J17" i="61" s="1"/>
  <c r="J16" i="61"/>
  <c r="G16" i="61"/>
  <c r="H16" i="61" s="1"/>
  <c r="H15" i="61"/>
  <c r="G15" i="61"/>
  <c r="H14" i="61"/>
  <c r="G14" i="61"/>
  <c r="G13" i="61"/>
  <c r="J13" i="61" s="1"/>
  <c r="J12" i="61"/>
  <c r="H12" i="61"/>
  <c r="G12" i="61"/>
  <c r="H11" i="61"/>
  <c r="G11" i="61"/>
  <c r="J11" i="61" s="1"/>
  <c r="J10" i="61"/>
  <c r="H10" i="61"/>
  <c r="G10" i="61"/>
  <c r="G9" i="61"/>
  <c r="G67" i="60"/>
  <c r="G66" i="60"/>
  <c r="G65" i="60"/>
  <c r="G64" i="60"/>
  <c r="E59" i="60"/>
  <c r="D59" i="60"/>
  <c r="C59" i="60"/>
  <c r="E58" i="60"/>
  <c r="D58" i="60"/>
  <c r="C58" i="60"/>
  <c r="H52" i="60"/>
  <c r="G52" i="60"/>
  <c r="G51" i="60"/>
  <c r="H51" i="60" s="1"/>
  <c r="G50" i="60"/>
  <c r="H50" i="60" s="1"/>
  <c r="F43" i="60"/>
  <c r="E43" i="60"/>
  <c r="D43" i="60"/>
  <c r="C43" i="60"/>
  <c r="G42" i="60"/>
  <c r="H42" i="60" s="1"/>
  <c r="G41" i="60"/>
  <c r="G40" i="60"/>
  <c r="H39" i="60"/>
  <c r="G39" i="60"/>
  <c r="J38" i="60"/>
  <c r="H38" i="60"/>
  <c r="G38" i="60"/>
  <c r="G37" i="60"/>
  <c r="G36" i="60"/>
  <c r="H36" i="60" s="1"/>
  <c r="J35" i="60"/>
  <c r="G35" i="60"/>
  <c r="G34" i="60"/>
  <c r="G33" i="60"/>
  <c r="J32" i="60"/>
  <c r="G32" i="60"/>
  <c r="H32" i="60" s="1"/>
  <c r="J31" i="60"/>
  <c r="G31" i="60"/>
  <c r="H30" i="60"/>
  <c r="G30" i="60"/>
  <c r="G29" i="60"/>
  <c r="G28" i="60"/>
  <c r="H28" i="60" s="1"/>
  <c r="J27" i="60"/>
  <c r="G27" i="60"/>
  <c r="G26" i="60"/>
  <c r="G25" i="60"/>
  <c r="J24" i="60"/>
  <c r="G24" i="60"/>
  <c r="H24" i="60" s="1"/>
  <c r="J23" i="60"/>
  <c r="G23" i="60"/>
  <c r="G22" i="60"/>
  <c r="G21" i="60"/>
  <c r="G20" i="60"/>
  <c r="H20" i="60" s="1"/>
  <c r="G19" i="60"/>
  <c r="G18" i="60"/>
  <c r="G17" i="60"/>
  <c r="J16" i="60"/>
  <c r="G16" i="60"/>
  <c r="H16" i="60" s="1"/>
  <c r="G15" i="60"/>
  <c r="H14" i="60"/>
  <c r="G14" i="60"/>
  <c r="J14" i="60" s="1"/>
  <c r="G13" i="60"/>
  <c r="J12" i="60"/>
  <c r="H12" i="60"/>
  <c r="G12" i="60"/>
  <c r="J11" i="60"/>
  <c r="G11" i="60"/>
  <c r="J10" i="60"/>
  <c r="G10" i="60"/>
  <c r="H10" i="60" s="1"/>
  <c r="J9" i="60"/>
  <c r="H9" i="60"/>
  <c r="G9" i="60"/>
  <c r="G61" i="59"/>
  <c r="G60" i="59"/>
  <c r="G59" i="59"/>
  <c r="G58" i="59"/>
  <c r="E53" i="59"/>
  <c r="D53" i="59"/>
  <c r="C53" i="59"/>
  <c r="E52" i="59"/>
  <c r="D52" i="59"/>
  <c r="C52" i="59"/>
  <c r="H46" i="59"/>
  <c r="G46" i="59"/>
  <c r="G45" i="59"/>
  <c r="H45" i="59" s="1"/>
  <c r="H44" i="59"/>
  <c r="G44" i="59"/>
  <c r="F37" i="59"/>
  <c r="E37" i="59"/>
  <c r="D37" i="59"/>
  <c r="C37" i="59"/>
  <c r="G36" i="59"/>
  <c r="H36" i="59" s="1"/>
  <c r="H35" i="59"/>
  <c r="G35" i="59"/>
  <c r="J34" i="59"/>
  <c r="H34" i="59"/>
  <c r="G34" i="59"/>
  <c r="J33" i="59"/>
  <c r="H33" i="59"/>
  <c r="G33" i="59"/>
  <c r="H32" i="59"/>
  <c r="G32" i="59"/>
  <c r="G31" i="59"/>
  <c r="G30" i="59"/>
  <c r="H30" i="59" s="1"/>
  <c r="H29" i="59"/>
  <c r="G29" i="59"/>
  <c r="J28" i="59"/>
  <c r="H28" i="59"/>
  <c r="G28" i="59"/>
  <c r="J27" i="59"/>
  <c r="H27" i="59"/>
  <c r="G27" i="59"/>
  <c r="J26" i="59"/>
  <c r="H26" i="59"/>
  <c r="G26" i="59"/>
  <c r="J25" i="59"/>
  <c r="H25" i="59"/>
  <c r="G25" i="59"/>
  <c r="J24" i="59"/>
  <c r="H24" i="59"/>
  <c r="G24" i="59"/>
  <c r="J23" i="59"/>
  <c r="H23" i="59"/>
  <c r="G23" i="59"/>
  <c r="J22" i="59"/>
  <c r="H22" i="59"/>
  <c r="G22" i="59"/>
  <c r="J21" i="59"/>
  <c r="H21" i="59"/>
  <c r="G21" i="59"/>
  <c r="J20" i="59"/>
  <c r="H20" i="59"/>
  <c r="G20" i="59"/>
  <c r="J19" i="59"/>
  <c r="H19" i="59"/>
  <c r="G19" i="59"/>
  <c r="J18" i="59"/>
  <c r="H18" i="59"/>
  <c r="G18" i="59"/>
  <c r="J17" i="59"/>
  <c r="H17" i="59"/>
  <c r="G17" i="59"/>
  <c r="J16" i="59"/>
  <c r="H16" i="59"/>
  <c r="G16" i="59"/>
  <c r="J15" i="59"/>
  <c r="H15" i="59"/>
  <c r="G15" i="59"/>
  <c r="J14" i="59"/>
  <c r="H14" i="59"/>
  <c r="G14" i="59"/>
  <c r="J13" i="59"/>
  <c r="H13" i="59"/>
  <c r="G13" i="59"/>
  <c r="J12" i="59"/>
  <c r="H12" i="59"/>
  <c r="G12" i="59"/>
  <c r="J11" i="59"/>
  <c r="H11" i="59"/>
  <c r="G11" i="59"/>
  <c r="J10" i="59"/>
  <c r="H10" i="59"/>
  <c r="G10" i="59"/>
  <c r="J9" i="59"/>
  <c r="H9" i="59"/>
  <c r="G9" i="59"/>
  <c r="G61" i="58"/>
  <c r="G60" i="58"/>
  <c r="G59" i="58"/>
  <c r="G58" i="58"/>
  <c r="E53" i="58"/>
  <c r="D53" i="58"/>
  <c r="C53" i="58"/>
  <c r="E52" i="58"/>
  <c r="D52" i="58"/>
  <c r="C52" i="58"/>
  <c r="H46" i="58"/>
  <c r="G46" i="58"/>
  <c r="G45" i="58"/>
  <c r="H45" i="58" s="1"/>
  <c r="H44" i="58"/>
  <c r="G44" i="58"/>
  <c r="F37" i="58"/>
  <c r="E37" i="58"/>
  <c r="D37" i="58"/>
  <c r="C37" i="58"/>
  <c r="G36" i="58"/>
  <c r="H36" i="58" s="1"/>
  <c r="G35" i="58"/>
  <c r="J34" i="58"/>
  <c r="G34" i="58"/>
  <c r="H34" i="58" s="1"/>
  <c r="J33" i="58"/>
  <c r="G33" i="58"/>
  <c r="H33" i="58" s="1"/>
  <c r="H32" i="58"/>
  <c r="G32" i="58"/>
  <c r="G31" i="58"/>
  <c r="H30" i="58"/>
  <c r="G30" i="58"/>
  <c r="G29" i="58"/>
  <c r="J28" i="58"/>
  <c r="H28" i="58"/>
  <c r="G28" i="58"/>
  <c r="G27" i="58"/>
  <c r="G26" i="58"/>
  <c r="G25" i="58"/>
  <c r="G24" i="58"/>
  <c r="J23" i="58"/>
  <c r="G23" i="58"/>
  <c r="G22" i="58"/>
  <c r="H22" i="58" s="1"/>
  <c r="H21" i="58"/>
  <c r="G21" i="58"/>
  <c r="J20" i="58"/>
  <c r="H20" i="58"/>
  <c r="G20" i="58"/>
  <c r="H19" i="58"/>
  <c r="G19" i="58"/>
  <c r="G18" i="58"/>
  <c r="J17" i="58"/>
  <c r="H17" i="58"/>
  <c r="G17" i="58"/>
  <c r="G16" i="58"/>
  <c r="H16" i="58" s="1"/>
  <c r="J15" i="58"/>
  <c r="G15" i="58"/>
  <c r="H15" i="58" s="1"/>
  <c r="J14" i="58"/>
  <c r="G14" i="58"/>
  <c r="H14" i="58" s="1"/>
  <c r="H13" i="58"/>
  <c r="G13" i="58"/>
  <c r="G12" i="58"/>
  <c r="H11" i="58"/>
  <c r="G11" i="58"/>
  <c r="G10" i="58"/>
  <c r="J10" i="58" s="1"/>
  <c r="G9" i="58"/>
  <c r="G51" i="57"/>
  <c r="G50" i="57"/>
  <c r="G49" i="57"/>
  <c r="G48" i="57"/>
  <c r="E43" i="57"/>
  <c r="D43" i="57"/>
  <c r="C43" i="57"/>
  <c r="E42" i="57"/>
  <c r="D42" i="57"/>
  <c r="C42" i="57"/>
  <c r="H36" i="57"/>
  <c r="G36" i="57"/>
  <c r="H35" i="57"/>
  <c r="G35" i="57"/>
  <c r="G34" i="57"/>
  <c r="H34" i="57" s="1"/>
  <c r="F27" i="57"/>
  <c r="E27" i="57"/>
  <c r="D27" i="57"/>
  <c r="C27" i="57"/>
  <c r="J26" i="57"/>
  <c r="H26" i="57"/>
  <c r="G26" i="57"/>
  <c r="J25" i="57"/>
  <c r="H25" i="57"/>
  <c r="G25" i="57"/>
  <c r="G24" i="57"/>
  <c r="H23" i="57"/>
  <c r="G23" i="57"/>
  <c r="G22" i="57"/>
  <c r="H22" i="57" s="1"/>
  <c r="H21" i="57"/>
  <c r="G21" i="57"/>
  <c r="H20" i="57"/>
  <c r="G20" i="57"/>
  <c r="G19" i="57"/>
  <c r="G18" i="57"/>
  <c r="H18" i="57" s="1"/>
  <c r="H17" i="57"/>
  <c r="G17" i="57"/>
  <c r="G16" i="57"/>
  <c r="G15" i="57"/>
  <c r="J15" i="57" s="1"/>
  <c r="H14" i="57"/>
  <c r="G14" i="57"/>
  <c r="J14" i="57" s="1"/>
  <c r="G13" i="57"/>
  <c r="J13" i="57" s="1"/>
  <c r="G12" i="57"/>
  <c r="G11" i="57"/>
  <c r="H10" i="57"/>
  <c r="G10" i="57"/>
  <c r="J10" i="57" s="1"/>
  <c r="H9" i="57"/>
  <c r="G9" i="57"/>
  <c r="G69" i="56"/>
  <c r="G68" i="56"/>
  <c r="G67" i="56"/>
  <c r="G66" i="56"/>
  <c r="E61" i="56"/>
  <c r="D61" i="56"/>
  <c r="C61" i="56"/>
  <c r="E60" i="56"/>
  <c r="D60" i="56"/>
  <c r="C60" i="56"/>
  <c r="G54" i="56"/>
  <c r="H54" i="56" s="1"/>
  <c r="G53" i="56"/>
  <c r="H53" i="56" s="1"/>
  <c r="G52" i="56"/>
  <c r="H52" i="56" s="1"/>
  <c r="F45" i="56"/>
  <c r="E45" i="56"/>
  <c r="D45" i="56"/>
  <c r="C45" i="56"/>
  <c r="H44" i="56"/>
  <c r="G44" i="56"/>
  <c r="H43" i="56"/>
  <c r="G43" i="56"/>
  <c r="G42" i="56"/>
  <c r="G41" i="56"/>
  <c r="H41" i="56" s="1"/>
  <c r="J40" i="56"/>
  <c r="G40" i="56"/>
  <c r="H40" i="56" s="1"/>
  <c r="G39" i="56"/>
  <c r="G38" i="56"/>
  <c r="J37" i="56"/>
  <c r="G37" i="56"/>
  <c r="H37" i="56" s="1"/>
  <c r="H36" i="56"/>
  <c r="G36" i="56"/>
  <c r="J35" i="56"/>
  <c r="H35" i="56"/>
  <c r="G35" i="56"/>
  <c r="J34" i="56"/>
  <c r="H34" i="56"/>
  <c r="G34" i="56"/>
  <c r="J33" i="56"/>
  <c r="H33" i="56"/>
  <c r="G33" i="56"/>
  <c r="G32" i="56"/>
  <c r="G31" i="56"/>
  <c r="H30" i="56"/>
  <c r="G30" i="56"/>
  <c r="J30" i="56" s="1"/>
  <c r="H29" i="56"/>
  <c r="G29" i="56"/>
  <c r="J29" i="56" s="1"/>
  <c r="G28" i="56"/>
  <c r="G27" i="56"/>
  <c r="J27" i="56" s="1"/>
  <c r="H26" i="56"/>
  <c r="G26" i="56"/>
  <c r="J26" i="56" s="1"/>
  <c r="G25" i="56"/>
  <c r="J25" i="56" s="1"/>
  <c r="G24" i="56"/>
  <c r="G23" i="56"/>
  <c r="H22" i="56"/>
  <c r="G22" i="56"/>
  <c r="J22" i="56" s="1"/>
  <c r="H21" i="56"/>
  <c r="G21" i="56"/>
  <c r="J21" i="56" s="1"/>
  <c r="G20" i="56"/>
  <c r="G19" i="56"/>
  <c r="J19" i="56" s="1"/>
  <c r="H18" i="56"/>
  <c r="G18" i="56"/>
  <c r="J18" i="56" s="1"/>
  <c r="G17" i="56"/>
  <c r="J17" i="56" s="1"/>
  <c r="G16" i="56"/>
  <c r="G15" i="56"/>
  <c r="H14" i="56"/>
  <c r="G14" i="56"/>
  <c r="J14" i="56" s="1"/>
  <c r="H13" i="56"/>
  <c r="G13" i="56"/>
  <c r="J13" i="56" s="1"/>
  <c r="G12" i="56"/>
  <c r="G11" i="56"/>
  <c r="J11" i="56" s="1"/>
  <c r="H10" i="56"/>
  <c r="G10" i="56"/>
  <c r="J10" i="56" s="1"/>
  <c r="G9" i="56"/>
  <c r="J9" i="56" s="1"/>
  <c r="G68" i="55"/>
  <c r="G67" i="55"/>
  <c r="G66" i="55"/>
  <c r="G65" i="55"/>
  <c r="E60" i="55"/>
  <c r="D60" i="55"/>
  <c r="C60" i="55"/>
  <c r="E59" i="55"/>
  <c r="D59" i="55"/>
  <c r="C59" i="55"/>
  <c r="H53" i="55"/>
  <c r="G53" i="55"/>
  <c r="G52" i="55"/>
  <c r="H52" i="55" s="1"/>
  <c r="G51" i="55"/>
  <c r="H51" i="55" s="1"/>
  <c r="F44" i="55"/>
  <c r="E44" i="55"/>
  <c r="D44" i="55"/>
  <c r="C44" i="55"/>
  <c r="H43" i="55"/>
  <c r="G43" i="55"/>
  <c r="H42" i="55"/>
  <c r="G42" i="55"/>
  <c r="H41" i="55"/>
  <c r="G41" i="55"/>
  <c r="G40" i="55"/>
  <c r="H40" i="55" s="1"/>
  <c r="G39" i="55"/>
  <c r="H39" i="55" s="1"/>
  <c r="G38" i="55"/>
  <c r="J37" i="55"/>
  <c r="G37" i="55"/>
  <c r="H37" i="55" s="1"/>
  <c r="J36" i="55"/>
  <c r="G36" i="55"/>
  <c r="H36" i="55" s="1"/>
  <c r="H35" i="55"/>
  <c r="G35" i="55"/>
  <c r="J34" i="55"/>
  <c r="H34" i="55"/>
  <c r="G34" i="55"/>
  <c r="J33" i="55"/>
  <c r="H33" i="55"/>
  <c r="G33" i="55"/>
  <c r="J32" i="55"/>
  <c r="H32" i="55"/>
  <c r="G32" i="55"/>
  <c r="J31" i="55"/>
  <c r="H31" i="55"/>
  <c r="G31" i="55"/>
  <c r="J30" i="55"/>
  <c r="H30" i="55"/>
  <c r="G30" i="55"/>
  <c r="J29" i="55"/>
  <c r="H29" i="55"/>
  <c r="G29" i="55"/>
  <c r="J28" i="55"/>
  <c r="H28" i="55"/>
  <c r="G28" i="55"/>
  <c r="J27" i="55"/>
  <c r="H27" i="55"/>
  <c r="G27" i="55"/>
  <c r="J26" i="55"/>
  <c r="H26" i="55"/>
  <c r="G26" i="55"/>
  <c r="J25" i="55"/>
  <c r="H25" i="55"/>
  <c r="G25" i="55"/>
  <c r="J24" i="55"/>
  <c r="H24" i="55"/>
  <c r="G24" i="55"/>
  <c r="J23" i="55"/>
  <c r="H23" i="55"/>
  <c r="G23" i="55"/>
  <c r="G22" i="55"/>
  <c r="G21" i="55"/>
  <c r="H20" i="55"/>
  <c r="G20" i="55"/>
  <c r="J20" i="55" s="1"/>
  <c r="H19" i="55"/>
  <c r="G19" i="55"/>
  <c r="J19" i="55" s="1"/>
  <c r="G18" i="55"/>
  <c r="J18" i="55" s="1"/>
  <c r="G17" i="55"/>
  <c r="G16" i="55"/>
  <c r="G15" i="55"/>
  <c r="J15" i="55" s="1"/>
  <c r="H14" i="55"/>
  <c r="G14" i="55"/>
  <c r="G13" i="55"/>
  <c r="H12" i="55"/>
  <c r="G12" i="55"/>
  <c r="J12" i="55" s="1"/>
  <c r="H11" i="55"/>
  <c r="G11" i="55"/>
  <c r="G10" i="55"/>
  <c r="G9" i="55"/>
  <c r="H9" i="55" s="1"/>
  <c r="G64" i="54"/>
  <c r="G63" i="54"/>
  <c r="G62" i="54"/>
  <c r="G61" i="54"/>
  <c r="E56" i="54"/>
  <c r="D56" i="54"/>
  <c r="C56" i="54"/>
  <c r="E55" i="54"/>
  <c r="D55" i="54"/>
  <c r="C55" i="54"/>
  <c r="H49" i="54"/>
  <c r="G49" i="54"/>
  <c r="G48" i="54"/>
  <c r="H48" i="54" s="1"/>
  <c r="G47" i="54"/>
  <c r="H47" i="54" s="1"/>
  <c r="G40" i="54"/>
  <c r="F40" i="54"/>
  <c r="E40" i="54"/>
  <c r="D40" i="54"/>
  <c r="C40" i="54"/>
  <c r="G39" i="54"/>
  <c r="H39" i="54" s="1"/>
  <c r="G38" i="54"/>
  <c r="H38" i="54" s="1"/>
  <c r="H37" i="54"/>
  <c r="G37" i="54"/>
  <c r="H36" i="54"/>
  <c r="G36" i="54"/>
  <c r="J36" i="54" s="1"/>
  <c r="H35" i="54"/>
  <c r="G35" i="54"/>
  <c r="J35" i="54" s="1"/>
  <c r="G34" i="54"/>
  <c r="G33" i="54"/>
  <c r="H32" i="54"/>
  <c r="G32" i="54"/>
  <c r="H31" i="54"/>
  <c r="G31" i="54"/>
  <c r="G30" i="54"/>
  <c r="H30" i="54" s="1"/>
  <c r="G29" i="54"/>
  <c r="H29" i="54" s="1"/>
  <c r="J28" i="54"/>
  <c r="H28" i="54"/>
  <c r="G28" i="54"/>
  <c r="J27" i="54"/>
  <c r="G27" i="54"/>
  <c r="H27" i="54" s="1"/>
  <c r="G26" i="54"/>
  <c r="J25" i="54"/>
  <c r="G25" i="54"/>
  <c r="H25" i="54" s="1"/>
  <c r="G24" i="54"/>
  <c r="J23" i="54"/>
  <c r="G23" i="54"/>
  <c r="H23" i="54" s="1"/>
  <c r="G22" i="54"/>
  <c r="G21" i="54"/>
  <c r="H20" i="54"/>
  <c r="G20" i="54"/>
  <c r="J20" i="54" s="1"/>
  <c r="J19" i="54"/>
  <c r="H19" i="54"/>
  <c r="G19" i="54"/>
  <c r="H18" i="54"/>
  <c r="G18" i="54"/>
  <c r="J18" i="54" s="1"/>
  <c r="H17" i="54"/>
  <c r="G17" i="54"/>
  <c r="J17" i="54" s="1"/>
  <c r="H16" i="54"/>
  <c r="G16" i="54"/>
  <c r="J16" i="54" s="1"/>
  <c r="G15" i="54"/>
  <c r="H14" i="54"/>
  <c r="G14" i="54"/>
  <c r="J14" i="54" s="1"/>
  <c r="G13" i="54"/>
  <c r="H13" i="54" s="1"/>
  <c r="G12" i="54"/>
  <c r="H11" i="54"/>
  <c r="G11" i="54"/>
  <c r="J11" i="54" s="1"/>
  <c r="J10" i="54"/>
  <c r="G10" i="54"/>
  <c r="G9" i="54"/>
  <c r="G62" i="53"/>
  <c r="G61" i="53"/>
  <c r="G60" i="53"/>
  <c r="G59" i="53"/>
  <c r="E54" i="53"/>
  <c r="D54" i="53"/>
  <c r="C54" i="53"/>
  <c r="E53" i="53"/>
  <c r="D53" i="53"/>
  <c r="C53" i="53"/>
  <c r="G47" i="53"/>
  <c r="H47" i="53" s="1"/>
  <c r="H46" i="53"/>
  <c r="G46" i="53"/>
  <c r="G45" i="53"/>
  <c r="H45" i="53" s="1"/>
  <c r="F38" i="53"/>
  <c r="E38" i="53"/>
  <c r="D38" i="53"/>
  <c r="C38" i="53"/>
  <c r="G37" i="53"/>
  <c r="G36" i="53"/>
  <c r="J35" i="53"/>
  <c r="G35" i="53"/>
  <c r="H35" i="53" s="1"/>
  <c r="J34" i="53"/>
  <c r="G34" i="53"/>
  <c r="H33" i="53"/>
  <c r="G33" i="53"/>
  <c r="H32" i="53"/>
  <c r="G32" i="53"/>
  <c r="G31" i="53"/>
  <c r="H31" i="53" s="1"/>
  <c r="G30" i="53"/>
  <c r="H29" i="53"/>
  <c r="G29" i="53"/>
  <c r="J29" i="53" s="1"/>
  <c r="J28" i="53"/>
  <c r="G28" i="53"/>
  <c r="G27" i="53"/>
  <c r="J27" i="53" s="1"/>
  <c r="G26" i="53"/>
  <c r="H25" i="53"/>
  <c r="G25" i="53"/>
  <c r="J25" i="53" s="1"/>
  <c r="G24" i="53"/>
  <c r="G23" i="53"/>
  <c r="H22" i="53"/>
  <c r="G22" i="53"/>
  <c r="G21" i="53"/>
  <c r="G20" i="53"/>
  <c r="G19" i="53"/>
  <c r="G18" i="53"/>
  <c r="J17" i="53"/>
  <c r="G17" i="53"/>
  <c r="H17" i="53" s="1"/>
  <c r="G16" i="53"/>
  <c r="J15" i="53"/>
  <c r="H15" i="53"/>
  <c r="G15" i="53"/>
  <c r="G14" i="53"/>
  <c r="H13" i="53"/>
  <c r="G13" i="53"/>
  <c r="H12" i="53"/>
  <c r="G12" i="53"/>
  <c r="J12" i="53" s="1"/>
  <c r="G11" i="53"/>
  <c r="J11" i="53" s="1"/>
  <c r="H10" i="53"/>
  <c r="G10" i="53"/>
  <c r="J10" i="53" s="1"/>
  <c r="H9" i="53"/>
  <c r="G9" i="53"/>
  <c r="G63" i="52"/>
  <c r="G62" i="52"/>
  <c r="G61" i="52"/>
  <c r="G60" i="52"/>
  <c r="E55" i="52"/>
  <c r="D55" i="52"/>
  <c r="C55" i="52"/>
  <c r="E54" i="52"/>
  <c r="D54" i="52"/>
  <c r="C54" i="52"/>
  <c r="G48" i="52"/>
  <c r="H48" i="52" s="1"/>
  <c r="G47" i="52"/>
  <c r="H47" i="52" s="1"/>
  <c r="H46" i="52"/>
  <c r="G46" i="52"/>
  <c r="F39" i="52"/>
  <c r="E39" i="52"/>
  <c r="D39" i="52"/>
  <c r="C39" i="52"/>
  <c r="H38" i="52"/>
  <c r="G38" i="52"/>
  <c r="G37" i="52"/>
  <c r="G36" i="52"/>
  <c r="H36" i="52" s="1"/>
  <c r="J35" i="52"/>
  <c r="G35" i="52"/>
  <c r="J34" i="52"/>
  <c r="G34" i="52"/>
  <c r="H34" i="52" s="1"/>
  <c r="G33" i="52"/>
  <c r="J32" i="52"/>
  <c r="H32" i="52"/>
  <c r="G32" i="52"/>
  <c r="G31" i="52"/>
  <c r="J30" i="52"/>
  <c r="H30" i="52"/>
  <c r="G30" i="52"/>
  <c r="G29" i="52"/>
  <c r="G28" i="52"/>
  <c r="H27" i="52"/>
  <c r="G27" i="52"/>
  <c r="J27" i="52" s="1"/>
  <c r="J26" i="52"/>
  <c r="G26" i="52"/>
  <c r="H26" i="52" s="1"/>
  <c r="H25" i="52"/>
  <c r="G25" i="52"/>
  <c r="J25" i="52" s="1"/>
  <c r="J24" i="52"/>
  <c r="G24" i="52"/>
  <c r="H24" i="52" s="1"/>
  <c r="H23" i="52"/>
  <c r="G23" i="52"/>
  <c r="J23" i="52" s="1"/>
  <c r="G22" i="52"/>
  <c r="H21" i="52"/>
  <c r="G21" i="52"/>
  <c r="J21" i="52" s="1"/>
  <c r="G20" i="52"/>
  <c r="J20" i="52" s="1"/>
  <c r="H19" i="52"/>
  <c r="G19" i="52"/>
  <c r="J19" i="52" s="1"/>
  <c r="J18" i="52"/>
  <c r="G18" i="52"/>
  <c r="H18" i="52" s="1"/>
  <c r="H17" i="52"/>
  <c r="G17" i="52"/>
  <c r="J17" i="52" s="1"/>
  <c r="G16" i="52"/>
  <c r="H15" i="52"/>
  <c r="G15" i="52"/>
  <c r="J15" i="52" s="1"/>
  <c r="H14" i="52"/>
  <c r="G14" i="52"/>
  <c r="H13" i="52"/>
  <c r="G13" i="52"/>
  <c r="J13" i="52" s="1"/>
  <c r="G12" i="52"/>
  <c r="G11" i="52"/>
  <c r="G10" i="52"/>
  <c r="G9" i="52"/>
  <c r="H9" i="52" s="1"/>
  <c r="G61" i="51"/>
  <c r="G60" i="51"/>
  <c r="G59" i="51"/>
  <c r="G58" i="51"/>
  <c r="E53" i="51"/>
  <c r="D53" i="51"/>
  <c r="C53" i="51"/>
  <c r="E52" i="51"/>
  <c r="D52" i="51"/>
  <c r="C52" i="51"/>
  <c r="H46" i="51"/>
  <c r="G46" i="51"/>
  <c r="G45" i="51"/>
  <c r="H45" i="51" s="1"/>
  <c r="G44" i="51"/>
  <c r="H44" i="51" s="1"/>
  <c r="F37" i="51"/>
  <c r="E37" i="51"/>
  <c r="D37" i="51"/>
  <c r="C37" i="51"/>
  <c r="G36" i="51"/>
  <c r="G35" i="51"/>
  <c r="H35" i="51" s="1"/>
  <c r="J34" i="51"/>
  <c r="G34" i="51"/>
  <c r="J33" i="51"/>
  <c r="G33" i="51"/>
  <c r="H33" i="51" s="1"/>
  <c r="G32" i="51"/>
  <c r="H32" i="51" s="1"/>
  <c r="G31" i="51"/>
  <c r="H31" i="51" s="1"/>
  <c r="G30" i="51"/>
  <c r="G29" i="51"/>
  <c r="H28" i="51"/>
  <c r="G28" i="51"/>
  <c r="G27" i="51"/>
  <c r="J26" i="51"/>
  <c r="H26" i="51"/>
  <c r="G26" i="51"/>
  <c r="G25" i="51"/>
  <c r="J24" i="51"/>
  <c r="H24" i="51"/>
  <c r="G24" i="51"/>
  <c r="G23" i="51"/>
  <c r="H22" i="51"/>
  <c r="G22" i="51"/>
  <c r="G21" i="51"/>
  <c r="G20" i="51"/>
  <c r="G19" i="51"/>
  <c r="H19" i="51" s="1"/>
  <c r="G18" i="51"/>
  <c r="H18" i="51" s="1"/>
  <c r="J17" i="51"/>
  <c r="H17" i="51"/>
  <c r="G17" i="51"/>
  <c r="H16" i="51"/>
  <c r="G16" i="51"/>
  <c r="J15" i="51"/>
  <c r="G15" i="51"/>
  <c r="H14" i="51"/>
  <c r="G14" i="51"/>
  <c r="J14" i="51" s="1"/>
  <c r="G13" i="51"/>
  <c r="H13" i="51" s="1"/>
  <c r="G12" i="51"/>
  <c r="H12" i="51" s="1"/>
  <c r="G11" i="51"/>
  <c r="J10" i="51"/>
  <c r="G10" i="51"/>
  <c r="H10" i="51" s="1"/>
  <c r="G9" i="51"/>
  <c r="H9" i="51" s="1"/>
  <c r="G66" i="50"/>
  <c r="G65" i="50"/>
  <c r="G64" i="50"/>
  <c r="G63" i="50"/>
  <c r="E58" i="50"/>
  <c r="D58" i="50"/>
  <c r="C58" i="50"/>
  <c r="E57" i="50"/>
  <c r="D57" i="50"/>
  <c r="C57" i="50"/>
  <c r="H51" i="50"/>
  <c r="G51" i="50"/>
  <c r="G50" i="50"/>
  <c r="H50" i="50" s="1"/>
  <c r="G49" i="50"/>
  <c r="H49" i="50" s="1"/>
  <c r="F42" i="50"/>
  <c r="E42" i="50"/>
  <c r="D42" i="50"/>
  <c r="C42" i="50"/>
  <c r="G41" i="50"/>
  <c r="H41" i="50" s="1"/>
  <c r="G40" i="50"/>
  <c r="H40" i="50" s="1"/>
  <c r="J39" i="50"/>
  <c r="H39" i="50"/>
  <c r="G39" i="50"/>
  <c r="G38" i="50"/>
  <c r="H37" i="50"/>
  <c r="G37" i="50"/>
  <c r="G36" i="50"/>
  <c r="G35" i="50"/>
  <c r="H35" i="50" s="1"/>
  <c r="J34" i="50"/>
  <c r="G34" i="50"/>
  <c r="H34" i="50" s="1"/>
  <c r="J33" i="50"/>
  <c r="H33" i="50"/>
  <c r="G33" i="50"/>
  <c r="H32" i="50"/>
  <c r="G32" i="50"/>
  <c r="H31" i="50"/>
  <c r="G31" i="50"/>
  <c r="J31" i="50" s="1"/>
  <c r="J30" i="50"/>
  <c r="H30" i="50"/>
  <c r="G30" i="50"/>
  <c r="H29" i="50"/>
  <c r="G29" i="50"/>
  <c r="J28" i="50"/>
  <c r="H28" i="50"/>
  <c r="G28" i="50"/>
  <c r="G27" i="50"/>
  <c r="G26" i="50"/>
  <c r="G25" i="50"/>
  <c r="G24" i="50"/>
  <c r="J23" i="50"/>
  <c r="G23" i="50"/>
  <c r="J22" i="50"/>
  <c r="G22" i="50"/>
  <c r="G21" i="50"/>
  <c r="J20" i="50"/>
  <c r="H20" i="50"/>
  <c r="G20" i="50"/>
  <c r="G19" i="50"/>
  <c r="H18" i="50"/>
  <c r="G18" i="50"/>
  <c r="J18" i="50" s="1"/>
  <c r="J17" i="50"/>
  <c r="G17" i="50"/>
  <c r="G16" i="50"/>
  <c r="J15" i="50"/>
  <c r="G15" i="50"/>
  <c r="J14" i="50"/>
  <c r="G14" i="50"/>
  <c r="G13" i="50"/>
  <c r="J12" i="50"/>
  <c r="H12" i="50"/>
  <c r="G12" i="50"/>
  <c r="G11" i="50"/>
  <c r="H10" i="50"/>
  <c r="G10" i="50"/>
  <c r="G9" i="50"/>
  <c r="H9" i="50" s="1"/>
  <c r="G62" i="49"/>
  <c r="G61" i="49"/>
  <c r="G60" i="49"/>
  <c r="G59" i="49"/>
  <c r="E54" i="49"/>
  <c r="D54" i="49"/>
  <c r="C54" i="49"/>
  <c r="E53" i="49"/>
  <c r="D53" i="49"/>
  <c r="C53" i="49"/>
  <c r="G47" i="49"/>
  <c r="H47" i="49" s="1"/>
  <c r="H46" i="49"/>
  <c r="G46" i="49"/>
  <c r="G45" i="49"/>
  <c r="H45" i="49" s="1"/>
  <c r="F38" i="49"/>
  <c r="E38" i="49"/>
  <c r="D38" i="49"/>
  <c r="C38" i="49"/>
  <c r="G37" i="49"/>
  <c r="G36" i="49"/>
  <c r="H36" i="49" s="1"/>
  <c r="J35" i="49"/>
  <c r="G35" i="49"/>
  <c r="J34" i="49"/>
  <c r="G34" i="49"/>
  <c r="H34" i="49" s="1"/>
  <c r="H33" i="49"/>
  <c r="G33" i="49"/>
  <c r="G32" i="49"/>
  <c r="G31" i="49"/>
  <c r="I30" i="49"/>
  <c r="G30" i="49"/>
  <c r="H30" i="49" s="1"/>
  <c r="J29" i="49"/>
  <c r="G29" i="49"/>
  <c r="H29" i="49" s="1"/>
  <c r="H28" i="49"/>
  <c r="G28" i="49"/>
  <c r="J28" i="49" s="1"/>
  <c r="H27" i="49"/>
  <c r="G27" i="49"/>
  <c r="G26" i="49"/>
  <c r="J25" i="49"/>
  <c r="H25" i="49"/>
  <c r="G25" i="49"/>
  <c r="G24" i="49"/>
  <c r="J24" i="49" s="1"/>
  <c r="J23" i="49"/>
  <c r="I23" i="49"/>
  <c r="H23" i="49"/>
  <c r="G23" i="49"/>
  <c r="G22" i="49"/>
  <c r="G21" i="49"/>
  <c r="J20" i="49"/>
  <c r="G20" i="49"/>
  <c r="G19" i="49"/>
  <c r="H19" i="49" s="1"/>
  <c r="H18" i="49"/>
  <c r="G18" i="49"/>
  <c r="I17" i="49"/>
  <c r="G17" i="49"/>
  <c r="G16" i="49"/>
  <c r="G15" i="49"/>
  <c r="J14" i="49"/>
  <c r="H14" i="49"/>
  <c r="G14" i="49"/>
  <c r="G13" i="49"/>
  <c r="H12" i="49"/>
  <c r="G12" i="49"/>
  <c r="G11" i="49"/>
  <c r="G38" i="49" s="1"/>
  <c r="G10" i="49"/>
  <c r="J10" i="49" s="1"/>
  <c r="G9" i="49"/>
  <c r="H9" i="49" s="1"/>
  <c r="G70" i="48"/>
  <c r="G69" i="48"/>
  <c r="G68" i="48"/>
  <c r="G67" i="48"/>
  <c r="E62" i="48"/>
  <c r="D62" i="48"/>
  <c r="C62" i="48"/>
  <c r="E61" i="48"/>
  <c r="D61" i="48"/>
  <c r="C61" i="48"/>
  <c r="G55" i="48"/>
  <c r="H55" i="48" s="1"/>
  <c r="G54" i="48"/>
  <c r="H54" i="48" s="1"/>
  <c r="G53" i="48"/>
  <c r="H53" i="48" s="1"/>
  <c r="F46" i="48"/>
  <c r="E46" i="48"/>
  <c r="D46" i="48"/>
  <c r="C46" i="48"/>
  <c r="G45" i="48"/>
  <c r="H45" i="48" s="1"/>
  <c r="G44" i="48"/>
  <c r="H44" i="48" s="1"/>
  <c r="H43" i="48"/>
  <c r="G43" i="48"/>
  <c r="G42" i="48"/>
  <c r="H42" i="48" s="1"/>
  <c r="G41" i="48"/>
  <c r="H40" i="48"/>
  <c r="G40" i="48"/>
  <c r="J40" i="48" s="1"/>
  <c r="J39" i="48"/>
  <c r="G39" i="48"/>
  <c r="G38" i="48"/>
  <c r="G37" i="48"/>
  <c r="H37" i="48" s="1"/>
  <c r="G36" i="48"/>
  <c r="H36" i="48" s="1"/>
  <c r="G35" i="48"/>
  <c r="H34" i="48"/>
  <c r="G34" i="48"/>
  <c r="J33" i="48"/>
  <c r="G33" i="48"/>
  <c r="G32" i="48"/>
  <c r="J31" i="48"/>
  <c r="H31" i="48"/>
  <c r="G31" i="48"/>
  <c r="G30" i="48"/>
  <c r="H29" i="48"/>
  <c r="G29" i="48"/>
  <c r="J29" i="48" s="1"/>
  <c r="H28" i="48"/>
  <c r="G28" i="48"/>
  <c r="G27" i="48"/>
  <c r="H26" i="48"/>
  <c r="G26" i="48"/>
  <c r="J25" i="48"/>
  <c r="G25" i="48"/>
  <c r="G24" i="48"/>
  <c r="J23" i="48"/>
  <c r="H23" i="48"/>
  <c r="G23" i="48"/>
  <c r="G22" i="48"/>
  <c r="H21" i="48"/>
  <c r="G21" i="48"/>
  <c r="J21" i="48" s="1"/>
  <c r="H20" i="48"/>
  <c r="G20" i="48"/>
  <c r="G19" i="48"/>
  <c r="H18" i="48"/>
  <c r="G18" i="48"/>
  <c r="G17" i="48"/>
  <c r="H17" i="48" s="1"/>
  <c r="G16" i="48"/>
  <c r="J15" i="48"/>
  <c r="G15" i="48"/>
  <c r="H15" i="48" s="1"/>
  <c r="G14" i="48"/>
  <c r="H14" i="48" s="1"/>
  <c r="G13" i="48"/>
  <c r="J12" i="48"/>
  <c r="G12" i="48"/>
  <c r="H12" i="48" s="1"/>
  <c r="G11" i="48"/>
  <c r="J10" i="48"/>
  <c r="G10" i="48"/>
  <c r="H10" i="48" s="1"/>
  <c r="G9" i="48"/>
  <c r="J9" i="48" s="1"/>
  <c r="G72" i="47"/>
  <c r="G71" i="47"/>
  <c r="G70" i="47"/>
  <c r="G69" i="47"/>
  <c r="E64" i="47"/>
  <c r="D64" i="47"/>
  <c r="C64" i="47"/>
  <c r="E63" i="47"/>
  <c r="D63" i="47"/>
  <c r="C63" i="47"/>
  <c r="G57" i="47"/>
  <c r="H57" i="47" s="1"/>
  <c r="H56" i="47"/>
  <c r="G56" i="47"/>
  <c r="G55" i="47"/>
  <c r="H55" i="47" s="1"/>
  <c r="F48" i="47"/>
  <c r="E48" i="47"/>
  <c r="D48" i="47"/>
  <c r="C48" i="47"/>
  <c r="J47" i="47"/>
  <c r="G47" i="47"/>
  <c r="H47" i="47" s="1"/>
  <c r="G46" i="47"/>
  <c r="H45" i="47"/>
  <c r="G45" i="47"/>
  <c r="J45" i="47" s="1"/>
  <c r="J44" i="47"/>
  <c r="G44" i="47"/>
  <c r="H43" i="47"/>
  <c r="G43" i="47"/>
  <c r="J43" i="47" s="1"/>
  <c r="J42" i="47"/>
  <c r="G42" i="47"/>
  <c r="H41" i="47"/>
  <c r="G41" i="47"/>
  <c r="J41" i="47" s="1"/>
  <c r="G40" i="47"/>
  <c r="H40" i="47" s="1"/>
  <c r="G39" i="47"/>
  <c r="G38" i="47"/>
  <c r="H38" i="47" s="1"/>
  <c r="G37" i="47"/>
  <c r="H36" i="47"/>
  <c r="G36" i="47"/>
  <c r="J36" i="47" s="1"/>
  <c r="J35" i="47"/>
  <c r="G35" i="47"/>
  <c r="H34" i="47"/>
  <c r="G34" i="47"/>
  <c r="J34" i="47" s="1"/>
  <c r="J33" i="47"/>
  <c r="G33" i="47"/>
  <c r="H32" i="47"/>
  <c r="G32" i="47"/>
  <c r="J32" i="47" s="1"/>
  <c r="J31" i="47"/>
  <c r="G31" i="47"/>
  <c r="H30" i="47"/>
  <c r="G30" i="47"/>
  <c r="J30" i="47" s="1"/>
  <c r="G29" i="47"/>
  <c r="H29" i="47" s="1"/>
  <c r="G28" i="47"/>
  <c r="J27" i="47"/>
  <c r="G27" i="47"/>
  <c r="H27" i="47" s="1"/>
  <c r="G26" i="47"/>
  <c r="J25" i="47"/>
  <c r="G25" i="47"/>
  <c r="H25" i="47" s="1"/>
  <c r="G24" i="47"/>
  <c r="J23" i="47"/>
  <c r="G23" i="47"/>
  <c r="H23" i="47" s="1"/>
  <c r="G22" i="47"/>
  <c r="J21" i="47"/>
  <c r="G21" i="47"/>
  <c r="H21" i="47" s="1"/>
  <c r="G20" i="47"/>
  <c r="J19" i="47"/>
  <c r="G19" i="47"/>
  <c r="H19" i="47" s="1"/>
  <c r="H18" i="47"/>
  <c r="G18" i="47"/>
  <c r="J17" i="47"/>
  <c r="G17" i="47"/>
  <c r="H17" i="47" s="1"/>
  <c r="H16" i="47"/>
  <c r="G16" i="47"/>
  <c r="J15" i="47"/>
  <c r="G15" i="47"/>
  <c r="H15" i="47" s="1"/>
  <c r="H14" i="47"/>
  <c r="G14" i="47"/>
  <c r="J13" i="47"/>
  <c r="G13" i="47"/>
  <c r="H13" i="47" s="1"/>
  <c r="G12" i="47"/>
  <c r="J11" i="47"/>
  <c r="G11" i="47"/>
  <c r="H11" i="47" s="1"/>
  <c r="G10" i="47"/>
  <c r="H9" i="47"/>
  <c r="G9" i="47"/>
  <c r="G67" i="46"/>
  <c r="G66" i="46"/>
  <c r="G65" i="46"/>
  <c r="G64" i="46"/>
  <c r="E59" i="46"/>
  <c r="D59" i="46"/>
  <c r="C59" i="46"/>
  <c r="E58" i="46"/>
  <c r="D58" i="46"/>
  <c r="C58" i="46"/>
  <c r="G52" i="46"/>
  <c r="H52" i="46" s="1"/>
  <c r="H51" i="46"/>
  <c r="G51" i="46"/>
  <c r="H50" i="46"/>
  <c r="G50" i="46"/>
  <c r="F43" i="46"/>
  <c r="E43" i="46"/>
  <c r="D43" i="46"/>
  <c r="C43" i="46"/>
  <c r="H42" i="46"/>
  <c r="G42" i="46"/>
  <c r="J41" i="46"/>
  <c r="G41" i="46"/>
  <c r="H41" i="46" s="1"/>
  <c r="G40" i="46"/>
  <c r="G39" i="46"/>
  <c r="H39" i="46" s="1"/>
  <c r="G38" i="46"/>
  <c r="J38" i="46" s="1"/>
  <c r="G37" i="46"/>
  <c r="G36" i="46"/>
  <c r="J36" i="46" s="1"/>
  <c r="H35" i="46"/>
  <c r="G35" i="46"/>
  <c r="J34" i="46"/>
  <c r="G34" i="46"/>
  <c r="J33" i="46"/>
  <c r="H33" i="46"/>
  <c r="G33" i="46"/>
  <c r="J32" i="46"/>
  <c r="G32" i="46"/>
  <c r="J31" i="46"/>
  <c r="H31" i="46"/>
  <c r="G31" i="46"/>
  <c r="G30" i="46"/>
  <c r="H30" i="46" s="1"/>
  <c r="G29" i="46"/>
  <c r="J28" i="46"/>
  <c r="G28" i="46"/>
  <c r="H28" i="46" s="1"/>
  <c r="H27" i="46"/>
  <c r="G27" i="46"/>
  <c r="J26" i="46"/>
  <c r="G26" i="46"/>
  <c r="H26" i="46" s="1"/>
  <c r="H25" i="46"/>
  <c r="G25" i="46"/>
  <c r="J24" i="46"/>
  <c r="G24" i="46"/>
  <c r="H24" i="46" s="1"/>
  <c r="H23" i="46"/>
  <c r="G23" i="46"/>
  <c r="J22" i="46"/>
  <c r="G22" i="46"/>
  <c r="H22" i="46" s="1"/>
  <c r="G21" i="46"/>
  <c r="J20" i="46"/>
  <c r="H20" i="46"/>
  <c r="G20" i="46"/>
  <c r="G19" i="46"/>
  <c r="J18" i="46"/>
  <c r="H18" i="46"/>
  <c r="G18" i="46"/>
  <c r="G17" i="46"/>
  <c r="J16" i="46"/>
  <c r="H16" i="46"/>
  <c r="G16" i="46"/>
  <c r="G15" i="46"/>
  <c r="J14" i="46"/>
  <c r="H14" i="46"/>
  <c r="G14" i="46"/>
  <c r="G13" i="46"/>
  <c r="J12" i="46"/>
  <c r="H12" i="46"/>
  <c r="G12" i="46"/>
  <c r="G11" i="46"/>
  <c r="J10" i="46"/>
  <c r="H10" i="46"/>
  <c r="G10" i="46"/>
  <c r="G9" i="46"/>
  <c r="G65" i="45"/>
  <c r="G64" i="45"/>
  <c r="G63" i="45"/>
  <c r="G62" i="45"/>
  <c r="E57" i="45"/>
  <c r="D57" i="45"/>
  <c r="C57" i="45"/>
  <c r="E56" i="45"/>
  <c r="D56" i="45"/>
  <c r="C56" i="45"/>
  <c r="H50" i="45"/>
  <c r="G50" i="45"/>
  <c r="G49" i="45"/>
  <c r="H49" i="45" s="1"/>
  <c r="G48" i="45"/>
  <c r="H48" i="45" s="1"/>
  <c r="F41" i="45"/>
  <c r="E41" i="45"/>
  <c r="D41" i="45"/>
  <c r="C41" i="45"/>
  <c r="G40" i="45"/>
  <c r="H40" i="45" s="1"/>
  <c r="G39" i="45"/>
  <c r="J38" i="45"/>
  <c r="H38" i="45"/>
  <c r="G38" i="45"/>
  <c r="G37" i="45"/>
  <c r="J36" i="45"/>
  <c r="H36" i="45"/>
  <c r="G36" i="45"/>
  <c r="G35" i="45"/>
  <c r="H34" i="45"/>
  <c r="G34" i="45"/>
  <c r="G33" i="45"/>
  <c r="H33" i="45" s="1"/>
  <c r="G32" i="45"/>
  <c r="G31" i="45"/>
  <c r="H31" i="45" s="1"/>
  <c r="G30" i="45"/>
  <c r="J29" i="45"/>
  <c r="H29" i="45"/>
  <c r="G29" i="45"/>
  <c r="J28" i="45"/>
  <c r="G28" i="45"/>
  <c r="J27" i="45"/>
  <c r="H27" i="45"/>
  <c r="G27" i="45"/>
  <c r="J26" i="45"/>
  <c r="G26" i="45"/>
  <c r="J25" i="45"/>
  <c r="H25" i="45"/>
  <c r="G25" i="45"/>
  <c r="G24" i="45"/>
  <c r="H24" i="45" s="1"/>
  <c r="G23" i="45"/>
  <c r="J22" i="45"/>
  <c r="G22" i="45"/>
  <c r="H22" i="45" s="1"/>
  <c r="G21" i="45"/>
  <c r="J21" i="45" s="1"/>
  <c r="J20" i="45"/>
  <c r="G20" i="45"/>
  <c r="H20" i="45" s="1"/>
  <c r="H19" i="45"/>
  <c r="G19" i="45"/>
  <c r="J19" i="45" s="1"/>
  <c r="J18" i="45"/>
  <c r="G18" i="45"/>
  <c r="H18" i="45" s="1"/>
  <c r="H17" i="45"/>
  <c r="G17" i="45"/>
  <c r="J17" i="45" s="1"/>
  <c r="J16" i="45"/>
  <c r="G16" i="45"/>
  <c r="H16" i="45" s="1"/>
  <c r="G15" i="45"/>
  <c r="J14" i="45"/>
  <c r="G14" i="45"/>
  <c r="H14" i="45" s="1"/>
  <c r="G13" i="45"/>
  <c r="J13" i="45" s="1"/>
  <c r="J12" i="45"/>
  <c r="G12" i="45"/>
  <c r="H12" i="45" s="1"/>
  <c r="G11" i="45"/>
  <c r="J10" i="45"/>
  <c r="H10" i="45"/>
  <c r="G10" i="45"/>
  <c r="H9" i="45"/>
  <c r="G9" i="45"/>
  <c r="G72" i="44"/>
  <c r="G71" i="44"/>
  <c r="G70" i="44"/>
  <c r="G69" i="44"/>
  <c r="E64" i="44"/>
  <c r="D64" i="44"/>
  <c r="C64" i="44"/>
  <c r="E63" i="44"/>
  <c r="D63" i="44"/>
  <c r="C63" i="44"/>
  <c r="H57" i="44"/>
  <c r="G57" i="44"/>
  <c r="G56" i="44"/>
  <c r="H56" i="44" s="1"/>
  <c r="G55" i="44"/>
  <c r="H55" i="44" s="1"/>
  <c r="F48" i="44"/>
  <c r="E48" i="44"/>
  <c r="D48" i="44"/>
  <c r="C48" i="44"/>
  <c r="G47" i="44"/>
  <c r="H47" i="44" s="1"/>
  <c r="H46" i="44"/>
  <c r="G46" i="44"/>
  <c r="J46" i="44" s="1"/>
  <c r="H45" i="44"/>
  <c r="G45" i="44"/>
  <c r="G44" i="44"/>
  <c r="J43" i="44"/>
  <c r="H43" i="44"/>
  <c r="G43" i="44"/>
  <c r="H42" i="44"/>
  <c r="G42" i="44"/>
  <c r="J41" i="44"/>
  <c r="H41" i="44"/>
  <c r="G41" i="44"/>
  <c r="G40" i="44"/>
  <c r="H39" i="44"/>
  <c r="G39" i="44"/>
  <c r="G38" i="44"/>
  <c r="H38" i="44" s="1"/>
  <c r="H37" i="44"/>
  <c r="G37" i="44"/>
  <c r="J37" i="44" s="1"/>
  <c r="J36" i="44"/>
  <c r="G36" i="44"/>
  <c r="H36" i="44" s="1"/>
  <c r="H35" i="44"/>
  <c r="G35" i="44"/>
  <c r="J35" i="44" s="1"/>
  <c r="J34" i="44"/>
  <c r="G34" i="44"/>
  <c r="H34" i="44" s="1"/>
  <c r="G33" i="44"/>
  <c r="H32" i="44"/>
  <c r="G32" i="44"/>
  <c r="G31" i="44"/>
  <c r="J30" i="44"/>
  <c r="H30" i="44"/>
  <c r="G30" i="44"/>
  <c r="G29" i="44"/>
  <c r="J28" i="44"/>
  <c r="H28" i="44"/>
  <c r="G28" i="44"/>
  <c r="G27" i="44"/>
  <c r="J26" i="44"/>
  <c r="H26" i="44"/>
  <c r="G26" i="44"/>
  <c r="H25" i="44"/>
  <c r="G25" i="44"/>
  <c r="J24" i="44"/>
  <c r="H24" i="44"/>
  <c r="G24" i="44"/>
  <c r="G23" i="44"/>
  <c r="J22" i="44"/>
  <c r="H22" i="44"/>
  <c r="G22" i="44"/>
  <c r="G21" i="44"/>
  <c r="J20" i="44"/>
  <c r="H20" i="44"/>
  <c r="G20" i="44"/>
  <c r="H19" i="44"/>
  <c r="G19" i="44"/>
  <c r="J18" i="44"/>
  <c r="H18" i="44"/>
  <c r="G18" i="44"/>
  <c r="H17" i="44"/>
  <c r="G17" i="44"/>
  <c r="J16" i="44"/>
  <c r="H16" i="44"/>
  <c r="G16" i="44"/>
  <c r="G15" i="44"/>
  <c r="J14" i="44"/>
  <c r="H14" i="44"/>
  <c r="G14" i="44"/>
  <c r="G13" i="44"/>
  <c r="J12" i="44"/>
  <c r="H12" i="44"/>
  <c r="G12" i="44"/>
  <c r="G11" i="44"/>
  <c r="J10" i="44"/>
  <c r="H10" i="44"/>
  <c r="G10" i="44"/>
  <c r="H9" i="44"/>
  <c r="G9" i="44"/>
  <c r="G61" i="43"/>
  <c r="G60" i="43"/>
  <c r="G59" i="43"/>
  <c r="G58" i="43"/>
  <c r="E53" i="43"/>
  <c r="D53" i="43"/>
  <c r="C53" i="43"/>
  <c r="E52" i="43"/>
  <c r="D52" i="43"/>
  <c r="C52" i="43"/>
  <c r="H46" i="43"/>
  <c r="G46" i="43"/>
  <c r="G45" i="43"/>
  <c r="H45" i="43" s="1"/>
  <c r="G44" i="43"/>
  <c r="H44" i="43" s="1"/>
  <c r="F37" i="43"/>
  <c r="E37" i="43"/>
  <c r="D37" i="43"/>
  <c r="C37" i="43"/>
  <c r="G36" i="43"/>
  <c r="H36" i="43" s="1"/>
  <c r="G35" i="43"/>
  <c r="J34" i="43"/>
  <c r="H34" i="43"/>
  <c r="G34" i="43"/>
  <c r="H33" i="43"/>
  <c r="G33" i="43"/>
  <c r="H32" i="43"/>
  <c r="G32" i="43"/>
  <c r="G31" i="43"/>
  <c r="J30" i="43"/>
  <c r="H30" i="43"/>
  <c r="G30" i="43"/>
  <c r="J29" i="43"/>
  <c r="G29" i="43"/>
  <c r="J28" i="43"/>
  <c r="G28" i="43"/>
  <c r="H28" i="43" s="1"/>
  <c r="J27" i="43"/>
  <c r="G27" i="43"/>
  <c r="G26" i="43"/>
  <c r="J25" i="43"/>
  <c r="G25" i="43"/>
  <c r="G24" i="43"/>
  <c r="G23" i="43"/>
  <c r="H23" i="43" s="1"/>
  <c r="G22" i="43"/>
  <c r="J21" i="43"/>
  <c r="H21" i="43"/>
  <c r="G21" i="43"/>
  <c r="G20" i="43"/>
  <c r="G19" i="43"/>
  <c r="G18" i="43"/>
  <c r="G17" i="43"/>
  <c r="G16" i="43"/>
  <c r="H16" i="43" s="1"/>
  <c r="G15" i="43"/>
  <c r="J14" i="43"/>
  <c r="G14" i="43"/>
  <c r="H14" i="43" s="1"/>
  <c r="G13" i="43"/>
  <c r="J12" i="43"/>
  <c r="H12" i="43"/>
  <c r="G12" i="43"/>
  <c r="G11" i="43"/>
  <c r="J10" i="43"/>
  <c r="H10" i="43"/>
  <c r="G10" i="43"/>
  <c r="G9" i="43"/>
  <c r="G70" i="42"/>
  <c r="G69" i="42"/>
  <c r="G68" i="42"/>
  <c r="G67" i="42"/>
  <c r="E62" i="42"/>
  <c r="D62" i="42"/>
  <c r="C62" i="42"/>
  <c r="E61" i="42"/>
  <c r="D61" i="42"/>
  <c r="C61" i="42"/>
  <c r="H55" i="42"/>
  <c r="G55" i="42"/>
  <c r="G54" i="42"/>
  <c r="H54" i="42" s="1"/>
  <c r="G53" i="42"/>
  <c r="H53" i="42" s="1"/>
  <c r="F46" i="42"/>
  <c r="E46" i="42"/>
  <c r="D46" i="42"/>
  <c r="C46" i="42"/>
  <c r="J45" i="42"/>
  <c r="G45" i="42"/>
  <c r="H45" i="42" s="1"/>
  <c r="G44" i="42"/>
  <c r="J43" i="42"/>
  <c r="H43" i="42"/>
  <c r="G43" i="42"/>
  <c r="G42" i="42"/>
  <c r="J41" i="42"/>
  <c r="H41" i="42"/>
  <c r="G41" i="42"/>
  <c r="G40" i="42"/>
  <c r="G39" i="42"/>
  <c r="G38" i="42"/>
  <c r="G37" i="42"/>
  <c r="H37" i="42" s="1"/>
  <c r="J36" i="42"/>
  <c r="G36" i="42"/>
  <c r="H36" i="42" s="1"/>
  <c r="G35" i="42"/>
  <c r="J34" i="42"/>
  <c r="G34" i="42"/>
  <c r="H34" i="42" s="1"/>
  <c r="G33" i="42"/>
  <c r="H32" i="42"/>
  <c r="G32" i="42"/>
  <c r="G31" i="42"/>
  <c r="J30" i="42"/>
  <c r="H30" i="42"/>
  <c r="G30" i="42"/>
  <c r="H29" i="42"/>
  <c r="G29" i="42"/>
  <c r="J28" i="42"/>
  <c r="H28" i="42"/>
  <c r="G28" i="42"/>
  <c r="H27" i="42"/>
  <c r="G27" i="42"/>
  <c r="J26" i="42"/>
  <c r="H26" i="42"/>
  <c r="G26" i="42"/>
  <c r="G25" i="42"/>
  <c r="J24" i="42"/>
  <c r="H24" i="42"/>
  <c r="G24" i="42"/>
  <c r="G23" i="42"/>
  <c r="J22" i="42"/>
  <c r="H22" i="42"/>
  <c r="G22" i="42"/>
  <c r="H21" i="42"/>
  <c r="G21" i="42"/>
  <c r="J20" i="42"/>
  <c r="H20" i="42"/>
  <c r="G20" i="42"/>
  <c r="H19" i="42"/>
  <c r="G19" i="42"/>
  <c r="J18" i="42"/>
  <c r="H18" i="42"/>
  <c r="G18" i="42"/>
  <c r="G17" i="42"/>
  <c r="J16" i="42"/>
  <c r="H16" i="42"/>
  <c r="G16" i="42"/>
  <c r="G15" i="42"/>
  <c r="J14" i="42"/>
  <c r="H14" i="42"/>
  <c r="G14" i="42"/>
  <c r="H13" i="42"/>
  <c r="G13" i="42"/>
  <c r="J12" i="42"/>
  <c r="H12" i="42"/>
  <c r="G12" i="42"/>
  <c r="H11" i="42"/>
  <c r="G11" i="42"/>
  <c r="J10" i="42"/>
  <c r="H10" i="42"/>
  <c r="G10" i="42"/>
  <c r="G9" i="42"/>
  <c r="G67" i="41"/>
  <c r="G66" i="41"/>
  <c r="G65" i="41"/>
  <c r="G64" i="41"/>
  <c r="E59" i="41"/>
  <c r="D59" i="41"/>
  <c r="C59" i="41"/>
  <c r="E58" i="41"/>
  <c r="D58" i="41"/>
  <c r="C58" i="41"/>
  <c r="G52" i="41"/>
  <c r="H52" i="41" s="1"/>
  <c r="G51" i="41"/>
  <c r="H51" i="41" s="1"/>
  <c r="G50" i="41"/>
  <c r="H50" i="41" s="1"/>
  <c r="F43" i="41"/>
  <c r="E43" i="41"/>
  <c r="D43" i="41"/>
  <c r="C43" i="41"/>
  <c r="H42" i="41"/>
  <c r="G42" i="41"/>
  <c r="G41" i="41"/>
  <c r="H40" i="41"/>
  <c r="G40" i="41"/>
  <c r="G39" i="41"/>
  <c r="H39" i="41" s="1"/>
  <c r="G38" i="41"/>
  <c r="J37" i="41"/>
  <c r="G37" i="41"/>
  <c r="H37" i="41" s="1"/>
  <c r="G36" i="41"/>
  <c r="H35" i="41"/>
  <c r="G35" i="41"/>
  <c r="G34" i="41"/>
  <c r="G33" i="41"/>
  <c r="H33" i="41" s="1"/>
  <c r="J32" i="41"/>
  <c r="G32" i="41"/>
  <c r="H32" i="41" s="1"/>
  <c r="G31" i="41"/>
  <c r="H30" i="41"/>
  <c r="G30" i="41"/>
  <c r="G29" i="41"/>
  <c r="J28" i="41"/>
  <c r="H28" i="41"/>
  <c r="G28" i="41"/>
  <c r="G27" i="41"/>
  <c r="G26" i="41"/>
  <c r="H26" i="41" s="1"/>
  <c r="G25" i="41"/>
  <c r="J25" i="41" s="1"/>
  <c r="H24" i="41"/>
  <c r="G24" i="41"/>
  <c r="J24" i="41" s="1"/>
  <c r="G23" i="41"/>
  <c r="J23" i="41" s="1"/>
  <c r="G22" i="41"/>
  <c r="H21" i="41"/>
  <c r="G21" i="41"/>
  <c r="J21" i="41" s="1"/>
  <c r="G20" i="41"/>
  <c r="G19" i="41"/>
  <c r="J18" i="41"/>
  <c r="H18" i="41"/>
  <c r="G18" i="41"/>
  <c r="H17" i="41"/>
  <c r="G17" i="41"/>
  <c r="J17" i="41" s="1"/>
  <c r="G16" i="41"/>
  <c r="H16" i="41" s="1"/>
  <c r="G15" i="41"/>
  <c r="J14" i="41"/>
  <c r="H14" i="41"/>
  <c r="G14" i="41"/>
  <c r="G13" i="41"/>
  <c r="H13" i="41" s="1"/>
  <c r="H12" i="41"/>
  <c r="G12" i="41"/>
  <c r="J12" i="41" s="1"/>
  <c r="J11" i="41"/>
  <c r="G11" i="41"/>
  <c r="H11" i="41" s="1"/>
  <c r="G10" i="41"/>
  <c r="J9" i="41"/>
  <c r="G9" i="41"/>
  <c r="G63" i="40"/>
  <c r="G62" i="40"/>
  <c r="G61" i="40"/>
  <c r="G60" i="40"/>
  <c r="E55" i="40"/>
  <c r="D55" i="40"/>
  <c r="C55" i="40"/>
  <c r="E54" i="40"/>
  <c r="D54" i="40"/>
  <c r="C54" i="40"/>
  <c r="G48" i="40"/>
  <c r="H48" i="40" s="1"/>
  <c r="H47" i="40"/>
  <c r="G47" i="40"/>
  <c r="H46" i="40"/>
  <c r="G46" i="40"/>
  <c r="F39" i="40"/>
  <c r="E39" i="40"/>
  <c r="D39" i="40"/>
  <c r="C39" i="40"/>
  <c r="G38" i="40"/>
  <c r="H37" i="40"/>
  <c r="G37" i="40"/>
  <c r="H36" i="40"/>
  <c r="G36" i="40"/>
  <c r="G35" i="40"/>
  <c r="H35" i="40" s="1"/>
  <c r="J34" i="40"/>
  <c r="H34" i="40"/>
  <c r="G34" i="40"/>
  <c r="G33" i="40"/>
  <c r="H33" i="40" s="1"/>
  <c r="G32" i="40"/>
  <c r="G31" i="40"/>
  <c r="H30" i="40"/>
  <c r="G30" i="40"/>
  <c r="H29" i="40"/>
  <c r="G29" i="40"/>
  <c r="H28" i="40"/>
  <c r="G28" i="40"/>
  <c r="G27" i="40"/>
  <c r="H27" i="40" s="1"/>
  <c r="H26" i="40"/>
  <c r="G26" i="40"/>
  <c r="J25" i="40"/>
  <c r="G25" i="40"/>
  <c r="H25" i="40" s="1"/>
  <c r="G24" i="40"/>
  <c r="J23" i="40"/>
  <c r="G23" i="40"/>
  <c r="H23" i="40" s="1"/>
  <c r="G22" i="40"/>
  <c r="J21" i="40"/>
  <c r="G21" i="40"/>
  <c r="H21" i="40" s="1"/>
  <c r="G20" i="40"/>
  <c r="J19" i="40"/>
  <c r="G19" i="40"/>
  <c r="H19" i="40" s="1"/>
  <c r="G18" i="40"/>
  <c r="J17" i="40"/>
  <c r="G17" i="40"/>
  <c r="H17" i="40" s="1"/>
  <c r="G16" i="40"/>
  <c r="J15" i="40"/>
  <c r="G15" i="40"/>
  <c r="H15" i="40" s="1"/>
  <c r="G14" i="40"/>
  <c r="J13" i="40"/>
  <c r="G13" i="40"/>
  <c r="H13" i="40" s="1"/>
  <c r="G12" i="40"/>
  <c r="J11" i="40"/>
  <c r="G11" i="40"/>
  <c r="H11" i="40" s="1"/>
  <c r="H10" i="40"/>
  <c r="G10" i="40"/>
  <c r="J9" i="40"/>
  <c r="G9" i="40"/>
  <c r="H9" i="40" s="1"/>
  <c r="G66" i="39"/>
  <c r="G65" i="39"/>
  <c r="G64" i="39"/>
  <c r="G63" i="39"/>
  <c r="E58" i="39"/>
  <c r="D58" i="39"/>
  <c r="C58" i="39"/>
  <c r="E57" i="39"/>
  <c r="D57" i="39"/>
  <c r="C57" i="39"/>
  <c r="H51" i="39"/>
  <c r="G51" i="39"/>
  <c r="G50" i="39"/>
  <c r="H50" i="39" s="1"/>
  <c r="G49" i="39"/>
  <c r="H49" i="39" s="1"/>
  <c r="F42" i="39"/>
  <c r="E42" i="39"/>
  <c r="D42" i="39"/>
  <c r="C42" i="39"/>
  <c r="H41" i="39"/>
  <c r="G41" i="39"/>
  <c r="G40" i="39"/>
  <c r="H40" i="39" s="1"/>
  <c r="G39" i="39"/>
  <c r="H39" i="39" s="1"/>
  <c r="J38" i="39"/>
  <c r="H38" i="39"/>
  <c r="G38" i="39"/>
  <c r="G37" i="39"/>
  <c r="J36" i="39"/>
  <c r="H36" i="39"/>
  <c r="G36" i="39"/>
  <c r="H35" i="39"/>
  <c r="G35" i="39"/>
  <c r="G34" i="39"/>
  <c r="H34" i="39" s="1"/>
  <c r="J33" i="39"/>
  <c r="H33" i="39"/>
  <c r="G33" i="39"/>
  <c r="G32" i="39"/>
  <c r="H32" i="39" s="1"/>
  <c r="G31" i="39"/>
  <c r="G30" i="39"/>
  <c r="J29" i="39"/>
  <c r="H29" i="39"/>
  <c r="G29" i="39"/>
  <c r="G28" i="39"/>
  <c r="H27" i="39"/>
  <c r="G27" i="39"/>
  <c r="G26" i="39"/>
  <c r="J25" i="39"/>
  <c r="H25" i="39"/>
  <c r="G25" i="39"/>
  <c r="G24" i="39"/>
  <c r="J23" i="39"/>
  <c r="H23" i="39"/>
  <c r="G23" i="39"/>
  <c r="G22" i="39"/>
  <c r="J21" i="39"/>
  <c r="H21" i="39"/>
  <c r="G21" i="39"/>
  <c r="G20" i="39"/>
  <c r="J19" i="39"/>
  <c r="H19" i="39"/>
  <c r="G19" i="39"/>
  <c r="G18" i="39"/>
  <c r="J17" i="39"/>
  <c r="H17" i="39"/>
  <c r="G17" i="39"/>
  <c r="G16" i="39"/>
  <c r="G15" i="39"/>
  <c r="H15" i="39" s="1"/>
  <c r="J14" i="39"/>
  <c r="H14" i="39"/>
  <c r="G14" i="39"/>
  <c r="J13" i="39"/>
  <c r="G13" i="39"/>
  <c r="H13" i="39" s="1"/>
  <c r="J12" i="39"/>
  <c r="H12" i="39"/>
  <c r="G12" i="39"/>
  <c r="H11" i="39"/>
  <c r="G11" i="39"/>
  <c r="G10" i="39"/>
  <c r="H9" i="39"/>
  <c r="G9" i="39"/>
  <c r="J9" i="39" s="1"/>
  <c r="G68" i="38"/>
  <c r="G67" i="38"/>
  <c r="G66" i="38"/>
  <c r="G65" i="38"/>
  <c r="E60" i="38"/>
  <c r="D60" i="38"/>
  <c r="C60" i="38"/>
  <c r="E59" i="38"/>
  <c r="D59" i="38"/>
  <c r="C59" i="38"/>
  <c r="G53" i="38"/>
  <c r="H53" i="38" s="1"/>
  <c r="G52" i="38"/>
  <c r="H52" i="38" s="1"/>
  <c r="H51" i="38"/>
  <c r="G51" i="38"/>
  <c r="F44" i="38"/>
  <c r="E44" i="38"/>
  <c r="D44" i="38"/>
  <c r="C44" i="38"/>
  <c r="G43" i="38"/>
  <c r="G42" i="38"/>
  <c r="J41" i="38"/>
  <c r="H41" i="38"/>
  <c r="G41" i="38"/>
  <c r="G40" i="38"/>
  <c r="H40" i="38" s="1"/>
  <c r="J39" i="38"/>
  <c r="H39" i="38"/>
  <c r="G39" i="38"/>
  <c r="G38" i="38"/>
  <c r="H38" i="38" s="1"/>
  <c r="H37" i="38"/>
  <c r="G37" i="38"/>
  <c r="H36" i="38"/>
  <c r="G36" i="38"/>
  <c r="J35" i="38"/>
  <c r="H35" i="38"/>
  <c r="G35" i="38"/>
  <c r="G34" i="38"/>
  <c r="G44" i="38" s="1"/>
  <c r="J33" i="38"/>
  <c r="H33" i="38"/>
  <c r="G33" i="38"/>
  <c r="G32" i="38"/>
  <c r="J31" i="38"/>
  <c r="H31" i="38"/>
  <c r="G31" i="38"/>
  <c r="G30" i="38"/>
  <c r="J29" i="38"/>
  <c r="H29" i="38"/>
  <c r="G29" i="38"/>
  <c r="G28" i="38"/>
  <c r="J27" i="38"/>
  <c r="H27" i="38"/>
  <c r="G27" i="38"/>
  <c r="G26" i="38"/>
  <c r="J25" i="38"/>
  <c r="H25" i="38"/>
  <c r="G25" i="38"/>
  <c r="G24" i="38"/>
  <c r="H24" i="38" s="1"/>
  <c r="G23" i="38"/>
  <c r="J23" i="38" s="1"/>
  <c r="H22" i="38"/>
  <c r="G22" i="38"/>
  <c r="J21" i="38"/>
  <c r="G21" i="38"/>
  <c r="J20" i="38"/>
  <c r="H20" i="38"/>
  <c r="G20" i="38"/>
  <c r="J19" i="38"/>
  <c r="G19" i="38"/>
  <c r="H19" i="38" s="1"/>
  <c r="J18" i="38"/>
  <c r="H18" i="38"/>
  <c r="G18" i="38"/>
  <c r="J17" i="38"/>
  <c r="H17" i="38"/>
  <c r="G17" i="38"/>
  <c r="J16" i="38"/>
  <c r="H16" i="38"/>
  <c r="G16" i="38"/>
  <c r="H15" i="38"/>
  <c r="G15" i="38"/>
  <c r="J15" i="38" s="1"/>
  <c r="G14" i="38"/>
  <c r="H14" i="38" s="1"/>
  <c r="G13" i="38"/>
  <c r="J13" i="38" s="1"/>
  <c r="G12" i="38"/>
  <c r="H12" i="38" s="1"/>
  <c r="G11" i="38"/>
  <c r="J11" i="38" s="1"/>
  <c r="G10" i="38"/>
  <c r="H9" i="38"/>
  <c r="G9" i="38"/>
  <c r="J9" i="38" s="1"/>
  <c r="G68" i="37"/>
  <c r="G67" i="37"/>
  <c r="G66" i="37"/>
  <c r="G65" i="37"/>
  <c r="E60" i="37"/>
  <c r="D60" i="37"/>
  <c r="C60" i="37"/>
  <c r="E59" i="37"/>
  <c r="D59" i="37"/>
  <c r="C59" i="37"/>
  <c r="G53" i="37"/>
  <c r="H53" i="37" s="1"/>
  <c r="G52" i="37"/>
  <c r="H52" i="37" s="1"/>
  <c r="H51" i="37"/>
  <c r="G51" i="37"/>
  <c r="F44" i="37"/>
  <c r="E44" i="37"/>
  <c r="D44" i="37"/>
  <c r="C44" i="37"/>
  <c r="G43" i="37"/>
  <c r="G42" i="37"/>
  <c r="J41" i="37"/>
  <c r="H41" i="37"/>
  <c r="G41" i="37"/>
  <c r="J40" i="37"/>
  <c r="G40" i="37"/>
  <c r="J39" i="37"/>
  <c r="H39" i="37"/>
  <c r="G39" i="37"/>
  <c r="H38" i="37"/>
  <c r="G38" i="37"/>
  <c r="H37" i="37"/>
  <c r="G37" i="37"/>
  <c r="G36" i="37"/>
  <c r="J35" i="37"/>
  <c r="G35" i="37"/>
  <c r="H35" i="37" s="1"/>
  <c r="G34" i="37"/>
  <c r="G33" i="37"/>
  <c r="J33" i="37" s="1"/>
  <c r="H32" i="37"/>
  <c r="G32" i="37"/>
  <c r="H31" i="37"/>
  <c r="G31" i="37"/>
  <c r="J30" i="37"/>
  <c r="H30" i="37"/>
  <c r="G30" i="37"/>
  <c r="G29" i="37"/>
  <c r="J28" i="37"/>
  <c r="H28" i="37"/>
  <c r="G28" i="37"/>
  <c r="H27" i="37"/>
  <c r="G27" i="37"/>
  <c r="J26" i="37"/>
  <c r="H26" i="37"/>
  <c r="G26" i="37"/>
  <c r="G25" i="37"/>
  <c r="J24" i="37"/>
  <c r="G24" i="37"/>
  <c r="H24" i="37" s="1"/>
  <c r="G23" i="37"/>
  <c r="J23" i="37" s="1"/>
  <c r="G22" i="37"/>
  <c r="G21" i="37"/>
  <c r="H20" i="37"/>
  <c r="G20" i="37"/>
  <c r="J19" i="37"/>
  <c r="G19" i="37"/>
  <c r="G18" i="37"/>
  <c r="J17" i="37"/>
  <c r="H17" i="37"/>
  <c r="G17" i="37"/>
  <c r="G16" i="37"/>
  <c r="J16" i="37" s="1"/>
  <c r="J15" i="37"/>
  <c r="H15" i="37"/>
  <c r="G15" i="37"/>
  <c r="G14" i="37"/>
  <c r="J14" i="37" s="1"/>
  <c r="G13" i="37"/>
  <c r="J12" i="37"/>
  <c r="G12" i="37"/>
  <c r="G11" i="37"/>
  <c r="J10" i="37"/>
  <c r="G10" i="37"/>
  <c r="H10" i="37" s="1"/>
  <c r="G9" i="37"/>
  <c r="G58" i="36"/>
  <c r="G57" i="36"/>
  <c r="G56" i="36"/>
  <c r="G55" i="36"/>
  <c r="E50" i="36"/>
  <c r="D50" i="36"/>
  <c r="C50" i="36"/>
  <c r="E49" i="36"/>
  <c r="D49" i="36"/>
  <c r="C49" i="36"/>
  <c r="H43" i="36"/>
  <c r="G43" i="36"/>
  <c r="H42" i="36"/>
  <c r="G42" i="36"/>
  <c r="G41" i="36"/>
  <c r="H41" i="36" s="1"/>
  <c r="F34" i="36"/>
  <c r="E34" i="36"/>
  <c r="D34" i="36"/>
  <c r="C34" i="36"/>
  <c r="J33" i="36"/>
  <c r="H33" i="36"/>
  <c r="G33" i="36"/>
  <c r="G32" i="36"/>
  <c r="H31" i="36"/>
  <c r="G31" i="36"/>
  <c r="G30" i="36"/>
  <c r="G29" i="36"/>
  <c r="H28" i="36"/>
  <c r="G28" i="36"/>
  <c r="G27" i="36"/>
  <c r="H26" i="36"/>
  <c r="G26" i="36"/>
  <c r="J25" i="36"/>
  <c r="G25" i="36"/>
  <c r="G24" i="36"/>
  <c r="H23" i="36"/>
  <c r="G23" i="36"/>
  <c r="G22" i="36"/>
  <c r="G21" i="36"/>
  <c r="J20" i="36"/>
  <c r="G20" i="36"/>
  <c r="H19" i="36"/>
  <c r="G19" i="36"/>
  <c r="J18" i="36"/>
  <c r="G18" i="36"/>
  <c r="G17" i="36"/>
  <c r="J16" i="36"/>
  <c r="G16" i="36"/>
  <c r="H16" i="36" s="1"/>
  <c r="G15" i="36"/>
  <c r="H14" i="36"/>
  <c r="G14" i="36"/>
  <c r="G13" i="36"/>
  <c r="J13" i="36" s="1"/>
  <c r="G12" i="36"/>
  <c r="G11" i="36"/>
  <c r="J11" i="36" s="1"/>
  <c r="G10" i="36"/>
  <c r="J10" i="36" s="1"/>
  <c r="G9" i="36"/>
  <c r="G60" i="35"/>
  <c r="G59" i="35"/>
  <c r="G58" i="35"/>
  <c r="G57" i="35"/>
  <c r="E52" i="35"/>
  <c r="D52" i="35"/>
  <c r="C52" i="35"/>
  <c r="E51" i="35"/>
  <c r="D51" i="35"/>
  <c r="C51" i="35"/>
  <c r="G45" i="35"/>
  <c r="H45" i="35" s="1"/>
  <c r="G44" i="35"/>
  <c r="H44" i="35" s="1"/>
  <c r="G43" i="35"/>
  <c r="H43" i="35" s="1"/>
  <c r="F36" i="35"/>
  <c r="E36" i="35"/>
  <c r="D36" i="35"/>
  <c r="C36" i="35"/>
  <c r="H35" i="35"/>
  <c r="G35" i="35"/>
  <c r="G34" i="35"/>
  <c r="J34" i="35" s="1"/>
  <c r="J33" i="35"/>
  <c r="H33" i="35"/>
  <c r="G33" i="35"/>
  <c r="G32" i="35"/>
  <c r="J32" i="35" s="1"/>
  <c r="G31" i="35"/>
  <c r="H31" i="35" s="1"/>
  <c r="G30" i="35"/>
  <c r="J30" i="35" s="1"/>
  <c r="H29" i="35"/>
  <c r="G29" i="35"/>
  <c r="J29" i="35" s="1"/>
  <c r="G28" i="35"/>
  <c r="J28" i="35" s="1"/>
  <c r="H27" i="35"/>
  <c r="G27" i="35"/>
  <c r="J26" i="35"/>
  <c r="G26" i="35"/>
  <c r="G25" i="35"/>
  <c r="J24" i="35"/>
  <c r="G24" i="35"/>
  <c r="H23" i="35"/>
  <c r="G23" i="35"/>
  <c r="J22" i="35"/>
  <c r="G22" i="35"/>
  <c r="G21" i="35"/>
  <c r="J20" i="35"/>
  <c r="G20" i="35"/>
  <c r="H19" i="35"/>
  <c r="G19" i="35"/>
  <c r="J18" i="35"/>
  <c r="G18" i="35"/>
  <c r="G17" i="35"/>
  <c r="G16" i="35"/>
  <c r="H16" i="35" s="1"/>
  <c r="G15" i="35"/>
  <c r="J14" i="35"/>
  <c r="H14" i="35"/>
  <c r="G14" i="35"/>
  <c r="G13" i="35"/>
  <c r="J13" i="35" s="1"/>
  <c r="J12" i="35"/>
  <c r="H12" i="35"/>
  <c r="G12" i="35"/>
  <c r="G11" i="35"/>
  <c r="J11" i="35" s="1"/>
  <c r="J10" i="35"/>
  <c r="H10" i="35"/>
  <c r="G10" i="35"/>
  <c r="G9" i="35"/>
  <c r="G61" i="34"/>
  <c r="G60" i="34"/>
  <c r="G59" i="34"/>
  <c r="G58" i="34"/>
  <c r="E53" i="34"/>
  <c r="D53" i="34"/>
  <c r="C53" i="34"/>
  <c r="E52" i="34"/>
  <c r="D52" i="34"/>
  <c r="C52" i="34"/>
  <c r="H46" i="34"/>
  <c r="G46" i="34"/>
  <c r="G45" i="34"/>
  <c r="H45" i="34" s="1"/>
  <c r="G44" i="34"/>
  <c r="H44" i="34" s="1"/>
  <c r="F37" i="34"/>
  <c r="E37" i="34"/>
  <c r="D37" i="34"/>
  <c r="C37" i="34"/>
  <c r="G36" i="34"/>
  <c r="H36" i="34" s="1"/>
  <c r="G35" i="34"/>
  <c r="J34" i="34"/>
  <c r="H34" i="34"/>
  <c r="G34" i="34"/>
  <c r="G33" i="34"/>
  <c r="J33" i="34" s="1"/>
  <c r="H32" i="34"/>
  <c r="G32" i="34"/>
  <c r="G31" i="34"/>
  <c r="J31" i="34" s="1"/>
  <c r="G30" i="34"/>
  <c r="J30" i="34" s="1"/>
  <c r="G29" i="34"/>
  <c r="J29" i="34" s="1"/>
  <c r="H28" i="34"/>
  <c r="G28" i="34"/>
  <c r="J28" i="34" s="1"/>
  <c r="G27" i="34"/>
  <c r="J27" i="34" s="1"/>
  <c r="G26" i="34"/>
  <c r="J26" i="34" s="1"/>
  <c r="G25" i="34"/>
  <c r="J25" i="34" s="1"/>
  <c r="H24" i="34"/>
  <c r="G24" i="34"/>
  <c r="J24" i="34" s="1"/>
  <c r="G23" i="34"/>
  <c r="J23" i="34" s="1"/>
  <c r="G22" i="34"/>
  <c r="J21" i="34"/>
  <c r="G21" i="34"/>
  <c r="H20" i="34"/>
  <c r="G20" i="34"/>
  <c r="J19" i="34"/>
  <c r="G19" i="34"/>
  <c r="G18" i="34"/>
  <c r="J17" i="34"/>
  <c r="G17" i="34"/>
  <c r="H17" i="34" s="1"/>
  <c r="G16" i="34"/>
  <c r="J15" i="34"/>
  <c r="H15" i="34"/>
  <c r="G15" i="34"/>
  <c r="G14" i="34"/>
  <c r="J14" i="34" s="1"/>
  <c r="J13" i="34"/>
  <c r="H13" i="34"/>
  <c r="G13" i="34"/>
  <c r="G12" i="34"/>
  <c r="J12" i="34" s="1"/>
  <c r="J11" i="34"/>
  <c r="H11" i="34"/>
  <c r="G11" i="34"/>
  <c r="G10" i="34"/>
  <c r="J10" i="34" s="1"/>
  <c r="J9" i="34"/>
  <c r="H9" i="34"/>
  <c r="G9" i="34"/>
  <c r="G67" i="33"/>
  <c r="G66" i="33"/>
  <c r="G65" i="33"/>
  <c r="G64" i="33"/>
  <c r="E59" i="33"/>
  <c r="D59" i="33"/>
  <c r="C59" i="33"/>
  <c r="E58" i="33"/>
  <c r="D58" i="33"/>
  <c r="C58" i="33"/>
  <c r="G52" i="33"/>
  <c r="H52" i="33" s="1"/>
  <c r="H51" i="33"/>
  <c r="G51" i="33"/>
  <c r="H50" i="33"/>
  <c r="G50" i="33"/>
  <c r="F43" i="33"/>
  <c r="E43" i="33"/>
  <c r="D43" i="33"/>
  <c r="C43" i="33"/>
  <c r="G42" i="33"/>
  <c r="H41" i="33"/>
  <c r="G41" i="33"/>
  <c r="G40" i="33"/>
  <c r="J40" i="33" s="1"/>
  <c r="H39" i="33"/>
  <c r="G39" i="33"/>
  <c r="G38" i="33"/>
  <c r="J38" i="33" s="1"/>
  <c r="H37" i="33"/>
  <c r="G37" i="33"/>
  <c r="J37" i="33" s="1"/>
  <c r="G36" i="33"/>
  <c r="J36" i="33" s="1"/>
  <c r="G35" i="33"/>
  <c r="J34" i="33"/>
  <c r="G34" i="33"/>
  <c r="G33" i="33"/>
  <c r="J32" i="33"/>
  <c r="G32" i="33"/>
  <c r="G31" i="33"/>
  <c r="J30" i="33"/>
  <c r="G30" i="33"/>
  <c r="G29" i="33"/>
  <c r="J28" i="33"/>
  <c r="G28" i="33"/>
  <c r="G27" i="33"/>
  <c r="J26" i="33"/>
  <c r="G26" i="33"/>
  <c r="G25" i="33"/>
  <c r="J24" i="33"/>
  <c r="G24" i="33"/>
  <c r="G23" i="33"/>
  <c r="J22" i="33"/>
  <c r="G22" i="33"/>
  <c r="G21" i="33"/>
  <c r="J20" i="33"/>
  <c r="G20" i="33"/>
  <c r="G19" i="33"/>
  <c r="J18" i="33"/>
  <c r="G18" i="33"/>
  <c r="G17" i="33"/>
  <c r="J16" i="33"/>
  <c r="G16" i="33"/>
  <c r="G15" i="33"/>
  <c r="J14" i="33"/>
  <c r="G14" i="33"/>
  <c r="G13" i="33"/>
  <c r="J12" i="33"/>
  <c r="G12" i="33"/>
  <c r="G11" i="33"/>
  <c r="J10" i="33"/>
  <c r="G10" i="33"/>
  <c r="G9" i="33"/>
  <c r="G69" i="32"/>
  <c r="G68" i="32"/>
  <c r="G67" i="32"/>
  <c r="G66" i="32"/>
  <c r="E61" i="32"/>
  <c r="D61" i="32"/>
  <c r="C61" i="32"/>
  <c r="E60" i="32"/>
  <c r="D60" i="32"/>
  <c r="C60" i="32"/>
  <c r="G54" i="32"/>
  <c r="H54" i="32" s="1"/>
  <c r="G53" i="32"/>
  <c r="H53" i="32" s="1"/>
  <c r="H52" i="32"/>
  <c r="G52" i="32"/>
  <c r="F45" i="32"/>
  <c r="E45" i="32"/>
  <c r="D45" i="32"/>
  <c r="C45" i="32"/>
  <c r="G44" i="32"/>
  <c r="G43" i="32"/>
  <c r="J42" i="32"/>
  <c r="G42" i="32"/>
  <c r="G41" i="32"/>
  <c r="G40" i="32"/>
  <c r="H40" i="32" s="1"/>
  <c r="G39" i="32"/>
  <c r="J38" i="32"/>
  <c r="G38" i="32"/>
  <c r="H38" i="32" s="1"/>
  <c r="G37" i="32"/>
  <c r="H36" i="32"/>
  <c r="G36" i="32"/>
  <c r="G35" i="32"/>
  <c r="H34" i="32"/>
  <c r="G34" i="32"/>
  <c r="J33" i="32"/>
  <c r="G33" i="32"/>
  <c r="G32" i="32"/>
  <c r="J31" i="32"/>
  <c r="G31" i="32"/>
  <c r="H31" i="32" s="1"/>
  <c r="G30" i="32"/>
  <c r="J29" i="32"/>
  <c r="G29" i="32"/>
  <c r="H29" i="32" s="1"/>
  <c r="G28" i="32"/>
  <c r="J27" i="32"/>
  <c r="G27" i="32"/>
  <c r="H27" i="32" s="1"/>
  <c r="G26" i="32"/>
  <c r="J25" i="32"/>
  <c r="G25" i="32"/>
  <c r="H25" i="32" s="1"/>
  <c r="G24" i="32"/>
  <c r="J23" i="32"/>
  <c r="G23" i="32"/>
  <c r="H23" i="32" s="1"/>
  <c r="G22" i="32"/>
  <c r="H21" i="32"/>
  <c r="G21" i="32"/>
  <c r="G20" i="32"/>
  <c r="J20" i="32" s="1"/>
  <c r="J19" i="32"/>
  <c r="H19" i="32"/>
  <c r="G19" i="32"/>
  <c r="G18" i="32"/>
  <c r="J18" i="32" s="1"/>
  <c r="J17" i="32"/>
  <c r="H17" i="32"/>
  <c r="G17" i="32"/>
  <c r="G16" i="32"/>
  <c r="J16" i="32" s="1"/>
  <c r="J15" i="32"/>
  <c r="H15" i="32"/>
  <c r="G15" i="32"/>
  <c r="G14" i="32"/>
  <c r="J14" i="32" s="1"/>
  <c r="J13" i="32"/>
  <c r="H13" i="32"/>
  <c r="G13" i="32"/>
  <c r="G12" i="32"/>
  <c r="J12" i="32" s="1"/>
  <c r="J11" i="32"/>
  <c r="H11" i="32"/>
  <c r="G11" i="32"/>
  <c r="G10" i="32"/>
  <c r="J10" i="32" s="1"/>
  <c r="J9" i="32"/>
  <c r="H9" i="32"/>
  <c r="G9" i="32"/>
  <c r="G65" i="31"/>
  <c r="G64" i="31"/>
  <c r="G63" i="31"/>
  <c r="G62" i="31"/>
  <c r="E57" i="31"/>
  <c r="D57" i="31"/>
  <c r="C57" i="31"/>
  <c r="E56" i="31"/>
  <c r="D56" i="31"/>
  <c r="C56" i="31"/>
  <c r="G50" i="31"/>
  <c r="H50" i="31" s="1"/>
  <c r="G49" i="31"/>
  <c r="H49" i="31" s="1"/>
  <c r="H48" i="31"/>
  <c r="G48" i="31"/>
  <c r="F41" i="31"/>
  <c r="E41" i="31"/>
  <c r="D41" i="31"/>
  <c r="C41" i="31"/>
  <c r="G40" i="31"/>
  <c r="J39" i="31"/>
  <c r="G39" i="31"/>
  <c r="H39" i="31" s="1"/>
  <c r="G38" i="31"/>
  <c r="J37" i="31"/>
  <c r="G37" i="31"/>
  <c r="H37" i="31" s="1"/>
  <c r="G36" i="31"/>
  <c r="G35" i="31"/>
  <c r="H35" i="31" s="1"/>
  <c r="G34" i="31"/>
  <c r="J34" i="31" s="1"/>
  <c r="G33" i="31"/>
  <c r="G32" i="31"/>
  <c r="J32" i="31" s="1"/>
  <c r="H31" i="31"/>
  <c r="G31" i="31"/>
  <c r="J30" i="31"/>
  <c r="G30" i="31"/>
  <c r="G29" i="31"/>
  <c r="J28" i="31"/>
  <c r="G28" i="31"/>
  <c r="G27" i="31"/>
  <c r="J26" i="31"/>
  <c r="G26" i="31"/>
  <c r="H26" i="31" s="1"/>
  <c r="G25" i="31"/>
  <c r="J24" i="31"/>
  <c r="G24" i="31"/>
  <c r="H24" i="31" s="1"/>
  <c r="G23" i="31"/>
  <c r="H22" i="31"/>
  <c r="G22" i="31"/>
  <c r="G21" i="31"/>
  <c r="J21" i="31" s="1"/>
  <c r="J20" i="31"/>
  <c r="H20" i="31"/>
  <c r="G20" i="31"/>
  <c r="G19" i="31"/>
  <c r="J19" i="31" s="1"/>
  <c r="J18" i="31"/>
  <c r="H18" i="31"/>
  <c r="G18" i="31"/>
  <c r="G17" i="31"/>
  <c r="J17" i="31" s="1"/>
  <c r="J16" i="31"/>
  <c r="H16" i="31"/>
  <c r="G16" i="31"/>
  <c r="G15" i="31"/>
  <c r="J15" i="31" s="1"/>
  <c r="J14" i="31"/>
  <c r="H14" i="31"/>
  <c r="G14" i="31"/>
  <c r="G13" i="31"/>
  <c r="J13" i="31" s="1"/>
  <c r="J12" i="31"/>
  <c r="H12" i="31"/>
  <c r="G12" i="31"/>
  <c r="G11" i="31"/>
  <c r="J10" i="31"/>
  <c r="H10" i="31"/>
  <c r="G10" i="31"/>
  <c r="G9" i="31"/>
  <c r="G62" i="30"/>
  <c r="G61" i="30"/>
  <c r="G60" i="30"/>
  <c r="G59" i="30"/>
  <c r="E54" i="30"/>
  <c r="D54" i="30"/>
  <c r="C54" i="30"/>
  <c r="E53" i="30"/>
  <c r="D53" i="30"/>
  <c r="C53" i="30"/>
  <c r="G47" i="30"/>
  <c r="H47" i="30" s="1"/>
  <c r="G46" i="30"/>
  <c r="H46" i="30" s="1"/>
  <c r="G45" i="30"/>
  <c r="H45" i="30" s="1"/>
  <c r="F38" i="30"/>
  <c r="E38" i="30"/>
  <c r="D38" i="30"/>
  <c r="C38" i="30"/>
  <c r="H37" i="30"/>
  <c r="G37" i="30"/>
  <c r="G36" i="30"/>
  <c r="J35" i="30"/>
  <c r="H35" i="30"/>
  <c r="G35" i="30"/>
  <c r="G34" i="30"/>
  <c r="G33" i="30"/>
  <c r="H33" i="30" s="1"/>
  <c r="G32" i="30"/>
  <c r="H32" i="30" s="1"/>
  <c r="G31" i="30"/>
  <c r="G30" i="30"/>
  <c r="H30" i="30" s="1"/>
  <c r="G29" i="30"/>
  <c r="J29" i="30" s="1"/>
  <c r="G28" i="30"/>
  <c r="J27" i="30"/>
  <c r="G27" i="30"/>
  <c r="G26" i="30"/>
  <c r="H25" i="30"/>
  <c r="G25" i="30"/>
  <c r="G24" i="30"/>
  <c r="J23" i="30"/>
  <c r="H23" i="30"/>
  <c r="G23" i="30"/>
  <c r="G22" i="30"/>
  <c r="J21" i="30"/>
  <c r="H21" i="30"/>
  <c r="G21" i="30"/>
  <c r="G20" i="30"/>
  <c r="J19" i="30"/>
  <c r="H19" i="30"/>
  <c r="G19" i="30"/>
  <c r="G18" i="30"/>
  <c r="J17" i="30"/>
  <c r="H17" i="30"/>
  <c r="G17" i="30"/>
  <c r="G16" i="30"/>
  <c r="J15" i="30"/>
  <c r="H15" i="30"/>
  <c r="G15" i="30"/>
  <c r="G14" i="30"/>
  <c r="J13" i="30"/>
  <c r="H13" i="30"/>
  <c r="G13" i="30"/>
  <c r="G12" i="30"/>
  <c r="J11" i="30"/>
  <c r="H11" i="30"/>
  <c r="G11" i="30"/>
  <c r="G10" i="30"/>
  <c r="J9" i="30"/>
  <c r="H9" i="30"/>
  <c r="G9" i="30"/>
  <c r="G67" i="29"/>
  <c r="G66" i="29"/>
  <c r="G65" i="29"/>
  <c r="G64" i="29"/>
  <c r="E59" i="29"/>
  <c r="D59" i="29"/>
  <c r="C59" i="29"/>
  <c r="E58" i="29"/>
  <c r="D58" i="29"/>
  <c r="C58" i="29"/>
  <c r="H52" i="29"/>
  <c r="G52" i="29"/>
  <c r="H51" i="29"/>
  <c r="G51" i="29"/>
  <c r="H50" i="29"/>
  <c r="G50" i="29"/>
  <c r="F43" i="29"/>
  <c r="E43" i="29"/>
  <c r="D43" i="29"/>
  <c r="C43" i="29"/>
  <c r="G42" i="29"/>
  <c r="H41" i="29"/>
  <c r="G41" i="29"/>
  <c r="G40" i="29"/>
  <c r="H39" i="29"/>
  <c r="G39" i="29"/>
  <c r="G38" i="29"/>
  <c r="H38" i="29" s="1"/>
  <c r="G37" i="29"/>
  <c r="J37" i="29" s="1"/>
  <c r="J36" i="29"/>
  <c r="G36" i="29"/>
  <c r="H36" i="29" s="1"/>
  <c r="H35" i="29"/>
  <c r="G35" i="29"/>
  <c r="J34" i="29"/>
  <c r="H34" i="29"/>
  <c r="G34" i="29"/>
  <c r="H33" i="29"/>
  <c r="G33" i="29"/>
  <c r="J32" i="29"/>
  <c r="H32" i="29"/>
  <c r="G32" i="29"/>
  <c r="H31" i="29"/>
  <c r="G31" i="29"/>
  <c r="J30" i="29"/>
  <c r="H30" i="29"/>
  <c r="G30" i="29"/>
  <c r="H29" i="29"/>
  <c r="G29" i="29"/>
  <c r="J28" i="29"/>
  <c r="H28" i="29"/>
  <c r="G28" i="29"/>
  <c r="H27" i="29"/>
  <c r="G27" i="29"/>
  <c r="J26" i="29"/>
  <c r="H26" i="29"/>
  <c r="G26" i="29"/>
  <c r="H25" i="29"/>
  <c r="G25" i="29"/>
  <c r="G24" i="29"/>
  <c r="H24" i="29" s="1"/>
  <c r="G23" i="29"/>
  <c r="G22" i="29"/>
  <c r="G21" i="29"/>
  <c r="G20" i="29"/>
  <c r="J20" i="29" s="1"/>
  <c r="G19" i="29"/>
  <c r="J18" i="29"/>
  <c r="H18" i="29"/>
  <c r="G18" i="29"/>
  <c r="G17" i="29"/>
  <c r="G16" i="29"/>
  <c r="G15" i="29"/>
  <c r="J14" i="29"/>
  <c r="H14" i="29"/>
  <c r="G14" i="29"/>
  <c r="G13" i="29"/>
  <c r="H12" i="29"/>
  <c r="G12" i="29"/>
  <c r="J12" i="29" s="1"/>
  <c r="G11" i="29"/>
  <c r="J10" i="29"/>
  <c r="H10" i="29"/>
  <c r="G10" i="29"/>
  <c r="G9" i="29"/>
  <c r="G61" i="28"/>
  <c r="G60" i="28"/>
  <c r="G59" i="28"/>
  <c r="G58" i="28"/>
  <c r="E53" i="28"/>
  <c r="D53" i="28"/>
  <c r="C53" i="28"/>
  <c r="E52" i="28"/>
  <c r="D52" i="28"/>
  <c r="C52" i="28"/>
  <c r="G46" i="28"/>
  <c r="H46" i="28" s="1"/>
  <c r="H45" i="28"/>
  <c r="G45" i="28"/>
  <c r="G44" i="28"/>
  <c r="H44" i="28" s="1"/>
  <c r="F37" i="28"/>
  <c r="E37" i="28"/>
  <c r="D37" i="28"/>
  <c r="C37" i="28"/>
  <c r="H36" i="28"/>
  <c r="G36" i="28"/>
  <c r="G35" i="28"/>
  <c r="J34" i="28"/>
  <c r="H34" i="28"/>
  <c r="G34" i="28"/>
  <c r="G33" i="28"/>
  <c r="H32" i="28"/>
  <c r="G32" i="28"/>
  <c r="H31" i="28"/>
  <c r="G31" i="28"/>
  <c r="G30" i="28"/>
  <c r="J29" i="28"/>
  <c r="H29" i="28"/>
  <c r="G29" i="28"/>
  <c r="G28" i="28"/>
  <c r="J27" i="28"/>
  <c r="H27" i="28"/>
  <c r="G27" i="28"/>
  <c r="H26" i="28"/>
  <c r="G26" i="28"/>
  <c r="J26" i="28" s="1"/>
  <c r="J25" i="28"/>
  <c r="H25" i="28"/>
  <c r="G25" i="28"/>
  <c r="G24" i="28"/>
  <c r="J24" i="28" s="1"/>
  <c r="J23" i="28"/>
  <c r="H23" i="28"/>
  <c r="G23" i="28"/>
  <c r="G22" i="28"/>
  <c r="H21" i="28"/>
  <c r="G21" i="28"/>
  <c r="G20" i="28"/>
  <c r="H20" i="28" s="1"/>
  <c r="H19" i="28"/>
  <c r="G19" i="28"/>
  <c r="H18" i="28"/>
  <c r="G18" i="28"/>
  <c r="G17" i="28"/>
  <c r="H16" i="28"/>
  <c r="G16" i="28"/>
  <c r="G15" i="28"/>
  <c r="G14" i="28"/>
  <c r="G13" i="28"/>
  <c r="H13" i="28" s="1"/>
  <c r="G12" i="28"/>
  <c r="H12" i="28" s="1"/>
  <c r="J11" i="28"/>
  <c r="H11" i="28"/>
  <c r="G11" i="28"/>
  <c r="H10" i="28"/>
  <c r="G10" i="28"/>
  <c r="J10" i="28" s="1"/>
  <c r="H9" i="28"/>
  <c r="G9" i="28"/>
  <c r="G72" i="27"/>
  <c r="G71" i="27"/>
  <c r="G70" i="27"/>
  <c r="G69" i="27"/>
  <c r="E64" i="27"/>
  <c r="D64" i="27"/>
  <c r="C64" i="27"/>
  <c r="E63" i="27"/>
  <c r="D63" i="27"/>
  <c r="C63" i="27"/>
  <c r="H57" i="27"/>
  <c r="G57" i="27"/>
  <c r="G56" i="27"/>
  <c r="H56" i="27" s="1"/>
  <c r="H55" i="27"/>
  <c r="G55" i="27"/>
  <c r="F48" i="27"/>
  <c r="E48" i="27"/>
  <c r="D48" i="27"/>
  <c r="C48" i="27"/>
  <c r="H47" i="27"/>
  <c r="G47" i="27"/>
  <c r="G46" i="27"/>
  <c r="H46" i="27" s="1"/>
  <c r="G45" i="27"/>
  <c r="G44" i="27"/>
  <c r="J43" i="27"/>
  <c r="G43" i="27"/>
  <c r="H43" i="27" s="1"/>
  <c r="J42" i="27"/>
  <c r="H42" i="27"/>
  <c r="G42" i="27"/>
  <c r="J41" i="27"/>
  <c r="G41" i="27"/>
  <c r="H41" i="27" s="1"/>
  <c r="H40" i="27"/>
  <c r="G40" i="27"/>
  <c r="G39" i="27"/>
  <c r="G38" i="27"/>
  <c r="J37" i="27"/>
  <c r="H37" i="27"/>
  <c r="G37" i="27"/>
  <c r="J36" i="27"/>
  <c r="G36" i="27"/>
  <c r="J35" i="27"/>
  <c r="H35" i="27"/>
  <c r="G35" i="27"/>
  <c r="J34" i="27"/>
  <c r="G34" i="27"/>
  <c r="H33" i="27"/>
  <c r="G33" i="27"/>
  <c r="J32" i="27"/>
  <c r="G32" i="27"/>
  <c r="J31" i="27"/>
  <c r="H31" i="27"/>
  <c r="G31" i="27"/>
  <c r="G30" i="27"/>
  <c r="J29" i="27"/>
  <c r="H29" i="27"/>
  <c r="G29" i="27"/>
  <c r="J28" i="27"/>
  <c r="G28" i="27"/>
  <c r="J27" i="27"/>
  <c r="H27" i="27"/>
  <c r="G27" i="27"/>
  <c r="J26" i="27"/>
  <c r="G26" i="27"/>
  <c r="H25" i="27"/>
  <c r="G25" i="27"/>
  <c r="J24" i="27"/>
  <c r="H24" i="27"/>
  <c r="G24" i="27"/>
  <c r="G23" i="27"/>
  <c r="H23" i="27" s="1"/>
  <c r="J22" i="27"/>
  <c r="H22" i="27"/>
  <c r="G22" i="27"/>
  <c r="H21" i="27"/>
  <c r="G21" i="27"/>
  <c r="J20" i="27"/>
  <c r="H20" i="27"/>
  <c r="G20" i="27"/>
  <c r="G19" i="27"/>
  <c r="J18" i="27"/>
  <c r="H18" i="27"/>
  <c r="G18" i="27"/>
  <c r="G17" i="27"/>
  <c r="J16" i="27"/>
  <c r="H16" i="27"/>
  <c r="G16" i="27"/>
  <c r="G15" i="27"/>
  <c r="J14" i="27"/>
  <c r="H14" i="27"/>
  <c r="G14" i="27"/>
  <c r="H13" i="27"/>
  <c r="G13" i="27"/>
  <c r="J12" i="27"/>
  <c r="H12" i="27"/>
  <c r="G12" i="27"/>
  <c r="G11" i="27"/>
  <c r="J10" i="27"/>
  <c r="H10" i="27"/>
  <c r="G10" i="27"/>
  <c r="H9" i="27"/>
  <c r="G9" i="27"/>
  <c r="G60" i="26"/>
  <c r="G59" i="26"/>
  <c r="G58" i="26"/>
  <c r="G57" i="26"/>
  <c r="E52" i="26"/>
  <c r="D52" i="26"/>
  <c r="C52" i="26"/>
  <c r="E51" i="26"/>
  <c r="D51" i="26"/>
  <c r="C51" i="26"/>
  <c r="H45" i="26"/>
  <c r="G45" i="26"/>
  <c r="H44" i="26"/>
  <c r="G44" i="26"/>
  <c r="H43" i="26"/>
  <c r="G43" i="26"/>
  <c r="F36" i="26"/>
  <c r="E36" i="26"/>
  <c r="D36" i="26"/>
  <c r="C36" i="26"/>
  <c r="G35" i="26"/>
  <c r="H35" i="26" s="1"/>
  <c r="G34" i="26"/>
  <c r="J34" i="26" s="1"/>
  <c r="J33" i="26"/>
  <c r="G33" i="26"/>
  <c r="H33" i="26" s="1"/>
  <c r="H32" i="26"/>
  <c r="G32" i="26"/>
  <c r="J32" i="26" s="1"/>
  <c r="H31" i="26"/>
  <c r="G31" i="26"/>
  <c r="G30" i="26"/>
  <c r="H29" i="26"/>
  <c r="G29" i="26"/>
  <c r="G28" i="26"/>
  <c r="H28" i="26" s="1"/>
  <c r="G27" i="26"/>
  <c r="G26" i="26"/>
  <c r="H26" i="26" s="1"/>
  <c r="H25" i="26"/>
  <c r="G25" i="26"/>
  <c r="H24" i="26"/>
  <c r="G24" i="26"/>
  <c r="H23" i="26"/>
  <c r="G23" i="26"/>
  <c r="G22" i="26"/>
  <c r="H21" i="26"/>
  <c r="G21" i="26"/>
  <c r="J20" i="26"/>
  <c r="H20" i="26"/>
  <c r="G20" i="26"/>
  <c r="J19" i="26"/>
  <c r="H19" i="26"/>
  <c r="G19" i="26"/>
  <c r="J18" i="26"/>
  <c r="H18" i="26"/>
  <c r="G18" i="26"/>
  <c r="G17" i="26"/>
  <c r="H16" i="26"/>
  <c r="G16" i="26"/>
  <c r="G15" i="26"/>
  <c r="J14" i="26"/>
  <c r="G14" i="26"/>
  <c r="H14" i="26" s="1"/>
  <c r="H13" i="26"/>
  <c r="G13" i="26"/>
  <c r="J12" i="26"/>
  <c r="H12" i="26"/>
  <c r="G12" i="26"/>
  <c r="J11" i="26"/>
  <c r="H11" i="26"/>
  <c r="G11" i="26"/>
  <c r="J10" i="26"/>
  <c r="H10" i="26"/>
  <c r="G10" i="26"/>
  <c r="J9" i="26"/>
  <c r="H9" i="26"/>
  <c r="G9" i="26"/>
  <c r="G63" i="25"/>
  <c r="G62" i="25"/>
  <c r="G61" i="25"/>
  <c r="G60" i="25"/>
  <c r="E55" i="25"/>
  <c r="D55" i="25"/>
  <c r="C55" i="25"/>
  <c r="E54" i="25"/>
  <c r="D54" i="25"/>
  <c r="C54" i="25"/>
  <c r="H48" i="25"/>
  <c r="G48" i="25"/>
  <c r="H47" i="25"/>
  <c r="G47" i="25"/>
  <c r="H46" i="25"/>
  <c r="G46" i="25"/>
  <c r="F39" i="25"/>
  <c r="E39" i="25"/>
  <c r="D39" i="25"/>
  <c r="C39" i="25"/>
  <c r="G38" i="25"/>
  <c r="H38" i="25" s="1"/>
  <c r="H37" i="25"/>
  <c r="G37" i="25"/>
  <c r="J36" i="25"/>
  <c r="H36" i="25"/>
  <c r="G36" i="25"/>
  <c r="J35" i="25"/>
  <c r="H35" i="25"/>
  <c r="G35" i="25"/>
  <c r="H34" i="25"/>
  <c r="G34" i="25"/>
  <c r="H33" i="25"/>
  <c r="G33" i="25"/>
  <c r="G32" i="25"/>
  <c r="H31" i="25"/>
  <c r="G31" i="25"/>
  <c r="G30" i="25"/>
  <c r="H30" i="25" s="1"/>
  <c r="H29" i="25"/>
  <c r="G29" i="25"/>
  <c r="G28" i="25"/>
  <c r="H28" i="25" s="1"/>
  <c r="H27" i="25"/>
  <c r="G27" i="25"/>
  <c r="J26" i="25"/>
  <c r="H26" i="25"/>
  <c r="G26" i="25"/>
  <c r="J25" i="25"/>
  <c r="H25" i="25"/>
  <c r="G25" i="25"/>
  <c r="J24" i="25"/>
  <c r="H24" i="25"/>
  <c r="G24" i="25"/>
  <c r="G23" i="25"/>
  <c r="H23" i="25" s="1"/>
  <c r="G22" i="25"/>
  <c r="G21" i="25"/>
  <c r="H21" i="25" s="1"/>
  <c r="G20" i="25"/>
  <c r="J19" i="25"/>
  <c r="G19" i="25"/>
  <c r="H19" i="25" s="1"/>
  <c r="G18" i="25"/>
  <c r="J17" i="25"/>
  <c r="G17" i="25"/>
  <c r="H17" i="25" s="1"/>
  <c r="G16" i="25"/>
  <c r="J15" i="25"/>
  <c r="G15" i="25"/>
  <c r="H15" i="25" s="1"/>
  <c r="G14" i="25"/>
  <c r="H13" i="25"/>
  <c r="G13" i="25"/>
  <c r="J12" i="25"/>
  <c r="H12" i="25"/>
  <c r="G12" i="25"/>
  <c r="J11" i="25"/>
  <c r="H11" i="25"/>
  <c r="G11" i="25"/>
  <c r="J10" i="25"/>
  <c r="H10" i="25"/>
  <c r="G10" i="25"/>
  <c r="J9" i="25"/>
  <c r="H9" i="25"/>
  <c r="G9" i="25"/>
  <c r="G65" i="24"/>
  <c r="G64" i="24"/>
  <c r="G63" i="24"/>
  <c r="G62" i="24"/>
  <c r="E57" i="24"/>
  <c r="D57" i="24"/>
  <c r="C57" i="24"/>
  <c r="E56" i="24"/>
  <c r="D56" i="24"/>
  <c r="C56" i="24"/>
  <c r="H50" i="24"/>
  <c r="G50" i="24"/>
  <c r="H49" i="24"/>
  <c r="G49" i="24"/>
  <c r="H48" i="24"/>
  <c r="G48" i="24"/>
  <c r="F41" i="24"/>
  <c r="E41" i="24"/>
  <c r="D41" i="24"/>
  <c r="C41" i="24"/>
  <c r="G40" i="24"/>
  <c r="H39" i="24"/>
  <c r="G39" i="24"/>
  <c r="J38" i="24"/>
  <c r="H38" i="24"/>
  <c r="G38" i="24"/>
  <c r="J37" i="24"/>
  <c r="H37" i="24"/>
  <c r="G37" i="24"/>
  <c r="G36" i="24"/>
  <c r="H36" i="24" s="1"/>
  <c r="G35" i="24"/>
  <c r="G34" i="24"/>
  <c r="H34" i="24" s="1"/>
  <c r="H33" i="24"/>
  <c r="G33" i="24"/>
  <c r="H32" i="24"/>
  <c r="G32" i="24"/>
  <c r="H31" i="24"/>
  <c r="G31" i="24"/>
  <c r="G30" i="24"/>
  <c r="H29" i="24"/>
  <c r="G29" i="24"/>
  <c r="J28" i="24"/>
  <c r="H28" i="24"/>
  <c r="G28" i="24"/>
  <c r="J27" i="24"/>
  <c r="H27" i="24"/>
  <c r="G27" i="24"/>
  <c r="J26" i="24"/>
  <c r="H26" i="24"/>
  <c r="G26" i="24"/>
  <c r="J25" i="24"/>
  <c r="H25" i="24"/>
  <c r="G25" i="24"/>
  <c r="J24" i="24"/>
  <c r="H24" i="24"/>
  <c r="G24" i="24"/>
  <c r="J23" i="24"/>
  <c r="H23" i="24"/>
  <c r="G23" i="24"/>
  <c r="G22" i="24"/>
  <c r="H22" i="24" s="1"/>
  <c r="H21" i="24"/>
  <c r="G21" i="24"/>
  <c r="J20" i="24"/>
  <c r="H20" i="24"/>
  <c r="G20" i="24"/>
  <c r="G19" i="24"/>
  <c r="H18" i="24"/>
  <c r="G18" i="24"/>
  <c r="J17" i="24"/>
  <c r="H17" i="24"/>
  <c r="G17" i="24"/>
  <c r="G16" i="24"/>
  <c r="H16" i="24" s="1"/>
  <c r="G15" i="24"/>
  <c r="J15" i="24" s="1"/>
  <c r="G14" i="24"/>
  <c r="J14" i="24" s="1"/>
  <c r="H13" i="24"/>
  <c r="G13" i="24"/>
  <c r="G12" i="24"/>
  <c r="J11" i="24"/>
  <c r="G11" i="24"/>
  <c r="H11" i="24" s="1"/>
  <c r="G10" i="24"/>
  <c r="H9" i="24"/>
  <c r="G9" i="24"/>
  <c r="G63" i="23"/>
  <c r="G62" i="23"/>
  <c r="G61" i="23"/>
  <c r="G60" i="23"/>
  <c r="E55" i="23"/>
  <c r="D55" i="23"/>
  <c r="C55" i="23"/>
  <c r="E54" i="23"/>
  <c r="D54" i="23"/>
  <c r="C54" i="23"/>
  <c r="H48" i="23"/>
  <c r="G48" i="23"/>
  <c r="G47" i="23"/>
  <c r="H47" i="23" s="1"/>
  <c r="H46" i="23"/>
  <c r="G46" i="23"/>
  <c r="F39" i="23"/>
  <c r="E39" i="23"/>
  <c r="D39" i="23"/>
  <c r="C39" i="23"/>
  <c r="G38" i="23"/>
  <c r="H37" i="23"/>
  <c r="G37" i="23"/>
  <c r="J36" i="23"/>
  <c r="H36" i="23"/>
  <c r="G36" i="23"/>
  <c r="G35" i="23"/>
  <c r="G34" i="23"/>
  <c r="J34" i="23" s="1"/>
  <c r="G33" i="23"/>
  <c r="J33" i="23" s="1"/>
  <c r="H32" i="23"/>
  <c r="G32" i="23"/>
  <c r="G31" i="23"/>
  <c r="J30" i="23"/>
  <c r="G30" i="23"/>
  <c r="H30" i="23" s="1"/>
  <c r="H29" i="23"/>
  <c r="G29" i="23"/>
  <c r="J28" i="23"/>
  <c r="H28" i="23"/>
  <c r="G28" i="23"/>
  <c r="J27" i="23"/>
  <c r="H27" i="23"/>
  <c r="G27" i="23"/>
  <c r="J26" i="23"/>
  <c r="H26" i="23"/>
  <c r="G26" i="23"/>
  <c r="J25" i="23"/>
  <c r="H25" i="23"/>
  <c r="G25" i="23"/>
  <c r="H24" i="23"/>
  <c r="G24" i="23"/>
  <c r="H23" i="23"/>
  <c r="G23" i="23"/>
  <c r="H22" i="23"/>
  <c r="G22" i="23"/>
  <c r="J21" i="23"/>
  <c r="H21" i="23"/>
  <c r="G21" i="23"/>
  <c r="G20" i="23"/>
  <c r="J19" i="23"/>
  <c r="H19" i="23"/>
  <c r="G19" i="23"/>
  <c r="H18" i="23"/>
  <c r="G18" i="23"/>
  <c r="J17" i="23"/>
  <c r="H17" i="23"/>
  <c r="G17" i="23"/>
  <c r="G16" i="23"/>
  <c r="J15" i="23"/>
  <c r="H15" i="23"/>
  <c r="G15" i="23"/>
  <c r="H14" i="23"/>
  <c r="G14" i="23"/>
  <c r="J13" i="23"/>
  <c r="H13" i="23"/>
  <c r="G13" i="23"/>
  <c r="G12" i="23"/>
  <c r="G11" i="23"/>
  <c r="H11" i="23" s="1"/>
  <c r="G10" i="23"/>
  <c r="J9" i="23"/>
  <c r="G9" i="23"/>
  <c r="H9" i="23" s="1"/>
  <c r="G53" i="22"/>
  <c r="G52" i="22"/>
  <c r="G51" i="22"/>
  <c r="G50" i="22"/>
  <c r="E45" i="22"/>
  <c r="D45" i="22"/>
  <c r="C45" i="22"/>
  <c r="E44" i="22"/>
  <c r="D44" i="22"/>
  <c r="C44" i="22"/>
  <c r="G38" i="22"/>
  <c r="H38" i="22" s="1"/>
  <c r="H37" i="22"/>
  <c r="G37" i="22"/>
  <c r="G36" i="22"/>
  <c r="H36" i="22" s="1"/>
  <c r="F29" i="22"/>
  <c r="E29" i="22"/>
  <c r="D29" i="22"/>
  <c r="C29" i="22"/>
  <c r="H28" i="22"/>
  <c r="G28" i="22"/>
  <c r="G27" i="22"/>
  <c r="H27" i="22" s="1"/>
  <c r="G26" i="22"/>
  <c r="J25" i="22"/>
  <c r="G25" i="22"/>
  <c r="H25" i="22" s="1"/>
  <c r="H24" i="22"/>
  <c r="G24" i="22"/>
  <c r="H23" i="22"/>
  <c r="G23" i="22"/>
  <c r="G22" i="22"/>
  <c r="J22" i="22" s="1"/>
  <c r="G21" i="22"/>
  <c r="J21" i="22" s="1"/>
  <c r="G20" i="22"/>
  <c r="J20" i="22" s="1"/>
  <c r="G19" i="22"/>
  <c r="G18" i="22"/>
  <c r="J18" i="22" s="1"/>
  <c r="G17" i="22"/>
  <c r="J17" i="22" s="1"/>
  <c r="G16" i="22"/>
  <c r="J16" i="22" s="1"/>
  <c r="H15" i="22"/>
  <c r="G15" i="22"/>
  <c r="J15" i="22" s="1"/>
  <c r="G14" i="22"/>
  <c r="J14" i="22" s="1"/>
  <c r="G13" i="22"/>
  <c r="G12" i="22"/>
  <c r="J12" i="22" s="1"/>
  <c r="H11" i="22"/>
  <c r="G11" i="22"/>
  <c r="J11" i="22" s="1"/>
  <c r="G10" i="22"/>
  <c r="J10" i="22" s="1"/>
  <c r="G9" i="22"/>
  <c r="G69" i="21"/>
  <c r="G68" i="21"/>
  <c r="G67" i="21"/>
  <c r="G66" i="21"/>
  <c r="E61" i="21"/>
  <c r="D61" i="21"/>
  <c r="C61" i="21"/>
  <c r="E60" i="21"/>
  <c r="D60" i="21"/>
  <c r="C60" i="21"/>
  <c r="G54" i="21"/>
  <c r="H54" i="21" s="1"/>
  <c r="G53" i="21"/>
  <c r="H53" i="21" s="1"/>
  <c r="G52" i="21"/>
  <c r="H52" i="21" s="1"/>
  <c r="F45" i="21"/>
  <c r="E45" i="21"/>
  <c r="D45" i="21"/>
  <c r="C45" i="21"/>
  <c r="H44" i="21"/>
  <c r="G44" i="21"/>
  <c r="H43" i="21"/>
  <c r="G43" i="21"/>
  <c r="H42" i="21"/>
  <c r="G42" i="21"/>
  <c r="H41" i="21"/>
  <c r="G41" i="21"/>
  <c r="J40" i="21"/>
  <c r="H40" i="21"/>
  <c r="G40" i="21"/>
  <c r="G39" i="21"/>
  <c r="G38" i="21"/>
  <c r="H38" i="21" s="1"/>
  <c r="H37" i="21"/>
  <c r="G37" i="21"/>
  <c r="H36" i="21"/>
  <c r="G36" i="21"/>
  <c r="H35" i="21"/>
  <c r="G35" i="21"/>
  <c r="G34" i="21"/>
  <c r="J33" i="21"/>
  <c r="H33" i="21"/>
  <c r="G33" i="21"/>
  <c r="G32" i="21"/>
  <c r="J31" i="21"/>
  <c r="H31" i="21"/>
  <c r="G31" i="21"/>
  <c r="J30" i="21"/>
  <c r="G30" i="21"/>
  <c r="J29" i="21"/>
  <c r="H29" i="21"/>
  <c r="G29" i="21"/>
  <c r="G28" i="21"/>
  <c r="J27" i="21"/>
  <c r="H27" i="21"/>
  <c r="G27" i="21"/>
  <c r="G26" i="21"/>
  <c r="J25" i="21"/>
  <c r="H25" i="21"/>
  <c r="G25" i="21"/>
  <c r="G24" i="21"/>
  <c r="J23" i="21"/>
  <c r="H23" i="21"/>
  <c r="G23" i="21"/>
  <c r="G22" i="21"/>
  <c r="H22" i="21" s="1"/>
  <c r="G21" i="21"/>
  <c r="H21" i="21" s="1"/>
  <c r="G20" i="21"/>
  <c r="J19" i="21"/>
  <c r="G19" i="21"/>
  <c r="H19" i="21" s="1"/>
  <c r="G18" i="21"/>
  <c r="G17" i="21"/>
  <c r="G16" i="21"/>
  <c r="J15" i="21"/>
  <c r="G15" i="21"/>
  <c r="H15" i="21" s="1"/>
  <c r="G14" i="21"/>
  <c r="G13" i="21"/>
  <c r="H13" i="21" s="1"/>
  <c r="G12" i="21"/>
  <c r="G11" i="21"/>
  <c r="H11" i="21" s="1"/>
  <c r="G10" i="21"/>
  <c r="J9" i="21"/>
  <c r="G9" i="21"/>
  <c r="H9" i="21" s="1"/>
  <c r="G66" i="20"/>
  <c r="G65" i="20"/>
  <c r="G64" i="20"/>
  <c r="G63" i="20"/>
  <c r="E58" i="20"/>
  <c r="D58" i="20"/>
  <c r="C58" i="20"/>
  <c r="E57" i="20"/>
  <c r="D57" i="20"/>
  <c r="C57" i="20"/>
  <c r="G51" i="20"/>
  <c r="H51" i="20" s="1"/>
  <c r="G50" i="20"/>
  <c r="H50" i="20" s="1"/>
  <c r="G49" i="20"/>
  <c r="H49" i="20" s="1"/>
  <c r="F42" i="20"/>
  <c r="E42" i="20"/>
  <c r="D42" i="20"/>
  <c r="C42" i="20"/>
  <c r="G41" i="20"/>
  <c r="G40" i="20"/>
  <c r="H40" i="20" s="1"/>
  <c r="H39" i="20"/>
  <c r="G39" i="20"/>
  <c r="J38" i="20"/>
  <c r="H38" i="20"/>
  <c r="G38" i="20"/>
  <c r="J37" i="20"/>
  <c r="H37" i="20"/>
  <c r="G37" i="20"/>
  <c r="H36" i="20"/>
  <c r="G36" i="20"/>
  <c r="H35" i="20"/>
  <c r="G35" i="20"/>
  <c r="G34" i="20"/>
  <c r="H34" i="20" s="1"/>
  <c r="H33" i="20"/>
  <c r="G33" i="20"/>
  <c r="G32" i="20"/>
  <c r="H32" i="20" s="1"/>
  <c r="H31" i="20"/>
  <c r="G31" i="20"/>
  <c r="G30" i="20"/>
  <c r="H30" i="20" s="1"/>
  <c r="H29" i="20"/>
  <c r="G29" i="20"/>
  <c r="J28" i="20"/>
  <c r="H28" i="20"/>
  <c r="G28" i="20"/>
  <c r="J27" i="20"/>
  <c r="H27" i="20"/>
  <c r="G27" i="20"/>
  <c r="J26" i="20"/>
  <c r="H26" i="20"/>
  <c r="G26" i="20"/>
  <c r="J25" i="20"/>
  <c r="H25" i="20"/>
  <c r="G25" i="20"/>
  <c r="G24" i="20"/>
  <c r="G23" i="20"/>
  <c r="H22" i="20"/>
  <c r="G22" i="20"/>
  <c r="J22" i="20" s="1"/>
  <c r="G21" i="20"/>
  <c r="H20" i="20"/>
  <c r="G20" i="20"/>
  <c r="J19" i="20"/>
  <c r="H19" i="20"/>
  <c r="G19" i="20"/>
  <c r="G18" i="20"/>
  <c r="J17" i="20"/>
  <c r="G17" i="20"/>
  <c r="H17" i="20" s="1"/>
  <c r="G16" i="20"/>
  <c r="G15" i="20"/>
  <c r="H14" i="20"/>
  <c r="G14" i="20"/>
  <c r="J13" i="20"/>
  <c r="H13" i="20"/>
  <c r="G13" i="20"/>
  <c r="J12" i="20"/>
  <c r="H12" i="20"/>
  <c r="G12" i="20"/>
  <c r="J11" i="20"/>
  <c r="H11" i="20"/>
  <c r="G11" i="20"/>
  <c r="J10" i="20"/>
  <c r="H10" i="20"/>
  <c r="G10" i="20"/>
  <c r="J9" i="20"/>
  <c r="H9" i="20"/>
  <c r="G9" i="20"/>
  <c r="G45" i="19"/>
  <c r="G44" i="19"/>
  <c r="G43" i="19"/>
  <c r="G42" i="19"/>
  <c r="E37" i="19"/>
  <c r="D37" i="19"/>
  <c r="C37" i="19"/>
  <c r="E36" i="19"/>
  <c r="D36" i="19"/>
  <c r="C36" i="19"/>
  <c r="H30" i="19"/>
  <c r="G30" i="19"/>
  <c r="G29" i="19"/>
  <c r="H29" i="19" s="1"/>
  <c r="H28" i="19"/>
  <c r="G28" i="19"/>
  <c r="F21" i="19"/>
  <c r="E21" i="19"/>
  <c r="D21" i="19"/>
  <c r="C21" i="19"/>
  <c r="G20" i="19"/>
  <c r="H20" i="19" s="1"/>
  <c r="G19" i="19"/>
  <c r="G18" i="19"/>
  <c r="H17" i="19"/>
  <c r="G17" i="19"/>
  <c r="G16" i="19"/>
  <c r="H15" i="19"/>
  <c r="G15" i="19"/>
  <c r="J14" i="19"/>
  <c r="H14" i="19"/>
  <c r="G14" i="19"/>
  <c r="G13" i="19"/>
  <c r="J12" i="19"/>
  <c r="H12" i="19"/>
  <c r="G12" i="19"/>
  <c r="G11" i="19"/>
  <c r="J10" i="19"/>
  <c r="H10" i="19"/>
  <c r="G10" i="19"/>
  <c r="J9" i="19"/>
  <c r="G9" i="19"/>
  <c r="G61" i="18"/>
  <c r="G60" i="18"/>
  <c r="G59" i="18"/>
  <c r="G58" i="18"/>
  <c r="E53" i="18"/>
  <c r="D53" i="18"/>
  <c r="C53" i="18"/>
  <c r="E52" i="18"/>
  <c r="D52" i="18"/>
  <c r="C52" i="18"/>
  <c r="H46" i="18"/>
  <c r="G46" i="18"/>
  <c r="H45" i="18"/>
  <c r="G45" i="18"/>
  <c r="G44" i="18"/>
  <c r="H44" i="18" s="1"/>
  <c r="F37" i="18"/>
  <c r="E37" i="18"/>
  <c r="D37" i="18"/>
  <c r="C37" i="18"/>
  <c r="G36" i="18"/>
  <c r="H36" i="18" s="1"/>
  <c r="G35" i="18"/>
  <c r="G34" i="18"/>
  <c r="H33" i="18"/>
  <c r="G33" i="18"/>
  <c r="J33" i="18" s="1"/>
  <c r="G32" i="18"/>
  <c r="G31" i="18"/>
  <c r="J30" i="18"/>
  <c r="H30" i="18"/>
  <c r="G30" i="18"/>
  <c r="G29" i="18"/>
  <c r="H29" i="18" s="1"/>
  <c r="G28" i="18"/>
  <c r="G27" i="18"/>
  <c r="G26" i="18"/>
  <c r="H26" i="18" s="1"/>
  <c r="G25" i="18"/>
  <c r="J24" i="18"/>
  <c r="G24" i="18"/>
  <c r="H24" i="18" s="1"/>
  <c r="G23" i="18"/>
  <c r="G22" i="18"/>
  <c r="G21" i="18"/>
  <c r="J20" i="18"/>
  <c r="G20" i="18"/>
  <c r="H20" i="18" s="1"/>
  <c r="G19" i="18"/>
  <c r="G18" i="18"/>
  <c r="H18" i="18" s="1"/>
  <c r="G17" i="18"/>
  <c r="G16" i="18"/>
  <c r="H16" i="18" s="1"/>
  <c r="G15" i="18"/>
  <c r="J14" i="18"/>
  <c r="G14" i="18"/>
  <c r="H14" i="18" s="1"/>
  <c r="G13" i="18"/>
  <c r="H12" i="18"/>
  <c r="G12" i="18"/>
  <c r="J12" i="18" s="1"/>
  <c r="G11" i="18"/>
  <c r="G10" i="18"/>
  <c r="G9" i="18"/>
  <c r="G68" i="17"/>
  <c r="G67" i="17"/>
  <c r="G66" i="17"/>
  <c r="G65" i="17"/>
  <c r="E60" i="17"/>
  <c r="D60" i="17"/>
  <c r="C60" i="17"/>
  <c r="E59" i="17"/>
  <c r="D59" i="17"/>
  <c r="C59" i="17"/>
  <c r="G53" i="17"/>
  <c r="H53" i="17" s="1"/>
  <c r="G52" i="17"/>
  <c r="H52" i="17" s="1"/>
  <c r="G51" i="17"/>
  <c r="H51" i="17" s="1"/>
  <c r="F44" i="17"/>
  <c r="E44" i="17"/>
  <c r="D44" i="17"/>
  <c r="C44" i="17"/>
  <c r="G43" i="17"/>
  <c r="G42" i="17"/>
  <c r="H41" i="17"/>
  <c r="G41" i="17"/>
  <c r="J40" i="17"/>
  <c r="H40" i="17"/>
  <c r="G40" i="17"/>
  <c r="J39" i="17"/>
  <c r="H39" i="17"/>
  <c r="G39" i="17"/>
  <c r="G38" i="17"/>
  <c r="G37" i="17"/>
  <c r="H36" i="17"/>
  <c r="G36" i="17"/>
  <c r="H35" i="17"/>
  <c r="G35" i="17"/>
  <c r="H34" i="17"/>
  <c r="G34" i="17"/>
  <c r="J34" i="17" s="1"/>
  <c r="J33" i="17"/>
  <c r="H33" i="17"/>
  <c r="G33" i="17"/>
  <c r="H32" i="17"/>
  <c r="G32" i="17"/>
  <c r="J32" i="17" s="1"/>
  <c r="J31" i="17"/>
  <c r="H31" i="17"/>
  <c r="G31" i="17"/>
  <c r="H30" i="17"/>
  <c r="G30" i="17"/>
  <c r="J30" i="17" s="1"/>
  <c r="J29" i="17"/>
  <c r="H29" i="17"/>
  <c r="G29" i="17"/>
  <c r="G28" i="17"/>
  <c r="H28" i="17" s="1"/>
  <c r="J27" i="17"/>
  <c r="H27" i="17"/>
  <c r="G27" i="17"/>
  <c r="H26" i="17"/>
  <c r="G26" i="17"/>
  <c r="J25" i="17"/>
  <c r="H25" i="17"/>
  <c r="G25" i="17"/>
  <c r="G24" i="17"/>
  <c r="J23" i="17"/>
  <c r="H23" i="17"/>
  <c r="G23" i="17"/>
  <c r="H22" i="17"/>
  <c r="G22" i="17"/>
  <c r="H21" i="17"/>
  <c r="G21" i="17"/>
  <c r="G20" i="17"/>
  <c r="J19" i="17"/>
  <c r="H19" i="17"/>
  <c r="G19" i="17"/>
  <c r="G18" i="17"/>
  <c r="J17" i="17"/>
  <c r="H17" i="17"/>
  <c r="G17" i="17"/>
  <c r="G16" i="17"/>
  <c r="J15" i="17"/>
  <c r="H15" i="17"/>
  <c r="G15" i="17"/>
  <c r="G14" i="17"/>
  <c r="J13" i="17"/>
  <c r="H13" i="17"/>
  <c r="G13" i="17"/>
  <c r="H12" i="17"/>
  <c r="G12" i="17"/>
  <c r="J11" i="17"/>
  <c r="H11" i="17"/>
  <c r="G11" i="17"/>
  <c r="J10" i="17"/>
  <c r="H10" i="17"/>
  <c r="G10" i="17"/>
  <c r="J9" i="17"/>
  <c r="H9" i="17"/>
  <c r="G9" i="17"/>
  <c r="G63" i="16"/>
  <c r="G62" i="16"/>
  <c r="G61" i="16"/>
  <c r="G60" i="16"/>
  <c r="E55" i="16"/>
  <c r="D55" i="16"/>
  <c r="C55" i="16"/>
  <c r="E54" i="16"/>
  <c r="D54" i="16"/>
  <c r="C54" i="16"/>
  <c r="H48" i="16"/>
  <c r="G48" i="16"/>
  <c r="G47" i="16"/>
  <c r="H47" i="16" s="1"/>
  <c r="H46" i="16"/>
  <c r="G46" i="16"/>
  <c r="F39" i="16"/>
  <c r="E39" i="16"/>
  <c r="D39" i="16"/>
  <c r="C39" i="16"/>
  <c r="H38" i="16"/>
  <c r="G38" i="16"/>
  <c r="J37" i="16"/>
  <c r="H37" i="16"/>
  <c r="G37" i="16"/>
  <c r="G36" i="16"/>
  <c r="H36" i="16" s="1"/>
  <c r="J35" i="16"/>
  <c r="H35" i="16"/>
  <c r="G35" i="16"/>
  <c r="G34" i="16"/>
  <c r="J33" i="16"/>
  <c r="H33" i="16"/>
  <c r="G33" i="16"/>
  <c r="G32" i="16"/>
  <c r="J31" i="16"/>
  <c r="H31" i="16"/>
  <c r="G31" i="16"/>
  <c r="G30" i="16"/>
  <c r="J29" i="16"/>
  <c r="H29" i="16"/>
  <c r="G29" i="16"/>
  <c r="G28" i="16"/>
  <c r="J27" i="16"/>
  <c r="H27" i="16"/>
  <c r="G27" i="16"/>
  <c r="G26" i="16"/>
  <c r="J25" i="16"/>
  <c r="H25" i="16"/>
  <c r="G25" i="16"/>
  <c r="H24" i="16"/>
  <c r="G24" i="16"/>
  <c r="J23" i="16"/>
  <c r="H23" i="16"/>
  <c r="G23" i="16"/>
  <c r="J22" i="16"/>
  <c r="H22" i="16"/>
  <c r="G22" i="16"/>
  <c r="G21" i="16"/>
  <c r="G20" i="16"/>
  <c r="J20" i="16" s="1"/>
  <c r="H19" i="16"/>
  <c r="G19" i="16"/>
  <c r="J19" i="16" s="1"/>
  <c r="G18" i="16"/>
  <c r="J18" i="16" s="1"/>
  <c r="G17" i="16"/>
  <c r="J17" i="16" s="1"/>
  <c r="G16" i="16"/>
  <c r="J16" i="16" s="1"/>
  <c r="H15" i="16"/>
  <c r="G15" i="16"/>
  <c r="J15" i="16" s="1"/>
  <c r="H14" i="16"/>
  <c r="G14" i="16"/>
  <c r="G13" i="16"/>
  <c r="H13" i="16" s="1"/>
  <c r="J12" i="16"/>
  <c r="H12" i="16"/>
  <c r="G12" i="16"/>
  <c r="H11" i="16"/>
  <c r="G11" i="16"/>
  <c r="J10" i="16"/>
  <c r="H10" i="16"/>
  <c r="G10" i="16"/>
  <c r="G9" i="16"/>
  <c r="G61" i="15"/>
  <c r="G60" i="15"/>
  <c r="G59" i="15"/>
  <c r="G58" i="15"/>
  <c r="E53" i="15"/>
  <c r="D53" i="15"/>
  <c r="C53" i="15"/>
  <c r="E52" i="15"/>
  <c r="D52" i="15"/>
  <c r="C52" i="15"/>
  <c r="H46" i="15"/>
  <c r="G46" i="15"/>
  <c r="H45" i="15"/>
  <c r="G45" i="15"/>
  <c r="G44" i="15"/>
  <c r="H44" i="15" s="1"/>
  <c r="F37" i="15"/>
  <c r="E37" i="15"/>
  <c r="D37" i="15"/>
  <c r="C37" i="15"/>
  <c r="G36" i="15"/>
  <c r="G35" i="15"/>
  <c r="J34" i="15"/>
  <c r="H34" i="15"/>
  <c r="G34" i="15"/>
  <c r="H33" i="15"/>
  <c r="G33" i="15"/>
  <c r="H32" i="15"/>
  <c r="G32" i="15"/>
  <c r="H31" i="15"/>
  <c r="G31" i="15"/>
  <c r="H30" i="15"/>
  <c r="G30" i="15"/>
  <c r="G29" i="15"/>
  <c r="J29" i="15" s="1"/>
  <c r="H28" i="15"/>
  <c r="G28" i="15"/>
  <c r="J28" i="15" s="1"/>
  <c r="G27" i="15"/>
  <c r="J27" i="15" s="1"/>
  <c r="H26" i="15"/>
  <c r="G26" i="15"/>
  <c r="J26" i="15" s="1"/>
  <c r="G25" i="15"/>
  <c r="J25" i="15" s="1"/>
  <c r="H24" i="15"/>
  <c r="G24" i="15"/>
  <c r="J24" i="15" s="1"/>
  <c r="G23" i="15"/>
  <c r="J23" i="15" s="1"/>
  <c r="G22" i="15"/>
  <c r="J21" i="15"/>
  <c r="H21" i="15"/>
  <c r="G21" i="15"/>
  <c r="H20" i="15"/>
  <c r="G20" i="15"/>
  <c r="H19" i="15"/>
  <c r="G19" i="15"/>
  <c r="H18" i="15"/>
  <c r="G18" i="15"/>
  <c r="J17" i="15"/>
  <c r="H17" i="15"/>
  <c r="G17" i="15"/>
  <c r="G16" i="15"/>
  <c r="G15" i="15"/>
  <c r="J15" i="15" s="1"/>
  <c r="G14" i="15"/>
  <c r="J14" i="15" s="1"/>
  <c r="H13" i="15"/>
  <c r="G13" i="15"/>
  <c r="J12" i="15"/>
  <c r="H12" i="15"/>
  <c r="G12" i="15"/>
  <c r="G11" i="15"/>
  <c r="H11" i="15" s="1"/>
  <c r="J10" i="15"/>
  <c r="H10" i="15"/>
  <c r="G10" i="15"/>
  <c r="G9" i="15"/>
  <c r="G59" i="14"/>
  <c r="G58" i="14"/>
  <c r="G57" i="14"/>
  <c r="G56" i="14"/>
  <c r="E51" i="14"/>
  <c r="D51" i="14"/>
  <c r="C51" i="14"/>
  <c r="E50" i="14"/>
  <c r="D50" i="14"/>
  <c r="C50" i="14"/>
  <c r="H44" i="14"/>
  <c r="G44" i="14"/>
  <c r="G43" i="14"/>
  <c r="H43" i="14" s="1"/>
  <c r="G42" i="14"/>
  <c r="H42" i="14" s="1"/>
  <c r="F35" i="14"/>
  <c r="E35" i="14"/>
  <c r="D35" i="14"/>
  <c r="C35" i="14"/>
  <c r="H34" i="14"/>
  <c r="G34" i="14"/>
  <c r="H33" i="14"/>
  <c r="G33" i="14"/>
  <c r="J32" i="14"/>
  <c r="H32" i="14"/>
  <c r="G32" i="14"/>
  <c r="G31" i="14"/>
  <c r="J30" i="14"/>
  <c r="H30" i="14"/>
  <c r="G30" i="14"/>
  <c r="H29" i="14"/>
  <c r="G29" i="14"/>
  <c r="G28" i="14"/>
  <c r="H28" i="14" s="1"/>
  <c r="G27" i="14"/>
  <c r="J27" i="14" s="1"/>
  <c r="H26" i="14"/>
  <c r="G26" i="14"/>
  <c r="J25" i="14"/>
  <c r="H25" i="14"/>
  <c r="G25" i="14"/>
  <c r="G24" i="14"/>
  <c r="J23" i="14"/>
  <c r="H23" i="14"/>
  <c r="G23" i="14"/>
  <c r="H22" i="14"/>
  <c r="G22" i="14"/>
  <c r="J21" i="14"/>
  <c r="H21" i="14"/>
  <c r="G21" i="14"/>
  <c r="G20" i="14"/>
  <c r="H19" i="14"/>
  <c r="G19" i="14"/>
  <c r="H18" i="14"/>
  <c r="G18" i="14"/>
  <c r="H17" i="14"/>
  <c r="G17" i="14"/>
  <c r="J16" i="14"/>
  <c r="H16" i="14"/>
  <c r="G16" i="14"/>
  <c r="J15" i="14"/>
  <c r="H15" i="14"/>
  <c r="G15" i="14"/>
  <c r="J14" i="14"/>
  <c r="H14" i="14"/>
  <c r="G14" i="14"/>
  <c r="G13" i="14"/>
  <c r="G12" i="14"/>
  <c r="J12" i="14" s="1"/>
  <c r="G11" i="14"/>
  <c r="J11" i="14" s="1"/>
  <c r="H10" i="14"/>
  <c r="G10" i="14"/>
  <c r="J10" i="14" s="1"/>
  <c r="G9" i="14"/>
  <c r="J9" i="14" s="1"/>
  <c r="G73" i="13"/>
  <c r="G72" i="13"/>
  <c r="G71" i="13"/>
  <c r="G70" i="13"/>
  <c r="E65" i="13"/>
  <c r="D65" i="13"/>
  <c r="C65" i="13"/>
  <c r="E64" i="13"/>
  <c r="D64" i="13"/>
  <c r="C64" i="13"/>
  <c r="H58" i="13"/>
  <c r="G58" i="13"/>
  <c r="H57" i="13"/>
  <c r="G57" i="13"/>
  <c r="G56" i="13"/>
  <c r="H56" i="13" s="1"/>
  <c r="F49" i="13"/>
  <c r="E49" i="13"/>
  <c r="D49" i="13"/>
  <c r="C49" i="13"/>
  <c r="H48" i="13"/>
  <c r="G48" i="13"/>
  <c r="G47" i="13"/>
  <c r="G46" i="13"/>
  <c r="H45" i="13"/>
  <c r="G45" i="13"/>
  <c r="H44" i="13"/>
  <c r="G44" i="13"/>
  <c r="J43" i="13"/>
  <c r="H43" i="13"/>
  <c r="G43" i="13"/>
  <c r="J42" i="13"/>
  <c r="H42" i="13"/>
  <c r="G42" i="13"/>
  <c r="J41" i="13"/>
  <c r="H41" i="13"/>
  <c r="G41" i="13"/>
  <c r="G40" i="13"/>
  <c r="H39" i="13"/>
  <c r="G39" i="13"/>
  <c r="H38" i="13"/>
  <c r="G38" i="13"/>
  <c r="H37" i="13"/>
  <c r="G37" i="13"/>
  <c r="J36" i="13"/>
  <c r="H36" i="13"/>
  <c r="G36" i="13"/>
  <c r="J35" i="13"/>
  <c r="H35" i="13"/>
  <c r="G35" i="13"/>
  <c r="J34" i="13"/>
  <c r="H34" i="13"/>
  <c r="G34" i="13"/>
  <c r="J33" i="13"/>
  <c r="H33" i="13"/>
  <c r="G33" i="13"/>
  <c r="J32" i="13"/>
  <c r="H32" i="13"/>
  <c r="G32" i="13"/>
  <c r="J31" i="13"/>
  <c r="H31" i="13"/>
  <c r="G31" i="13"/>
  <c r="J30" i="13"/>
  <c r="H30" i="13"/>
  <c r="G30" i="13"/>
  <c r="J29" i="13"/>
  <c r="H29" i="13"/>
  <c r="G29" i="13"/>
  <c r="J28" i="13"/>
  <c r="H28" i="13"/>
  <c r="G28" i="13"/>
  <c r="J27" i="13"/>
  <c r="H27" i="13"/>
  <c r="G27" i="13"/>
  <c r="J26" i="13"/>
  <c r="H26" i="13"/>
  <c r="G26" i="13"/>
  <c r="J25" i="13"/>
  <c r="H25" i="13"/>
  <c r="G25" i="13"/>
  <c r="J24" i="13"/>
  <c r="H24" i="13"/>
  <c r="G24" i="13"/>
  <c r="J23" i="13"/>
  <c r="H23" i="13"/>
  <c r="G23" i="13"/>
  <c r="J22" i="13"/>
  <c r="H22" i="13"/>
  <c r="G22" i="13"/>
  <c r="J21" i="13"/>
  <c r="H21" i="13"/>
  <c r="G21" i="13"/>
  <c r="J20" i="13"/>
  <c r="H20" i="13"/>
  <c r="G20" i="13"/>
  <c r="J19" i="13"/>
  <c r="H19" i="13"/>
  <c r="G19" i="13"/>
  <c r="J18" i="13"/>
  <c r="H18" i="13"/>
  <c r="G18" i="13"/>
  <c r="J17" i="13"/>
  <c r="H17" i="13"/>
  <c r="G17" i="13"/>
  <c r="J16" i="13"/>
  <c r="H16" i="13"/>
  <c r="G16" i="13"/>
  <c r="J15" i="13"/>
  <c r="H15" i="13"/>
  <c r="G15" i="13"/>
  <c r="H14" i="13"/>
  <c r="G14" i="13"/>
  <c r="G13" i="13"/>
  <c r="G12" i="13"/>
  <c r="J12" i="13" s="1"/>
  <c r="G11" i="13"/>
  <c r="H10" i="13"/>
  <c r="G10" i="13"/>
  <c r="G9" i="13"/>
  <c r="G62" i="12"/>
  <c r="G61" i="12"/>
  <c r="G60" i="12"/>
  <c r="G59" i="12"/>
  <c r="E54" i="12"/>
  <c r="D54" i="12"/>
  <c r="C54" i="12"/>
  <c r="E53" i="12"/>
  <c r="D53" i="12"/>
  <c r="C53" i="12"/>
  <c r="H47" i="12"/>
  <c r="G47" i="12"/>
  <c r="H46" i="12"/>
  <c r="G46" i="12"/>
  <c r="G45" i="12"/>
  <c r="H45" i="12" s="1"/>
  <c r="F38" i="12"/>
  <c r="E38" i="12"/>
  <c r="D38" i="12"/>
  <c r="C38" i="12"/>
  <c r="H37" i="12"/>
  <c r="G37" i="12"/>
  <c r="G36" i="12"/>
  <c r="G35" i="12"/>
  <c r="J35" i="12" s="1"/>
  <c r="G34" i="12"/>
  <c r="H33" i="12"/>
  <c r="G33" i="12"/>
  <c r="H32" i="12"/>
  <c r="G32" i="12"/>
  <c r="H31" i="12"/>
  <c r="G31" i="12"/>
  <c r="J30" i="12"/>
  <c r="H30" i="12"/>
  <c r="G30" i="12"/>
  <c r="J29" i="12"/>
  <c r="H29" i="12"/>
  <c r="G29" i="12"/>
  <c r="J28" i="12"/>
  <c r="H28" i="12"/>
  <c r="G28" i="12"/>
  <c r="J27" i="12"/>
  <c r="H27" i="12"/>
  <c r="G27" i="12"/>
  <c r="J26" i="12"/>
  <c r="H26" i="12"/>
  <c r="G26" i="12"/>
  <c r="J25" i="12"/>
  <c r="H25" i="12"/>
  <c r="G25" i="12"/>
  <c r="J24" i="12"/>
  <c r="H24" i="12"/>
  <c r="G24" i="12"/>
  <c r="G23" i="12"/>
  <c r="H22" i="12"/>
  <c r="G22" i="12"/>
  <c r="J21" i="12"/>
  <c r="H21" i="12"/>
  <c r="G21" i="12"/>
  <c r="G20" i="12"/>
  <c r="H19" i="12"/>
  <c r="G19" i="12"/>
  <c r="H18" i="12"/>
  <c r="G18" i="12"/>
  <c r="J17" i="12"/>
  <c r="H17" i="12"/>
  <c r="G17" i="12"/>
  <c r="G16" i="12"/>
  <c r="H15" i="12"/>
  <c r="G15" i="12"/>
  <c r="J15" i="12" s="1"/>
  <c r="G14" i="12"/>
  <c r="H13" i="12"/>
  <c r="G13" i="12"/>
  <c r="J12" i="12"/>
  <c r="H12" i="12"/>
  <c r="G12" i="12"/>
  <c r="G11" i="12"/>
  <c r="J10" i="12"/>
  <c r="H10" i="12"/>
  <c r="G10" i="12"/>
  <c r="G9" i="12"/>
  <c r="G65" i="11"/>
  <c r="G64" i="11"/>
  <c r="G63" i="11"/>
  <c r="G62" i="11"/>
  <c r="E57" i="11"/>
  <c r="D57" i="11"/>
  <c r="C57" i="11"/>
  <c r="E56" i="11"/>
  <c r="D56" i="11"/>
  <c r="C56" i="11"/>
  <c r="H50" i="11"/>
  <c r="G50" i="11"/>
  <c r="G49" i="11"/>
  <c r="H49" i="11" s="1"/>
  <c r="G48" i="11"/>
  <c r="H48" i="11" s="1"/>
  <c r="F41" i="11"/>
  <c r="E41" i="11"/>
  <c r="D41" i="11"/>
  <c r="C41" i="11"/>
  <c r="H40" i="11"/>
  <c r="G40" i="11"/>
  <c r="G39" i="11"/>
  <c r="H39" i="11" s="1"/>
  <c r="G38" i="11"/>
  <c r="J37" i="11"/>
  <c r="H37" i="11"/>
  <c r="G37" i="11"/>
  <c r="J36" i="11"/>
  <c r="H36" i="11"/>
  <c r="G36" i="11"/>
  <c r="G35" i="11"/>
  <c r="H35" i="11" s="1"/>
  <c r="G34" i="11"/>
  <c r="J33" i="11"/>
  <c r="H33" i="11"/>
  <c r="G33" i="11"/>
  <c r="G32" i="11"/>
  <c r="J32" i="11" s="1"/>
  <c r="J31" i="11"/>
  <c r="H31" i="11"/>
  <c r="G31" i="11"/>
  <c r="H30" i="11"/>
  <c r="G30" i="11"/>
  <c r="J29" i="11"/>
  <c r="H29" i="11"/>
  <c r="G29" i="11"/>
  <c r="G28" i="11"/>
  <c r="J27" i="11"/>
  <c r="H27" i="11"/>
  <c r="G27" i="11"/>
  <c r="G26" i="11"/>
  <c r="H26" i="11" s="1"/>
  <c r="H25" i="11"/>
  <c r="G25" i="11"/>
  <c r="G24" i="11"/>
  <c r="H23" i="11"/>
  <c r="G23" i="11"/>
  <c r="J23" i="11" s="1"/>
  <c r="G22" i="11"/>
  <c r="H22" i="11" s="1"/>
  <c r="H21" i="11"/>
  <c r="G21" i="11"/>
  <c r="H20" i="11"/>
  <c r="G20" i="11"/>
  <c r="G19" i="11"/>
  <c r="H19" i="11" s="1"/>
  <c r="J18" i="11"/>
  <c r="H18" i="11"/>
  <c r="G18" i="11"/>
  <c r="H17" i="11"/>
  <c r="G17" i="11"/>
  <c r="G16" i="11"/>
  <c r="J15" i="11"/>
  <c r="H15" i="11"/>
  <c r="G15" i="11"/>
  <c r="G14" i="11"/>
  <c r="J14" i="11" s="1"/>
  <c r="G13" i="11"/>
  <c r="H13" i="11" s="1"/>
  <c r="H12" i="11"/>
  <c r="G12" i="11"/>
  <c r="J12" i="11" s="1"/>
  <c r="G11" i="11"/>
  <c r="H11" i="11" s="1"/>
  <c r="H10" i="11"/>
  <c r="G10" i="11"/>
  <c r="H9" i="11"/>
  <c r="G9" i="11"/>
  <c r="G71" i="10"/>
  <c r="G70" i="10"/>
  <c r="G69" i="10"/>
  <c r="G68" i="10"/>
  <c r="E63" i="10"/>
  <c r="D63" i="10"/>
  <c r="C63" i="10"/>
  <c r="E62" i="10"/>
  <c r="D62" i="10"/>
  <c r="C62" i="10"/>
  <c r="G56" i="10"/>
  <c r="H56" i="10" s="1"/>
  <c r="G55" i="10"/>
  <c r="H55" i="10" s="1"/>
  <c r="H54" i="10"/>
  <c r="G54" i="10"/>
  <c r="F47" i="10"/>
  <c r="E47" i="10"/>
  <c r="D47" i="10"/>
  <c r="C47" i="10"/>
  <c r="H46" i="10"/>
  <c r="G46" i="10"/>
  <c r="J46" i="10" s="1"/>
  <c r="G45" i="10"/>
  <c r="H44" i="10"/>
  <c r="G44" i="10"/>
  <c r="J43" i="10"/>
  <c r="H43" i="10"/>
  <c r="G43" i="10"/>
  <c r="J42" i="10"/>
  <c r="H42" i="10"/>
  <c r="G42" i="10"/>
  <c r="J41" i="10"/>
  <c r="H41" i="10"/>
  <c r="G41" i="10"/>
  <c r="H40" i="10"/>
  <c r="G40" i="10"/>
  <c r="H39" i="10"/>
  <c r="G39" i="10"/>
  <c r="H38" i="10"/>
  <c r="G38" i="10"/>
  <c r="G37" i="10"/>
  <c r="J36" i="10"/>
  <c r="G36" i="10"/>
  <c r="H36" i="10" s="1"/>
  <c r="G35" i="10"/>
  <c r="J35" i="10" s="1"/>
  <c r="J34" i="10"/>
  <c r="G34" i="10"/>
  <c r="H34" i="10" s="1"/>
  <c r="G33" i="10"/>
  <c r="J33" i="10" s="1"/>
  <c r="G32" i="10"/>
  <c r="H31" i="10"/>
  <c r="G31" i="10"/>
  <c r="J31" i="10" s="1"/>
  <c r="G30" i="10"/>
  <c r="H30" i="10" s="1"/>
  <c r="G29" i="10"/>
  <c r="J28" i="10"/>
  <c r="G28" i="10"/>
  <c r="H28" i="10" s="1"/>
  <c r="G27" i="10"/>
  <c r="J27" i="10" s="1"/>
  <c r="J26" i="10"/>
  <c r="G26" i="10"/>
  <c r="H26" i="10" s="1"/>
  <c r="G25" i="10"/>
  <c r="J25" i="10" s="1"/>
  <c r="G24" i="10"/>
  <c r="H23" i="10"/>
  <c r="G23" i="10"/>
  <c r="J23" i="10" s="1"/>
  <c r="G22" i="10"/>
  <c r="H22" i="10" s="1"/>
  <c r="H21" i="10"/>
  <c r="G21" i="10"/>
  <c r="J20" i="10"/>
  <c r="G20" i="10"/>
  <c r="H20" i="10" s="1"/>
  <c r="G19" i="10"/>
  <c r="J19" i="10" s="1"/>
  <c r="J18" i="10"/>
  <c r="G18" i="10"/>
  <c r="H18" i="10" s="1"/>
  <c r="G17" i="10"/>
  <c r="J17" i="10" s="1"/>
  <c r="G16" i="10"/>
  <c r="H15" i="10"/>
  <c r="G15" i="10"/>
  <c r="J15" i="10" s="1"/>
  <c r="G14" i="10"/>
  <c r="H14" i="10" s="1"/>
  <c r="H13" i="10"/>
  <c r="G13" i="10"/>
  <c r="J12" i="10"/>
  <c r="G12" i="10"/>
  <c r="H12" i="10" s="1"/>
  <c r="G11" i="10"/>
  <c r="J11" i="10" s="1"/>
  <c r="J10" i="10"/>
  <c r="G10" i="10"/>
  <c r="H10" i="10" s="1"/>
  <c r="G9" i="10"/>
  <c r="J9" i="10" s="1"/>
  <c r="G59" i="9"/>
  <c r="G58" i="9"/>
  <c r="G57" i="9"/>
  <c r="G56" i="9"/>
  <c r="E51" i="9"/>
  <c r="D51" i="9"/>
  <c r="C51" i="9"/>
  <c r="E50" i="9"/>
  <c r="D50" i="9"/>
  <c r="C50" i="9"/>
  <c r="G44" i="9"/>
  <c r="H44" i="9" s="1"/>
  <c r="G43" i="9"/>
  <c r="H43" i="9" s="1"/>
  <c r="H42" i="9"/>
  <c r="G42" i="9"/>
  <c r="F35" i="9"/>
  <c r="E35" i="9"/>
  <c r="D35" i="9"/>
  <c r="C35" i="9"/>
  <c r="G34" i="9"/>
  <c r="G33" i="9"/>
  <c r="H33" i="9" s="1"/>
  <c r="G32" i="9"/>
  <c r="H31" i="9"/>
  <c r="G31" i="9"/>
  <c r="G30" i="9"/>
  <c r="H29" i="9"/>
  <c r="G29" i="9"/>
  <c r="G28" i="9"/>
  <c r="H27" i="9"/>
  <c r="G27" i="9"/>
  <c r="J26" i="9"/>
  <c r="H26" i="9"/>
  <c r="G26" i="9"/>
  <c r="J25" i="9"/>
  <c r="H25" i="9"/>
  <c r="G25" i="9"/>
  <c r="J24" i="9"/>
  <c r="H24" i="9"/>
  <c r="G24" i="9"/>
  <c r="J23" i="9"/>
  <c r="H23" i="9"/>
  <c r="G23" i="9"/>
  <c r="H22" i="9"/>
  <c r="G22" i="9"/>
  <c r="G21" i="9"/>
  <c r="H21" i="9" s="1"/>
  <c r="H20" i="9"/>
  <c r="G20" i="9"/>
  <c r="J20" i="9" s="1"/>
  <c r="G19" i="9"/>
  <c r="H18" i="9"/>
  <c r="G18" i="9"/>
  <c r="J18" i="9" s="1"/>
  <c r="G17" i="9"/>
  <c r="H17" i="9" s="1"/>
  <c r="H16" i="9"/>
  <c r="G16" i="9"/>
  <c r="J16" i="9" s="1"/>
  <c r="G15" i="9"/>
  <c r="H15" i="9" s="1"/>
  <c r="G14" i="9"/>
  <c r="J13" i="9"/>
  <c r="G13" i="9"/>
  <c r="H13" i="9" s="1"/>
  <c r="H12" i="9"/>
  <c r="G12" i="9"/>
  <c r="J12" i="9" s="1"/>
  <c r="G11" i="9"/>
  <c r="H10" i="9"/>
  <c r="G10" i="9"/>
  <c r="J10" i="9" s="1"/>
  <c r="G9" i="9"/>
  <c r="H9" i="9" s="1"/>
  <c r="G65" i="8"/>
  <c r="G64" i="8"/>
  <c r="G63" i="8"/>
  <c r="G62" i="8"/>
  <c r="E57" i="8"/>
  <c r="D57" i="8"/>
  <c r="C57" i="8"/>
  <c r="E56" i="8"/>
  <c r="D56" i="8"/>
  <c r="C56" i="8"/>
  <c r="H50" i="8"/>
  <c r="G50" i="8"/>
  <c r="G49" i="8"/>
  <c r="H49" i="8" s="1"/>
  <c r="G48" i="8"/>
  <c r="H48" i="8" s="1"/>
  <c r="F41" i="8"/>
  <c r="E41" i="8"/>
  <c r="D41" i="8"/>
  <c r="C41" i="8"/>
  <c r="H40" i="8"/>
  <c r="G40" i="8"/>
  <c r="G39" i="8"/>
  <c r="H39" i="8" s="1"/>
  <c r="H38" i="8"/>
  <c r="G38" i="8"/>
  <c r="J37" i="8"/>
  <c r="G37" i="8"/>
  <c r="H37" i="8" s="1"/>
  <c r="G36" i="8"/>
  <c r="H35" i="8"/>
  <c r="G35" i="8"/>
  <c r="G34" i="8"/>
  <c r="J34" i="8" s="1"/>
  <c r="J33" i="8"/>
  <c r="H33" i="8"/>
  <c r="G33" i="8"/>
  <c r="G32" i="8"/>
  <c r="J32" i="8" s="1"/>
  <c r="J31" i="8"/>
  <c r="H31" i="8"/>
  <c r="G31" i="8"/>
  <c r="G30" i="8"/>
  <c r="J30" i="8" s="1"/>
  <c r="J29" i="8"/>
  <c r="H29" i="8"/>
  <c r="G29" i="8"/>
  <c r="G28" i="8"/>
  <c r="J28" i="8" s="1"/>
  <c r="J27" i="8"/>
  <c r="H27" i="8"/>
  <c r="G27" i="8"/>
  <c r="G26" i="8"/>
  <c r="J26" i="8" s="1"/>
  <c r="H25" i="8"/>
  <c r="G25" i="8"/>
  <c r="J24" i="8"/>
  <c r="H24" i="8"/>
  <c r="G24" i="8"/>
  <c r="J23" i="8"/>
  <c r="H23" i="8"/>
  <c r="G23" i="8"/>
  <c r="J22" i="8"/>
  <c r="H22" i="8"/>
  <c r="G22" i="8"/>
  <c r="H21" i="8"/>
  <c r="G21" i="8"/>
  <c r="J20" i="8"/>
  <c r="G20" i="8"/>
  <c r="G19" i="8"/>
  <c r="J18" i="8"/>
  <c r="G18" i="8"/>
  <c r="H17" i="8"/>
  <c r="G17" i="8"/>
  <c r="J16" i="8"/>
  <c r="G16" i="8"/>
  <c r="G15" i="8"/>
  <c r="H15" i="8" s="1"/>
  <c r="J14" i="8"/>
  <c r="G14" i="8"/>
  <c r="H13" i="8"/>
  <c r="G13" i="8"/>
  <c r="J12" i="8"/>
  <c r="G12" i="8"/>
  <c r="G11" i="8"/>
  <c r="J11" i="8" s="1"/>
  <c r="J10" i="8"/>
  <c r="G10" i="8"/>
  <c r="H9" i="8"/>
  <c r="G9" i="8"/>
  <c r="G64" i="7"/>
  <c r="G63" i="7"/>
  <c r="G62" i="7"/>
  <c r="G61" i="7"/>
  <c r="E56" i="7"/>
  <c r="D56" i="7"/>
  <c r="C56" i="7"/>
  <c r="E55" i="7"/>
  <c r="D55" i="7"/>
  <c r="C55" i="7"/>
  <c r="G49" i="7"/>
  <c r="H49" i="7" s="1"/>
  <c r="G48" i="7"/>
  <c r="H48" i="7" s="1"/>
  <c r="G47" i="7"/>
  <c r="H47" i="7" s="1"/>
  <c r="F40" i="7"/>
  <c r="E40" i="7"/>
  <c r="D40" i="7"/>
  <c r="C40" i="7"/>
  <c r="H39" i="7"/>
  <c r="G39" i="7"/>
  <c r="H38" i="7"/>
  <c r="G38" i="7"/>
  <c r="J37" i="7"/>
  <c r="G37" i="7"/>
  <c r="H36" i="7"/>
  <c r="G36" i="7"/>
  <c r="J36" i="7" s="1"/>
  <c r="H35" i="7"/>
  <c r="G35" i="7"/>
  <c r="G34" i="7"/>
  <c r="J33" i="7"/>
  <c r="H33" i="7"/>
  <c r="G33" i="7"/>
  <c r="G32" i="7"/>
  <c r="J31" i="7"/>
  <c r="H31" i="7"/>
  <c r="G31" i="7"/>
  <c r="G30" i="7"/>
  <c r="J29" i="7"/>
  <c r="H29" i="7"/>
  <c r="G29" i="7"/>
  <c r="G28" i="7"/>
  <c r="H27" i="7"/>
  <c r="G27" i="7"/>
  <c r="J26" i="7"/>
  <c r="H26" i="7"/>
  <c r="G26" i="7"/>
  <c r="J25" i="7"/>
  <c r="H25" i="7"/>
  <c r="G25" i="7"/>
  <c r="J24" i="7"/>
  <c r="H24" i="7"/>
  <c r="G24" i="7"/>
  <c r="J23" i="7"/>
  <c r="H23" i="7"/>
  <c r="G23" i="7"/>
  <c r="J22" i="7"/>
  <c r="H22" i="7"/>
  <c r="G22" i="7"/>
  <c r="J21" i="7"/>
  <c r="H21" i="7"/>
  <c r="G21" i="7"/>
  <c r="J20" i="7"/>
  <c r="H20" i="7"/>
  <c r="G20" i="7"/>
  <c r="H19" i="7"/>
  <c r="G19" i="7"/>
  <c r="H18" i="7"/>
  <c r="G18" i="7"/>
  <c r="G17" i="7"/>
  <c r="J16" i="7"/>
  <c r="H16" i="7"/>
  <c r="G16" i="7"/>
  <c r="G15" i="7"/>
  <c r="J14" i="7"/>
  <c r="H14" i="7"/>
  <c r="G14" i="7"/>
  <c r="G13" i="7"/>
  <c r="J12" i="7"/>
  <c r="H12" i="7"/>
  <c r="G12" i="7"/>
  <c r="G11" i="7"/>
  <c r="J10" i="7"/>
  <c r="H10" i="7"/>
  <c r="G10" i="7"/>
  <c r="G9" i="7"/>
  <c r="G65" i="6"/>
  <c r="G64" i="6"/>
  <c r="G63" i="6"/>
  <c r="G62" i="6"/>
  <c r="E57" i="6"/>
  <c r="D57" i="6"/>
  <c r="C57" i="6"/>
  <c r="E56" i="6"/>
  <c r="D56" i="6"/>
  <c r="C56" i="6"/>
  <c r="H50" i="6"/>
  <c r="G50" i="6"/>
  <c r="G49" i="6"/>
  <c r="H49" i="6" s="1"/>
  <c r="G48" i="6"/>
  <c r="H48" i="6" s="1"/>
  <c r="F41" i="6"/>
  <c r="E41" i="6"/>
  <c r="D41" i="6"/>
  <c r="C41" i="6"/>
  <c r="H40" i="6"/>
  <c r="G40" i="6"/>
  <c r="G39" i="6"/>
  <c r="J38" i="6"/>
  <c r="H38" i="6"/>
  <c r="G38" i="6"/>
  <c r="G37" i="6"/>
  <c r="J36" i="6"/>
  <c r="H36" i="6"/>
  <c r="G36" i="6"/>
  <c r="H35" i="6"/>
  <c r="G35" i="6"/>
  <c r="G34" i="6"/>
  <c r="J33" i="6"/>
  <c r="G33" i="6"/>
  <c r="G32" i="6"/>
  <c r="J32" i="6" s="1"/>
  <c r="J31" i="6"/>
  <c r="G31" i="6"/>
  <c r="G30" i="6"/>
  <c r="J30" i="6" s="1"/>
  <c r="J29" i="6"/>
  <c r="G29" i="6"/>
  <c r="H28" i="6"/>
  <c r="G28" i="6"/>
  <c r="J28" i="6" s="1"/>
  <c r="J27" i="6"/>
  <c r="G27" i="6"/>
  <c r="H26" i="6"/>
  <c r="G26" i="6"/>
  <c r="J26" i="6" s="1"/>
  <c r="J25" i="6"/>
  <c r="G25" i="6"/>
  <c r="H24" i="6"/>
  <c r="G24" i="6"/>
  <c r="J24" i="6" s="1"/>
  <c r="J23" i="6"/>
  <c r="G23" i="6"/>
  <c r="H22" i="6"/>
  <c r="G22" i="6"/>
  <c r="J22" i="6" s="1"/>
  <c r="J21" i="6"/>
  <c r="G21" i="6"/>
  <c r="G20" i="6"/>
  <c r="J20" i="6" s="1"/>
  <c r="J19" i="6"/>
  <c r="G19" i="6"/>
  <c r="G18" i="6"/>
  <c r="J18" i="6" s="1"/>
  <c r="J17" i="6"/>
  <c r="G17" i="6"/>
  <c r="G16" i="6"/>
  <c r="J16" i="6" s="1"/>
  <c r="J15" i="6"/>
  <c r="G15" i="6"/>
  <c r="G14" i="6"/>
  <c r="J14" i="6" s="1"/>
  <c r="J13" i="6"/>
  <c r="G13" i="6"/>
  <c r="H12" i="6"/>
  <c r="G12" i="6"/>
  <c r="J12" i="6" s="1"/>
  <c r="H11" i="6"/>
  <c r="G11" i="6"/>
  <c r="G10" i="6"/>
  <c r="J9" i="6"/>
  <c r="H9" i="6"/>
  <c r="G9" i="6"/>
  <c r="G70" i="5"/>
  <c r="G69" i="5"/>
  <c r="G68" i="5"/>
  <c r="G67" i="5"/>
  <c r="E62" i="5"/>
  <c r="D62" i="5"/>
  <c r="C62" i="5"/>
  <c r="E61" i="5"/>
  <c r="D61" i="5"/>
  <c r="C61" i="5"/>
  <c r="G55" i="5"/>
  <c r="H55" i="5" s="1"/>
  <c r="H54" i="5"/>
  <c r="G54" i="5"/>
  <c r="H53" i="5"/>
  <c r="G53" i="5"/>
  <c r="F46" i="5"/>
  <c r="E46" i="5"/>
  <c r="D46" i="5"/>
  <c r="C46" i="5"/>
  <c r="G45" i="5"/>
  <c r="H44" i="5"/>
  <c r="G44" i="5"/>
  <c r="H43" i="5"/>
  <c r="G43" i="5"/>
  <c r="H42" i="5"/>
  <c r="G42" i="5"/>
  <c r="H41" i="5"/>
  <c r="G41" i="5"/>
  <c r="J40" i="5"/>
  <c r="H40" i="5"/>
  <c r="G40" i="5"/>
  <c r="J39" i="5"/>
  <c r="H39" i="5"/>
  <c r="G39" i="5"/>
  <c r="J38" i="5"/>
  <c r="H38" i="5"/>
  <c r="G38" i="5"/>
  <c r="G37" i="5"/>
  <c r="G36" i="5"/>
  <c r="J36" i="5" s="1"/>
  <c r="J35" i="5"/>
  <c r="G35" i="5"/>
  <c r="G34" i="5"/>
  <c r="J34" i="5" s="1"/>
  <c r="J33" i="5"/>
  <c r="G33" i="5"/>
  <c r="H32" i="5"/>
  <c r="G32" i="5"/>
  <c r="J31" i="5"/>
  <c r="H31" i="5"/>
  <c r="G31" i="5"/>
  <c r="H30" i="5"/>
  <c r="G30" i="5"/>
  <c r="J29" i="5"/>
  <c r="H29" i="5"/>
  <c r="G29" i="5"/>
  <c r="G28" i="5"/>
  <c r="J27" i="5"/>
  <c r="H27" i="5"/>
  <c r="G27" i="5"/>
  <c r="G26" i="5"/>
  <c r="J25" i="5"/>
  <c r="H25" i="5"/>
  <c r="G25" i="5"/>
  <c r="G24" i="5"/>
  <c r="J23" i="5"/>
  <c r="H23" i="5"/>
  <c r="G23" i="5"/>
  <c r="G22" i="5"/>
  <c r="H22" i="5" s="1"/>
  <c r="J21" i="5"/>
  <c r="H21" i="5"/>
  <c r="G21" i="5"/>
  <c r="H20" i="5"/>
  <c r="G20" i="5"/>
  <c r="J19" i="5"/>
  <c r="H19" i="5"/>
  <c r="G19" i="5"/>
  <c r="H18" i="5"/>
  <c r="G18" i="5"/>
  <c r="J17" i="5"/>
  <c r="H17" i="5"/>
  <c r="G17" i="5"/>
  <c r="H16" i="5"/>
  <c r="G16" i="5"/>
  <c r="J15" i="5"/>
  <c r="H15" i="5"/>
  <c r="G15" i="5"/>
  <c r="H14" i="5"/>
  <c r="G14" i="5"/>
  <c r="J13" i="5"/>
  <c r="H13" i="5"/>
  <c r="G13" i="5"/>
  <c r="G12" i="5"/>
  <c r="J11" i="5"/>
  <c r="H11" i="5"/>
  <c r="G11" i="5"/>
  <c r="G10" i="5"/>
  <c r="J9" i="5"/>
  <c r="H9" i="5"/>
  <c r="G9" i="5"/>
  <c r="G66" i="4"/>
  <c r="G65" i="4"/>
  <c r="G64" i="4"/>
  <c r="G63" i="4"/>
  <c r="E58" i="4"/>
  <c r="D58" i="4"/>
  <c r="C58" i="4"/>
  <c r="E57" i="4"/>
  <c r="D57" i="4"/>
  <c r="C57" i="4"/>
  <c r="H51" i="4"/>
  <c r="G51" i="4"/>
  <c r="H50" i="4"/>
  <c r="G50" i="4"/>
  <c r="H49" i="4"/>
  <c r="G49" i="4"/>
  <c r="F42" i="4"/>
  <c r="E42" i="4"/>
  <c r="D42" i="4"/>
  <c r="C42" i="4"/>
  <c r="G41" i="4"/>
  <c r="H41" i="4" s="1"/>
  <c r="J40" i="4"/>
  <c r="G40" i="4"/>
  <c r="G39" i="4"/>
  <c r="J39" i="4" s="1"/>
  <c r="H38" i="4"/>
  <c r="G38" i="4"/>
  <c r="H37" i="4"/>
  <c r="G37" i="4"/>
  <c r="H36" i="4"/>
  <c r="G36" i="4"/>
  <c r="G35" i="4"/>
  <c r="J34" i="4"/>
  <c r="H34" i="4"/>
  <c r="G34" i="4"/>
  <c r="G33" i="4"/>
  <c r="J32" i="4"/>
  <c r="H32" i="4"/>
  <c r="G32" i="4"/>
  <c r="G31" i="4"/>
  <c r="H30" i="4"/>
  <c r="G30" i="4"/>
  <c r="G29" i="4"/>
  <c r="G28" i="4"/>
  <c r="J28" i="4" s="1"/>
  <c r="J27" i="4"/>
  <c r="G27" i="4"/>
  <c r="G26" i="4"/>
  <c r="J26" i="4" s="1"/>
  <c r="J25" i="4"/>
  <c r="G25" i="4"/>
  <c r="H24" i="4"/>
  <c r="G24" i="4"/>
  <c r="J23" i="4"/>
  <c r="H23" i="4"/>
  <c r="G23" i="4"/>
  <c r="H22" i="4"/>
  <c r="G22" i="4"/>
  <c r="H21" i="4"/>
  <c r="G21" i="4"/>
  <c r="G20" i="4"/>
  <c r="J19" i="4"/>
  <c r="H19" i="4"/>
  <c r="G19" i="4"/>
  <c r="G18" i="4"/>
  <c r="J17" i="4"/>
  <c r="H17" i="4"/>
  <c r="G17" i="4"/>
  <c r="G16" i="4"/>
  <c r="J15" i="4"/>
  <c r="H15" i="4"/>
  <c r="G15" i="4"/>
  <c r="G14" i="4"/>
  <c r="H13" i="4"/>
  <c r="G13" i="4"/>
  <c r="J12" i="4"/>
  <c r="H12" i="4"/>
  <c r="G12" i="4"/>
  <c r="J11" i="4"/>
  <c r="H11" i="4"/>
  <c r="G11" i="4"/>
  <c r="J10" i="4"/>
  <c r="H10" i="4"/>
  <c r="G10" i="4"/>
  <c r="H9" i="4"/>
  <c r="G9" i="4"/>
  <c r="G67" i="3"/>
  <c r="G66" i="3"/>
  <c r="G65" i="3"/>
  <c r="G64" i="3"/>
  <c r="E59" i="3"/>
  <c r="D59" i="3"/>
  <c r="C59" i="3"/>
  <c r="E58" i="3"/>
  <c r="D58" i="3"/>
  <c r="C58" i="3"/>
  <c r="G52" i="3"/>
  <c r="H52" i="3" s="1"/>
  <c r="G51" i="3"/>
  <c r="H51" i="3" s="1"/>
  <c r="G50" i="3"/>
  <c r="H50" i="3" s="1"/>
  <c r="G43" i="3"/>
  <c r="F43" i="3"/>
  <c r="E43" i="3"/>
  <c r="D43" i="3"/>
  <c r="C43" i="3"/>
  <c r="H42" i="3"/>
  <c r="G42" i="3"/>
  <c r="H41" i="3"/>
  <c r="G41" i="3"/>
  <c r="H40" i="3"/>
  <c r="G40" i="3"/>
  <c r="G39" i="3"/>
  <c r="H38" i="3"/>
  <c r="G38" i="3"/>
  <c r="J37" i="3"/>
  <c r="H37" i="3"/>
  <c r="G37" i="3"/>
  <c r="J36" i="3"/>
  <c r="H36" i="3"/>
  <c r="G36" i="3"/>
  <c r="G35" i="3"/>
  <c r="H34" i="3"/>
  <c r="G34" i="3"/>
  <c r="J33" i="3"/>
  <c r="H33" i="3"/>
  <c r="G33" i="3"/>
  <c r="H32" i="3"/>
  <c r="G32" i="3"/>
  <c r="J31" i="3"/>
  <c r="H31" i="3"/>
  <c r="G31" i="3"/>
  <c r="H30" i="3"/>
  <c r="G30" i="3"/>
  <c r="J29" i="3"/>
  <c r="H29" i="3"/>
  <c r="G29" i="3"/>
  <c r="G28" i="3"/>
  <c r="H28" i="3" s="1"/>
  <c r="J27" i="3"/>
  <c r="H27" i="3"/>
  <c r="G27" i="3"/>
  <c r="G26" i="3"/>
  <c r="J25" i="3"/>
  <c r="H25" i="3"/>
  <c r="G25" i="3"/>
  <c r="G24" i="3"/>
  <c r="J23" i="3"/>
  <c r="H23" i="3"/>
  <c r="G23" i="3"/>
  <c r="G22" i="3"/>
  <c r="J21" i="3"/>
  <c r="H21" i="3"/>
  <c r="G21" i="3"/>
  <c r="H20" i="3"/>
  <c r="G20" i="3"/>
  <c r="J19" i="3"/>
  <c r="H19" i="3"/>
  <c r="G19" i="3"/>
  <c r="H18" i="3"/>
  <c r="G18" i="3"/>
  <c r="J17" i="3"/>
  <c r="H17" i="3"/>
  <c r="G17" i="3"/>
  <c r="H16" i="3"/>
  <c r="G16" i="3"/>
  <c r="J15" i="3"/>
  <c r="H15" i="3"/>
  <c r="G15" i="3"/>
  <c r="H14" i="3"/>
  <c r="G14" i="3"/>
  <c r="H13" i="3"/>
  <c r="G13" i="3"/>
  <c r="G12" i="3"/>
  <c r="J11" i="3"/>
  <c r="H11" i="3"/>
  <c r="G11" i="3"/>
  <c r="G10" i="3"/>
  <c r="J9" i="3"/>
  <c r="H9" i="3"/>
  <c r="G9" i="3"/>
  <c r="G61" i="2"/>
  <c r="G60" i="2"/>
  <c r="G59" i="2"/>
  <c r="G58" i="2"/>
  <c r="E53" i="2"/>
  <c r="D53" i="2"/>
  <c r="C53" i="2"/>
  <c r="E52" i="2"/>
  <c r="D52" i="2"/>
  <c r="C52" i="2"/>
  <c r="G46" i="2"/>
  <c r="H46" i="2" s="1"/>
  <c r="G45" i="2"/>
  <c r="H45" i="2" s="1"/>
  <c r="H44" i="2"/>
  <c r="G44" i="2"/>
  <c r="F37" i="2"/>
  <c r="E37" i="2"/>
  <c r="D37" i="2"/>
  <c r="C37" i="2"/>
  <c r="G36" i="2"/>
  <c r="H35" i="2"/>
  <c r="G35" i="2"/>
  <c r="G34" i="2"/>
  <c r="J33" i="2"/>
  <c r="H33" i="2"/>
  <c r="G33" i="2"/>
  <c r="H32" i="2"/>
  <c r="G32" i="2"/>
  <c r="G31" i="2"/>
  <c r="H30" i="2"/>
  <c r="G30" i="2"/>
  <c r="H29" i="2"/>
  <c r="G29" i="2"/>
  <c r="J28" i="2"/>
  <c r="H28" i="2"/>
  <c r="G28" i="2"/>
  <c r="H27" i="2"/>
  <c r="G27" i="2"/>
  <c r="J26" i="2"/>
  <c r="H26" i="2"/>
  <c r="G26" i="2"/>
  <c r="H25" i="2"/>
  <c r="G25" i="2"/>
  <c r="J24" i="2"/>
  <c r="H24" i="2"/>
  <c r="G24" i="2"/>
  <c r="G23" i="2"/>
  <c r="H22" i="2"/>
  <c r="G22" i="2"/>
  <c r="H21" i="2"/>
  <c r="G21" i="2"/>
  <c r="J20" i="2"/>
  <c r="H20" i="2"/>
  <c r="G20" i="2"/>
  <c r="G19" i="2"/>
  <c r="H19" i="2" s="1"/>
  <c r="H18" i="2"/>
  <c r="G18" i="2"/>
  <c r="J17" i="2"/>
  <c r="H17" i="2"/>
  <c r="G17" i="2"/>
  <c r="G16" i="2"/>
  <c r="J15" i="2"/>
  <c r="H15" i="2"/>
  <c r="G15" i="2"/>
  <c r="G14" i="2"/>
  <c r="H13" i="2"/>
  <c r="G13" i="2"/>
  <c r="J12" i="2"/>
  <c r="H12" i="2"/>
  <c r="G12" i="2"/>
  <c r="J11" i="2"/>
  <c r="H11" i="2"/>
  <c r="G11" i="2"/>
  <c r="J10" i="2"/>
  <c r="H10" i="2"/>
  <c r="G10" i="2"/>
  <c r="G9" i="2"/>
  <c r="G66" i="1"/>
  <c r="G65" i="1"/>
  <c r="G64" i="1"/>
  <c r="G63" i="1"/>
  <c r="E58" i="1"/>
  <c r="D58" i="1"/>
  <c r="C58" i="1"/>
  <c r="E57" i="1"/>
  <c r="D57" i="1"/>
  <c r="C57" i="1"/>
  <c r="G51" i="1"/>
  <c r="H51" i="1" s="1"/>
  <c r="G50" i="1"/>
  <c r="H50" i="1" s="1"/>
  <c r="H49" i="1"/>
  <c r="G49" i="1"/>
  <c r="F42" i="1"/>
  <c r="E42" i="1"/>
  <c r="D42" i="1"/>
  <c r="C42" i="1"/>
  <c r="H41" i="1"/>
  <c r="G41" i="1"/>
  <c r="G40" i="1"/>
  <c r="H39" i="1"/>
  <c r="G39" i="1"/>
  <c r="G38" i="1"/>
  <c r="J37" i="1"/>
  <c r="H37" i="1"/>
  <c r="G37" i="1"/>
  <c r="G36" i="1"/>
  <c r="H35" i="1"/>
  <c r="G35" i="1"/>
  <c r="J34" i="1"/>
  <c r="G34" i="1"/>
  <c r="J33" i="1"/>
  <c r="H33" i="1"/>
  <c r="G33" i="1"/>
  <c r="J32" i="1"/>
  <c r="G32" i="1"/>
  <c r="J31" i="1"/>
  <c r="H31" i="1"/>
  <c r="G31" i="1"/>
  <c r="J30" i="1"/>
  <c r="G30" i="1"/>
  <c r="J29" i="1"/>
  <c r="H29" i="1"/>
  <c r="G29" i="1"/>
  <c r="J28" i="1"/>
  <c r="G28" i="1"/>
  <c r="J27" i="1"/>
  <c r="H27" i="1"/>
  <c r="G27" i="1"/>
  <c r="J26" i="1"/>
  <c r="G26" i="1"/>
  <c r="G25" i="1"/>
  <c r="G24" i="1"/>
  <c r="G23" i="1"/>
  <c r="J22" i="1"/>
  <c r="G22" i="1"/>
  <c r="H22" i="1" s="1"/>
  <c r="H21" i="1"/>
  <c r="G21" i="1"/>
  <c r="J20" i="1"/>
  <c r="G20" i="1"/>
  <c r="H20" i="1" s="1"/>
  <c r="G19" i="1"/>
  <c r="J18" i="1"/>
  <c r="G18" i="1"/>
  <c r="H18" i="1" s="1"/>
  <c r="G17" i="1"/>
  <c r="J16" i="1"/>
  <c r="H16" i="1"/>
  <c r="G16" i="1"/>
  <c r="G15" i="1"/>
  <c r="J14" i="1"/>
  <c r="H14" i="1"/>
  <c r="G14" i="1"/>
  <c r="G13" i="1"/>
  <c r="H13" i="1" s="1"/>
  <c r="J12" i="1"/>
  <c r="H12" i="1"/>
  <c r="G12" i="1"/>
  <c r="J11" i="1"/>
  <c r="G11" i="1"/>
  <c r="H11" i="1" s="1"/>
  <c r="H10" i="1"/>
  <c r="G10" i="1"/>
  <c r="G42" i="1" s="1"/>
  <c r="G9" i="1"/>
  <c r="H9" i="1" s="1"/>
  <c r="I39" i="1" l="1"/>
  <c r="I22" i="1"/>
  <c r="I20" i="1"/>
  <c r="I18" i="1"/>
  <c r="I9" i="1"/>
  <c r="I13" i="1"/>
  <c r="I11" i="1"/>
  <c r="I41" i="1"/>
  <c r="I33" i="1"/>
  <c r="I10" i="1"/>
  <c r="I16" i="1"/>
  <c r="I12" i="1"/>
  <c r="I35" i="1"/>
  <c r="I27" i="1"/>
  <c r="I37" i="1"/>
  <c r="I31" i="1"/>
  <c r="I14" i="1"/>
  <c r="I29" i="1"/>
  <c r="I34" i="6"/>
  <c r="I40" i="1"/>
  <c r="I25" i="1"/>
  <c r="H16" i="2"/>
  <c r="I40" i="3"/>
  <c r="I33" i="3"/>
  <c r="I31" i="3"/>
  <c r="I29" i="3"/>
  <c r="I27" i="3"/>
  <c r="I25" i="3"/>
  <c r="I23" i="3"/>
  <c r="I21" i="3"/>
  <c r="I19" i="3"/>
  <c r="I17" i="3"/>
  <c r="I15" i="3"/>
  <c r="C44" i="3"/>
  <c r="J12" i="5"/>
  <c r="G41" i="6"/>
  <c r="I10" i="6" s="1"/>
  <c r="J10" i="6"/>
  <c r="I26" i="1"/>
  <c r="I34" i="1"/>
  <c r="G37" i="2"/>
  <c r="I23" i="2" s="1"/>
  <c r="J24" i="3"/>
  <c r="I24" i="3"/>
  <c r="I37" i="3"/>
  <c r="E44" i="3"/>
  <c r="J20" i="4"/>
  <c r="I20" i="4"/>
  <c r="H20" i="4"/>
  <c r="I27" i="4"/>
  <c r="J24" i="5"/>
  <c r="I35" i="6"/>
  <c r="J15" i="7"/>
  <c r="I15" i="7"/>
  <c r="H32" i="10"/>
  <c r="J32" i="10"/>
  <c r="I37" i="10"/>
  <c r="I25" i="11"/>
  <c r="J14" i="17"/>
  <c r="H14" i="17"/>
  <c r="H44" i="17" s="1"/>
  <c r="I28" i="21"/>
  <c r="J28" i="21"/>
  <c r="H28" i="21"/>
  <c r="I41" i="38"/>
  <c r="I39" i="38"/>
  <c r="I22" i="38"/>
  <c r="I20" i="38"/>
  <c r="I18" i="38"/>
  <c r="I16" i="38"/>
  <c r="I33" i="38"/>
  <c r="I35" i="38"/>
  <c r="I37" i="38"/>
  <c r="C45" i="38"/>
  <c r="I25" i="38"/>
  <c r="I19" i="38"/>
  <c r="I29" i="38"/>
  <c r="I38" i="38"/>
  <c r="I9" i="38"/>
  <c r="I31" i="38"/>
  <c r="I24" i="38"/>
  <c r="I17" i="38"/>
  <c r="I27" i="38"/>
  <c r="J29" i="2"/>
  <c r="I11" i="3"/>
  <c r="J18" i="3"/>
  <c r="I18" i="3"/>
  <c r="H24" i="3"/>
  <c r="I34" i="3"/>
  <c r="F44" i="3"/>
  <c r="G42" i="4"/>
  <c r="J14" i="4"/>
  <c r="I14" i="4"/>
  <c r="H14" i="4"/>
  <c r="H42" i="4" s="1"/>
  <c r="J31" i="4"/>
  <c r="I31" i="4"/>
  <c r="H31" i="4"/>
  <c r="J18" i="5"/>
  <c r="H24" i="5"/>
  <c r="H34" i="5"/>
  <c r="J43" i="5"/>
  <c r="I13" i="6"/>
  <c r="H16" i="6"/>
  <c r="I29" i="6"/>
  <c r="H32" i="6"/>
  <c r="H15" i="7"/>
  <c r="I26" i="7"/>
  <c r="H32" i="7"/>
  <c r="J38" i="8"/>
  <c r="J22" i="9"/>
  <c r="H37" i="10"/>
  <c r="J21" i="11"/>
  <c r="I21" i="11"/>
  <c r="I14" i="12"/>
  <c r="H14" i="12"/>
  <c r="J14" i="12"/>
  <c r="J9" i="16"/>
  <c r="G39" i="16"/>
  <c r="H9" i="16"/>
  <c r="H19" i="19"/>
  <c r="J19" i="19"/>
  <c r="J32" i="36"/>
  <c r="H32" i="36"/>
  <c r="I24" i="57"/>
  <c r="H24" i="57"/>
  <c r="J19" i="1"/>
  <c r="I19" i="1"/>
  <c r="I32" i="1"/>
  <c r="C43" i="1"/>
  <c r="J23" i="2"/>
  <c r="J28" i="5"/>
  <c r="I23" i="6"/>
  <c r="J9" i="7"/>
  <c r="H9" i="7"/>
  <c r="H19" i="1"/>
  <c r="D43" i="1"/>
  <c r="J22" i="3"/>
  <c r="I22" i="3"/>
  <c r="I35" i="3"/>
  <c r="I12" i="4"/>
  <c r="H28" i="4"/>
  <c r="H10" i="6"/>
  <c r="H41" i="6" s="1"/>
  <c r="I17" i="6"/>
  <c r="H20" i="6"/>
  <c r="I33" i="6"/>
  <c r="I39" i="6"/>
  <c r="H39" i="6"/>
  <c r="H11" i="8"/>
  <c r="J19" i="8"/>
  <c r="H12" i="24"/>
  <c r="G41" i="24"/>
  <c r="I10" i="25"/>
  <c r="I24" i="1"/>
  <c r="I30" i="1"/>
  <c r="E43" i="1"/>
  <c r="J27" i="2"/>
  <c r="I9" i="3"/>
  <c r="J16" i="3"/>
  <c r="I16" i="3"/>
  <c r="H22" i="3"/>
  <c r="J32" i="3"/>
  <c r="I32" i="3"/>
  <c r="I42" i="3"/>
  <c r="I10" i="4"/>
  <c r="J22" i="4"/>
  <c r="I22" i="4"/>
  <c r="I28" i="4"/>
  <c r="H39" i="4"/>
  <c r="J16" i="5"/>
  <c r="H14" i="6"/>
  <c r="I20" i="6"/>
  <c r="I27" i="6"/>
  <c r="H30" i="6"/>
  <c r="H13" i="7"/>
  <c r="I20" i="7"/>
  <c r="J30" i="7"/>
  <c r="H30" i="7"/>
  <c r="H19" i="8"/>
  <c r="J14" i="9"/>
  <c r="H14" i="9"/>
  <c r="H19" i="9"/>
  <c r="J19" i="9"/>
  <c r="H16" i="10"/>
  <c r="J16" i="10"/>
  <c r="J21" i="10"/>
  <c r="H23" i="12"/>
  <c r="J10" i="13"/>
  <c r="H35" i="15"/>
  <c r="H31" i="18"/>
  <c r="J39" i="32"/>
  <c r="I39" i="32"/>
  <c r="H39" i="32"/>
  <c r="J19" i="33"/>
  <c r="H19" i="33"/>
  <c r="I35" i="33"/>
  <c r="H35" i="33"/>
  <c r="J23" i="1"/>
  <c r="I23" i="1"/>
  <c r="J28" i="3"/>
  <c r="I28" i="3"/>
  <c r="H24" i="10"/>
  <c r="J24" i="10"/>
  <c r="F48" i="10"/>
  <c r="I37" i="11"/>
  <c r="J11" i="12"/>
  <c r="J15" i="8"/>
  <c r="H11" i="12"/>
  <c r="I29" i="4"/>
  <c r="I39" i="4"/>
  <c r="G46" i="5"/>
  <c r="I37" i="5" s="1"/>
  <c r="J10" i="5"/>
  <c r="J26" i="5"/>
  <c r="I14" i="6"/>
  <c r="I21" i="6"/>
  <c r="I30" i="6"/>
  <c r="J17" i="7"/>
  <c r="J34" i="7"/>
  <c r="I20" i="8"/>
  <c r="H34" i="11"/>
  <c r="I38" i="11"/>
  <c r="J20" i="12"/>
  <c r="I46" i="13"/>
  <c r="J24" i="17"/>
  <c r="H24" i="17"/>
  <c r="I24" i="20"/>
  <c r="J23" i="31"/>
  <c r="I23" i="31"/>
  <c r="H23" i="31"/>
  <c r="G41" i="31"/>
  <c r="J29" i="10"/>
  <c r="J34" i="12"/>
  <c r="H34" i="12"/>
  <c r="J9" i="22"/>
  <c r="G29" i="22"/>
  <c r="H9" i="22"/>
  <c r="H23" i="1"/>
  <c r="H23" i="2"/>
  <c r="H36" i="2"/>
  <c r="J12" i="3"/>
  <c r="I12" i="3"/>
  <c r="H12" i="3"/>
  <c r="I41" i="3"/>
  <c r="J18" i="4"/>
  <c r="I18" i="4"/>
  <c r="H18" i="4"/>
  <c r="I25" i="4"/>
  <c r="J35" i="4"/>
  <c r="I35" i="4"/>
  <c r="H35" i="4"/>
  <c r="J36" i="1"/>
  <c r="I36" i="1"/>
  <c r="H36" i="1"/>
  <c r="F43" i="1"/>
  <c r="J14" i="2"/>
  <c r="I14" i="2"/>
  <c r="H14" i="2"/>
  <c r="J26" i="3"/>
  <c r="I26" i="3"/>
  <c r="J21" i="1"/>
  <c r="I21" i="1"/>
  <c r="H25" i="1"/>
  <c r="I28" i="1"/>
  <c r="H40" i="1"/>
  <c r="H9" i="2"/>
  <c r="H31" i="2"/>
  <c r="J34" i="2"/>
  <c r="H34" i="2"/>
  <c r="E38" i="2"/>
  <c r="J10" i="3"/>
  <c r="I10" i="3"/>
  <c r="H10" i="3"/>
  <c r="H43" i="3" s="1"/>
  <c r="I13" i="3"/>
  <c r="J20" i="3"/>
  <c r="I20" i="3"/>
  <c r="H26" i="3"/>
  <c r="I36" i="3"/>
  <c r="I39" i="3"/>
  <c r="H39" i="3"/>
  <c r="J16" i="4"/>
  <c r="I16" i="4"/>
  <c r="H16" i="4"/>
  <c r="H26" i="4"/>
  <c r="J33" i="4"/>
  <c r="I33" i="4"/>
  <c r="H33" i="4"/>
  <c r="I40" i="4"/>
  <c r="H10" i="5"/>
  <c r="J20" i="5"/>
  <c r="H26" i="5"/>
  <c r="H36" i="5"/>
  <c r="H45" i="5"/>
  <c r="I15" i="6"/>
  <c r="H18" i="6"/>
  <c r="I24" i="6"/>
  <c r="I31" i="6"/>
  <c r="H34" i="6"/>
  <c r="J37" i="6"/>
  <c r="I37" i="6"/>
  <c r="H37" i="6"/>
  <c r="C42" i="6"/>
  <c r="H17" i="7"/>
  <c r="H34" i="7"/>
  <c r="G41" i="8"/>
  <c r="J9" i="8"/>
  <c r="J36" i="8"/>
  <c r="H36" i="8"/>
  <c r="H11" i="9"/>
  <c r="G35" i="9"/>
  <c r="J11" i="9"/>
  <c r="H30" i="9"/>
  <c r="H35" i="9" s="1"/>
  <c r="I30" i="9"/>
  <c r="J13" i="10"/>
  <c r="J40" i="10"/>
  <c r="G41" i="11"/>
  <c r="H20" i="12"/>
  <c r="I21" i="13"/>
  <c r="H46" i="13"/>
  <c r="J10" i="21"/>
  <c r="H10" i="21"/>
  <c r="G45" i="21"/>
  <c r="I16" i="21" s="1"/>
  <c r="I10" i="21"/>
  <c r="J19" i="22"/>
  <c r="I19" i="22"/>
  <c r="H19" i="22"/>
  <c r="I15" i="26"/>
  <c r="H15" i="26"/>
  <c r="J15" i="1"/>
  <c r="I15" i="1"/>
  <c r="H15" i="1"/>
  <c r="H42" i="1" s="1"/>
  <c r="I38" i="1"/>
  <c r="H38" i="1"/>
  <c r="I33" i="9"/>
  <c r="J33" i="9"/>
  <c r="H12" i="5"/>
  <c r="J22" i="5"/>
  <c r="H28" i="5"/>
  <c r="H29" i="10"/>
  <c r="H45" i="10"/>
  <c r="J45" i="10"/>
  <c r="I38" i="3"/>
  <c r="I17" i="1"/>
  <c r="H17" i="1"/>
  <c r="J25" i="2"/>
  <c r="J14" i="3"/>
  <c r="I14" i="3"/>
  <c r="J30" i="3"/>
  <c r="I30" i="3"/>
  <c r="D44" i="3"/>
  <c r="I26" i="4"/>
  <c r="J37" i="4"/>
  <c r="I37" i="4"/>
  <c r="J14" i="5"/>
  <c r="J30" i="5"/>
  <c r="I18" i="6"/>
  <c r="I25" i="6"/>
  <c r="D42" i="6"/>
  <c r="J11" i="7"/>
  <c r="H11" i="7"/>
  <c r="J28" i="7"/>
  <c r="H28" i="7"/>
  <c r="G40" i="7"/>
  <c r="I13" i="8"/>
  <c r="J13" i="8"/>
  <c r="J17" i="8"/>
  <c r="I31" i="9"/>
  <c r="E36" i="9"/>
  <c r="J16" i="11"/>
  <c r="I16" i="11"/>
  <c r="H16" i="11"/>
  <c r="H24" i="11"/>
  <c r="I24" i="11"/>
  <c r="I28" i="18"/>
  <c r="J13" i="22"/>
  <c r="I13" i="22"/>
  <c r="H13" i="22"/>
  <c r="J32" i="16"/>
  <c r="H32" i="16"/>
  <c r="H22" i="18"/>
  <c r="J22" i="18"/>
  <c r="J20" i="21"/>
  <c r="H20" i="21"/>
  <c r="I20" i="21"/>
  <c r="J22" i="23"/>
  <c r="D42" i="24"/>
  <c r="J33" i="27"/>
  <c r="J33" i="29"/>
  <c r="J20" i="40"/>
  <c r="I20" i="40"/>
  <c r="H20" i="40"/>
  <c r="H38" i="67"/>
  <c r="G38" i="12"/>
  <c r="I20" i="12" s="1"/>
  <c r="H9" i="12"/>
  <c r="H12" i="14"/>
  <c r="J26" i="16"/>
  <c r="H26" i="16"/>
  <c r="J12" i="23"/>
  <c r="I12" i="23"/>
  <c r="G39" i="23"/>
  <c r="J30" i="32"/>
  <c r="I30" i="32"/>
  <c r="H30" i="32"/>
  <c r="I34" i="38"/>
  <c r="J34" i="38"/>
  <c r="I45" i="62"/>
  <c r="H45" i="62"/>
  <c r="H25" i="80"/>
  <c r="J25" i="80"/>
  <c r="H26" i="8"/>
  <c r="H28" i="8"/>
  <c r="H30" i="8"/>
  <c r="H32" i="8"/>
  <c r="H34" i="8"/>
  <c r="I9" i="9"/>
  <c r="I17" i="9"/>
  <c r="I25" i="9"/>
  <c r="H11" i="10"/>
  <c r="H19" i="10"/>
  <c r="H27" i="10"/>
  <c r="H35" i="10"/>
  <c r="I11" i="11"/>
  <c r="H14" i="11"/>
  <c r="H41" i="11" s="1"/>
  <c r="I30" i="11"/>
  <c r="H32" i="11"/>
  <c r="H35" i="12"/>
  <c r="J11" i="13"/>
  <c r="H11" i="13"/>
  <c r="I15" i="13"/>
  <c r="H15" i="15"/>
  <c r="J33" i="15"/>
  <c r="I33" i="15"/>
  <c r="H17" i="16"/>
  <c r="H21" i="16"/>
  <c r="E40" i="16"/>
  <c r="J22" i="17"/>
  <c r="I37" i="17"/>
  <c r="H37" i="17"/>
  <c r="J9" i="18"/>
  <c r="G37" i="18"/>
  <c r="I31" i="18" s="1"/>
  <c r="H9" i="18"/>
  <c r="J18" i="18"/>
  <c r="E38" i="18"/>
  <c r="H16" i="19"/>
  <c r="H24" i="20"/>
  <c r="I44" i="21"/>
  <c r="H12" i="23"/>
  <c r="I30" i="27"/>
  <c r="H30" i="27"/>
  <c r="J30" i="27"/>
  <c r="J14" i="28"/>
  <c r="H14" i="28"/>
  <c r="J9" i="29"/>
  <c r="H9" i="29"/>
  <c r="G43" i="29"/>
  <c r="I27" i="29" s="1"/>
  <c r="H34" i="38"/>
  <c r="H31" i="14"/>
  <c r="J11" i="15"/>
  <c r="J18" i="17"/>
  <c r="I18" i="17"/>
  <c r="H18" i="17"/>
  <c r="J23" i="27"/>
  <c r="H12" i="36"/>
  <c r="I47" i="62"/>
  <c r="I40" i="62"/>
  <c r="I28" i="62"/>
  <c r="I34" i="62"/>
  <c r="I36" i="62"/>
  <c r="I30" i="62"/>
  <c r="I18" i="62"/>
  <c r="I14" i="62"/>
  <c r="I32" i="62"/>
  <c r="I26" i="62"/>
  <c r="I22" i="62"/>
  <c r="I10" i="62"/>
  <c r="I38" i="62"/>
  <c r="I46" i="62"/>
  <c r="I41" i="62"/>
  <c r="D49" i="62"/>
  <c r="I31" i="62"/>
  <c r="I9" i="62"/>
  <c r="I39" i="62"/>
  <c r="I11" i="62"/>
  <c r="I33" i="62"/>
  <c r="H26" i="1"/>
  <c r="H28" i="1"/>
  <c r="H30" i="1"/>
  <c r="H32" i="1"/>
  <c r="H34" i="1"/>
  <c r="I26" i="8"/>
  <c r="J9" i="9"/>
  <c r="J17" i="9"/>
  <c r="I23" i="9"/>
  <c r="J34" i="9"/>
  <c r="H34" i="9"/>
  <c r="J11" i="11"/>
  <c r="I14" i="11"/>
  <c r="I28" i="11"/>
  <c r="C42" i="11"/>
  <c r="I17" i="16"/>
  <c r="J30" i="16"/>
  <c r="I30" i="16"/>
  <c r="H30" i="16"/>
  <c r="C43" i="20"/>
  <c r="H17" i="21"/>
  <c r="J17" i="21"/>
  <c r="I17" i="21"/>
  <c r="I26" i="21"/>
  <c r="J26" i="21"/>
  <c r="H26" i="21"/>
  <c r="J16" i="23"/>
  <c r="I16" i="23"/>
  <c r="H16" i="23"/>
  <c r="I30" i="24"/>
  <c r="H30" i="24"/>
  <c r="H41" i="24" s="1"/>
  <c r="J17" i="27"/>
  <c r="H35" i="3"/>
  <c r="H25" i="4"/>
  <c r="H27" i="4"/>
  <c r="H29" i="4"/>
  <c r="H40" i="4"/>
  <c r="H33" i="5"/>
  <c r="H35" i="5"/>
  <c r="H37" i="5"/>
  <c r="H13" i="6"/>
  <c r="H15" i="6"/>
  <c r="H17" i="6"/>
  <c r="H19" i="6"/>
  <c r="H21" i="6"/>
  <c r="H23" i="6"/>
  <c r="H25" i="6"/>
  <c r="H27" i="6"/>
  <c r="H29" i="6"/>
  <c r="H31" i="6"/>
  <c r="H33" i="6"/>
  <c r="H37" i="7"/>
  <c r="H10" i="8"/>
  <c r="H12" i="8"/>
  <c r="H14" i="8"/>
  <c r="H16" i="8"/>
  <c r="H18" i="8"/>
  <c r="H20" i="8"/>
  <c r="H41" i="8" s="1"/>
  <c r="I39" i="8"/>
  <c r="I12" i="9"/>
  <c r="I15" i="9"/>
  <c r="I20" i="9"/>
  <c r="H28" i="9"/>
  <c r="I34" i="9"/>
  <c r="H9" i="10"/>
  <c r="J14" i="10"/>
  <c r="H17" i="10"/>
  <c r="J22" i="10"/>
  <c r="H25" i="10"/>
  <c r="J30" i="10"/>
  <c r="H33" i="10"/>
  <c r="I17" i="11"/>
  <c r="J22" i="11"/>
  <c r="H28" i="11"/>
  <c r="J30" i="11"/>
  <c r="H38" i="11"/>
  <c r="I25" i="12"/>
  <c r="H36" i="12"/>
  <c r="H12" i="13"/>
  <c r="I27" i="13"/>
  <c r="H22" i="15"/>
  <c r="E38" i="15"/>
  <c r="J11" i="16"/>
  <c r="I11" i="16"/>
  <c r="J16" i="17"/>
  <c r="H16" i="17"/>
  <c r="J26" i="17"/>
  <c r="J10" i="18"/>
  <c r="H10" i="18"/>
  <c r="J15" i="18"/>
  <c r="H15" i="18"/>
  <c r="J34" i="18"/>
  <c r="H34" i="18"/>
  <c r="I13" i="19"/>
  <c r="J13" i="19"/>
  <c r="H13" i="19"/>
  <c r="J21" i="20"/>
  <c r="H21" i="20"/>
  <c r="H42" i="20" s="1"/>
  <c r="I13" i="21"/>
  <c r="I37" i="21"/>
  <c r="J26" i="22"/>
  <c r="I26" i="22"/>
  <c r="H26" i="22"/>
  <c r="F30" i="22"/>
  <c r="I35" i="24"/>
  <c r="H35" i="24"/>
  <c r="H17" i="27"/>
  <c r="J28" i="28"/>
  <c r="H28" i="28"/>
  <c r="J14" i="30"/>
  <c r="H14" i="30"/>
  <c r="J31" i="41"/>
  <c r="H31" i="41"/>
  <c r="H24" i="14"/>
  <c r="J36" i="16"/>
  <c r="I36" i="16"/>
  <c r="D45" i="17"/>
  <c r="J16" i="21"/>
  <c r="H16" i="21"/>
  <c r="E42" i="24"/>
  <c r="H42" i="29"/>
  <c r="H24" i="1"/>
  <c r="J15" i="9"/>
  <c r="J32" i="9"/>
  <c r="H32" i="9"/>
  <c r="I33" i="10"/>
  <c r="I44" i="10"/>
  <c r="I15" i="11"/>
  <c r="J28" i="11"/>
  <c r="I16" i="12"/>
  <c r="H16" i="12"/>
  <c r="I22" i="12"/>
  <c r="I12" i="13"/>
  <c r="I25" i="13"/>
  <c r="J33" i="14"/>
  <c r="I9" i="15"/>
  <c r="G37" i="15"/>
  <c r="H9" i="15"/>
  <c r="I31" i="15"/>
  <c r="I34" i="16"/>
  <c r="H34" i="16"/>
  <c r="J25" i="18"/>
  <c r="H25" i="18"/>
  <c r="I25" i="18"/>
  <c r="E43" i="20"/>
  <c r="J13" i="21"/>
  <c r="I35" i="23"/>
  <c r="H35" i="23"/>
  <c r="I19" i="24"/>
  <c r="H19" i="24"/>
  <c r="I12" i="25"/>
  <c r="I27" i="31"/>
  <c r="H27" i="31"/>
  <c r="I44" i="32"/>
  <c r="J23" i="33"/>
  <c r="H23" i="33"/>
  <c r="I16" i="34"/>
  <c r="I21" i="34"/>
  <c r="I38" i="40"/>
  <c r="H38" i="40"/>
  <c r="H35" i="43"/>
  <c r="I27" i="9"/>
  <c r="G47" i="10"/>
  <c r="I32" i="11"/>
  <c r="I17" i="13"/>
  <c r="I36" i="15"/>
  <c r="J13" i="16"/>
  <c r="H28" i="18"/>
  <c r="J28" i="18"/>
  <c r="H15" i="20"/>
  <c r="G42" i="20"/>
  <c r="D43" i="20" s="1"/>
  <c r="J15" i="20"/>
  <c r="I15" i="20"/>
  <c r="I38" i="24"/>
  <c r="H31" i="30"/>
  <c r="I29" i="9"/>
  <c r="D36" i="9"/>
  <c r="I33" i="12"/>
  <c r="J9" i="13"/>
  <c r="G49" i="13"/>
  <c r="I9" i="13"/>
  <c r="H9" i="13"/>
  <c r="H49" i="13" s="1"/>
  <c r="J13" i="13"/>
  <c r="H13" i="13"/>
  <c r="I13" i="15"/>
  <c r="J20" i="15"/>
  <c r="I20" i="15"/>
  <c r="J28" i="16"/>
  <c r="H28" i="16"/>
  <c r="J38" i="16"/>
  <c r="I38" i="16"/>
  <c r="G44" i="17"/>
  <c r="I43" i="17" s="1"/>
  <c r="J20" i="17"/>
  <c r="H20" i="17"/>
  <c r="H42" i="17"/>
  <c r="J21" i="18"/>
  <c r="H21" i="18"/>
  <c r="J35" i="18"/>
  <c r="I35" i="18"/>
  <c r="H35" i="18"/>
  <c r="G21" i="19"/>
  <c r="I15" i="19" s="1"/>
  <c r="H18" i="20"/>
  <c r="I18" i="20"/>
  <c r="I34" i="21"/>
  <c r="J34" i="21"/>
  <c r="H34" i="21"/>
  <c r="I28" i="24"/>
  <c r="I32" i="24"/>
  <c r="J11" i="27"/>
  <c r="H11" i="27"/>
  <c r="H48" i="27" s="1"/>
  <c r="I28" i="31"/>
  <c r="J33" i="31"/>
  <c r="I33" i="31"/>
  <c r="H33" i="31"/>
  <c r="J13" i="37"/>
  <c r="H13" i="37"/>
  <c r="H36" i="37"/>
  <c r="I36" i="37"/>
  <c r="J24" i="40"/>
  <c r="H24" i="40"/>
  <c r="J19" i="18"/>
  <c r="H19" i="18"/>
  <c r="J32" i="18"/>
  <c r="H32" i="18"/>
  <c r="F43" i="20"/>
  <c r="J14" i="21"/>
  <c r="H14" i="21"/>
  <c r="J41" i="21"/>
  <c r="I41" i="21"/>
  <c r="I28" i="22"/>
  <c r="I31" i="23"/>
  <c r="H31" i="23"/>
  <c r="I38" i="23"/>
  <c r="H38" i="23"/>
  <c r="I17" i="24"/>
  <c r="I26" i="24"/>
  <c r="F42" i="24"/>
  <c r="J16" i="25"/>
  <c r="I16" i="25"/>
  <c r="H16" i="25"/>
  <c r="J20" i="25"/>
  <c r="H20" i="25"/>
  <c r="J21" i="27"/>
  <c r="H44" i="27"/>
  <c r="J33" i="28"/>
  <c r="H33" i="28"/>
  <c r="J25" i="29"/>
  <c r="J26" i="32"/>
  <c r="I26" i="32"/>
  <c r="H26" i="32"/>
  <c r="G43" i="33"/>
  <c r="I19" i="33" s="1"/>
  <c r="J19" i="36"/>
  <c r="H25" i="37"/>
  <c r="H39" i="40"/>
  <c r="H17" i="43"/>
  <c r="J17" i="43"/>
  <c r="J22" i="47"/>
  <c r="H22" i="47"/>
  <c r="G48" i="47"/>
  <c r="G35" i="14"/>
  <c r="I22" i="14" s="1"/>
  <c r="J13" i="18"/>
  <c r="H13" i="18"/>
  <c r="I11" i="19"/>
  <c r="I24" i="21"/>
  <c r="I32" i="21"/>
  <c r="C46" i="21"/>
  <c r="J20" i="23"/>
  <c r="I20" i="23"/>
  <c r="C40" i="23"/>
  <c r="I24" i="24"/>
  <c r="I35" i="25"/>
  <c r="H22" i="26"/>
  <c r="I30" i="26"/>
  <c r="H30" i="26"/>
  <c r="J15" i="27"/>
  <c r="J30" i="28"/>
  <c r="I30" i="28"/>
  <c r="I34" i="28"/>
  <c r="J15" i="29"/>
  <c r="H15" i="29"/>
  <c r="H28" i="30"/>
  <c r="I40" i="31"/>
  <c r="H40" i="31"/>
  <c r="J22" i="32"/>
  <c r="H22" i="32"/>
  <c r="I10" i="33"/>
  <c r="J15" i="33"/>
  <c r="I15" i="33"/>
  <c r="H15" i="33"/>
  <c r="I26" i="33"/>
  <c r="J31" i="33"/>
  <c r="I31" i="33"/>
  <c r="H31" i="33"/>
  <c r="I42" i="33"/>
  <c r="H42" i="33"/>
  <c r="J29" i="37"/>
  <c r="I29" i="37"/>
  <c r="H29" i="37"/>
  <c r="H40" i="13"/>
  <c r="H47" i="13"/>
  <c r="H9" i="14"/>
  <c r="H11" i="14"/>
  <c r="H13" i="14"/>
  <c r="H20" i="14"/>
  <c r="H27" i="14"/>
  <c r="H14" i="15"/>
  <c r="H16" i="15"/>
  <c r="H23" i="15"/>
  <c r="H25" i="15"/>
  <c r="H27" i="15"/>
  <c r="H29" i="15"/>
  <c r="H36" i="15"/>
  <c r="H16" i="16"/>
  <c r="H18" i="16"/>
  <c r="H20" i="16"/>
  <c r="H38" i="17"/>
  <c r="H43" i="17"/>
  <c r="I13" i="18"/>
  <c r="J16" i="18"/>
  <c r="J23" i="18"/>
  <c r="H23" i="18"/>
  <c r="I26" i="18"/>
  <c r="H11" i="19"/>
  <c r="I20" i="19"/>
  <c r="J16" i="20"/>
  <c r="H16" i="20"/>
  <c r="I22" i="20"/>
  <c r="I31" i="20"/>
  <c r="I34" i="20"/>
  <c r="I40" i="20"/>
  <c r="J11" i="21"/>
  <c r="J18" i="21"/>
  <c r="H18" i="21"/>
  <c r="I21" i="21"/>
  <c r="H24" i="21"/>
  <c r="H32" i="21"/>
  <c r="I38" i="21"/>
  <c r="D46" i="21"/>
  <c r="H17" i="22"/>
  <c r="H21" i="22"/>
  <c r="J10" i="23"/>
  <c r="I10" i="23"/>
  <c r="H10" i="23"/>
  <c r="H39" i="23" s="1"/>
  <c r="J14" i="23"/>
  <c r="I14" i="23"/>
  <c r="H20" i="23"/>
  <c r="D40" i="23"/>
  <c r="J10" i="24"/>
  <c r="I10" i="24"/>
  <c r="H10" i="24"/>
  <c r="H14" i="24"/>
  <c r="I21" i="24"/>
  <c r="I25" i="25"/>
  <c r="H17" i="26"/>
  <c r="H36" i="26" s="1"/>
  <c r="H34" i="26"/>
  <c r="J9" i="27"/>
  <c r="H15" i="27"/>
  <c r="J25" i="27"/>
  <c r="G48" i="27"/>
  <c r="H30" i="28"/>
  <c r="J16" i="29"/>
  <c r="H16" i="29"/>
  <c r="J21" i="29"/>
  <c r="H21" i="29"/>
  <c r="J20" i="30"/>
  <c r="H20" i="30"/>
  <c r="J15" i="36"/>
  <c r="H15" i="36"/>
  <c r="I15" i="38"/>
  <c r="I42" i="42"/>
  <c r="H42" i="42"/>
  <c r="H18" i="53"/>
  <c r="I14" i="15"/>
  <c r="I23" i="15"/>
  <c r="I25" i="15"/>
  <c r="I27" i="15"/>
  <c r="I29" i="15"/>
  <c r="I16" i="16"/>
  <c r="I20" i="16"/>
  <c r="J11" i="18"/>
  <c r="H11" i="18"/>
  <c r="J17" i="18"/>
  <c r="H17" i="18"/>
  <c r="J26" i="18"/>
  <c r="I9" i="19"/>
  <c r="J11" i="19"/>
  <c r="C22" i="19"/>
  <c r="J23" i="20"/>
  <c r="H23" i="20"/>
  <c r="I41" i="20"/>
  <c r="J12" i="21"/>
  <c r="H12" i="21"/>
  <c r="H45" i="21" s="1"/>
  <c r="J21" i="21"/>
  <c r="J24" i="21"/>
  <c r="I30" i="21"/>
  <c r="J32" i="21"/>
  <c r="J39" i="21"/>
  <c r="I39" i="21"/>
  <c r="I17" i="22"/>
  <c r="I21" i="22"/>
  <c r="D30" i="22"/>
  <c r="E40" i="23"/>
  <c r="I14" i="24"/>
  <c r="I33" i="24"/>
  <c r="G39" i="25"/>
  <c r="I29" i="25" s="1"/>
  <c r="I32" i="25"/>
  <c r="H32" i="25"/>
  <c r="I27" i="26"/>
  <c r="I34" i="26"/>
  <c r="J19" i="27"/>
  <c r="H38" i="27"/>
  <c r="J22" i="29"/>
  <c r="J24" i="30"/>
  <c r="H24" i="30"/>
  <c r="I36" i="31"/>
  <c r="I43" i="32"/>
  <c r="J11" i="33"/>
  <c r="I11" i="33"/>
  <c r="H11" i="33"/>
  <c r="I22" i="33"/>
  <c r="J27" i="33"/>
  <c r="I27" i="33"/>
  <c r="H27" i="33"/>
  <c r="J17" i="35"/>
  <c r="J21" i="35"/>
  <c r="J25" i="35"/>
  <c r="H10" i="38"/>
  <c r="J10" i="38"/>
  <c r="I10" i="38"/>
  <c r="J24" i="39"/>
  <c r="H24" i="39"/>
  <c r="J24" i="48"/>
  <c r="H24" i="48"/>
  <c r="J16" i="50"/>
  <c r="I16" i="50"/>
  <c r="H16" i="50"/>
  <c r="H26" i="50"/>
  <c r="H36" i="51"/>
  <c r="I11" i="18"/>
  <c r="I17" i="18"/>
  <c r="J27" i="18"/>
  <c r="H27" i="18"/>
  <c r="H9" i="19"/>
  <c r="J18" i="19"/>
  <c r="H18" i="19"/>
  <c r="I20" i="20"/>
  <c r="I23" i="20"/>
  <c r="H41" i="20"/>
  <c r="I9" i="21"/>
  <c r="I12" i="21"/>
  <c r="H30" i="21"/>
  <c r="H39" i="21"/>
  <c r="F46" i="21"/>
  <c r="E30" i="22"/>
  <c r="J18" i="23"/>
  <c r="I18" i="23"/>
  <c r="H33" i="23"/>
  <c r="F40" i="23"/>
  <c r="I40" i="24"/>
  <c r="H40" i="24"/>
  <c r="J14" i="25"/>
  <c r="I14" i="25"/>
  <c r="H14" i="25"/>
  <c r="H39" i="25" s="1"/>
  <c r="J18" i="25"/>
  <c r="I18" i="25"/>
  <c r="H18" i="25"/>
  <c r="H22" i="25"/>
  <c r="C40" i="25"/>
  <c r="H27" i="26"/>
  <c r="J13" i="27"/>
  <c r="H19" i="27"/>
  <c r="H39" i="27"/>
  <c r="J17" i="28"/>
  <c r="I17" i="28"/>
  <c r="H17" i="28"/>
  <c r="H37" i="28" s="1"/>
  <c r="H22" i="29"/>
  <c r="H43" i="32"/>
  <c r="I39" i="33"/>
  <c r="J20" i="34"/>
  <c r="I20" i="34"/>
  <c r="H17" i="35"/>
  <c r="H21" i="35"/>
  <c r="H25" i="35"/>
  <c r="H22" i="37"/>
  <c r="F45" i="38"/>
  <c r="G36" i="26"/>
  <c r="D37" i="26" s="1"/>
  <c r="I28" i="27"/>
  <c r="H28" i="27"/>
  <c r="H36" i="27"/>
  <c r="J19" i="29"/>
  <c r="H19" i="29"/>
  <c r="J31" i="29"/>
  <c r="G38" i="30"/>
  <c r="C39" i="30" s="1"/>
  <c r="J18" i="30"/>
  <c r="H18" i="30"/>
  <c r="J11" i="31"/>
  <c r="I11" i="31"/>
  <c r="H11" i="31"/>
  <c r="J29" i="31"/>
  <c r="I29" i="31"/>
  <c r="H29" i="36"/>
  <c r="C45" i="37"/>
  <c r="I21" i="38"/>
  <c r="H42" i="38"/>
  <c r="I42" i="38"/>
  <c r="J33" i="42"/>
  <c r="J29" i="44"/>
  <c r="I29" i="44"/>
  <c r="H29" i="44"/>
  <c r="J33" i="44"/>
  <c r="H33" i="44"/>
  <c r="G37" i="28"/>
  <c r="I21" i="28" s="1"/>
  <c r="J13" i="29"/>
  <c r="H13" i="29"/>
  <c r="H40" i="29"/>
  <c r="J12" i="30"/>
  <c r="H12" i="30"/>
  <c r="J36" i="30"/>
  <c r="H36" i="30"/>
  <c r="J25" i="31"/>
  <c r="I25" i="31"/>
  <c r="H25" i="31"/>
  <c r="H29" i="31"/>
  <c r="J24" i="32"/>
  <c r="H24" i="32"/>
  <c r="J28" i="32"/>
  <c r="I28" i="32"/>
  <c r="H28" i="32"/>
  <c r="H32" i="32"/>
  <c r="J41" i="32"/>
  <c r="D46" i="32"/>
  <c r="I12" i="33"/>
  <c r="I16" i="33"/>
  <c r="I20" i="33"/>
  <c r="I24" i="33"/>
  <c r="I28" i="33"/>
  <c r="I32" i="33"/>
  <c r="F44" i="33"/>
  <c r="I22" i="34"/>
  <c r="H26" i="34"/>
  <c r="H30" i="34"/>
  <c r="J21" i="36"/>
  <c r="J18" i="37"/>
  <c r="H18" i="37"/>
  <c r="H33" i="37"/>
  <c r="D45" i="37"/>
  <c r="I12" i="38"/>
  <c r="I32" i="38"/>
  <c r="J32" i="38"/>
  <c r="H32" i="38"/>
  <c r="E43" i="39"/>
  <c r="J19" i="41"/>
  <c r="H19" i="41"/>
  <c r="H33" i="42"/>
  <c r="H26" i="43"/>
  <c r="J26" i="43"/>
  <c r="H10" i="22"/>
  <c r="H12" i="22"/>
  <c r="H14" i="22"/>
  <c r="H16" i="22"/>
  <c r="H18" i="22"/>
  <c r="H20" i="22"/>
  <c r="H22" i="22"/>
  <c r="H34" i="23"/>
  <c r="H15" i="24"/>
  <c r="I26" i="27"/>
  <c r="H26" i="27"/>
  <c r="I34" i="27"/>
  <c r="H34" i="27"/>
  <c r="H45" i="27"/>
  <c r="H24" i="28"/>
  <c r="I26" i="28"/>
  <c r="H20" i="29"/>
  <c r="J23" i="29"/>
  <c r="H23" i="29"/>
  <c r="J29" i="29"/>
  <c r="H37" i="29"/>
  <c r="J22" i="30"/>
  <c r="H22" i="30"/>
  <c r="I30" i="31"/>
  <c r="J38" i="31"/>
  <c r="I38" i="31"/>
  <c r="H38" i="31"/>
  <c r="F42" i="31"/>
  <c r="I33" i="32"/>
  <c r="J37" i="32"/>
  <c r="I37" i="32"/>
  <c r="H37" i="32"/>
  <c r="H41" i="32"/>
  <c r="I18" i="34"/>
  <c r="H18" i="34"/>
  <c r="H22" i="34"/>
  <c r="I26" i="34"/>
  <c r="I30" i="34"/>
  <c r="J19" i="35"/>
  <c r="J23" i="35"/>
  <c r="H17" i="36"/>
  <c r="H21" i="36"/>
  <c r="J27" i="37"/>
  <c r="E45" i="37"/>
  <c r="J12" i="38"/>
  <c r="I36" i="38"/>
  <c r="H30" i="39"/>
  <c r="I19" i="41"/>
  <c r="J19" i="44"/>
  <c r="I19" i="44"/>
  <c r="I15" i="60"/>
  <c r="H15" i="60"/>
  <c r="J15" i="60"/>
  <c r="G43" i="60"/>
  <c r="I22" i="60" s="1"/>
  <c r="J22" i="60"/>
  <c r="H22" i="60"/>
  <c r="E49" i="27"/>
  <c r="J15" i="28"/>
  <c r="I15" i="28"/>
  <c r="H15" i="28"/>
  <c r="I22" i="28"/>
  <c r="J17" i="29"/>
  <c r="H17" i="29"/>
  <c r="J16" i="30"/>
  <c r="H16" i="30"/>
  <c r="I9" i="31"/>
  <c r="J9" i="33"/>
  <c r="I9" i="33"/>
  <c r="J13" i="33"/>
  <c r="I13" i="33"/>
  <c r="J17" i="33"/>
  <c r="I17" i="33"/>
  <c r="J21" i="33"/>
  <c r="I21" i="33"/>
  <c r="J25" i="33"/>
  <c r="I25" i="33"/>
  <c r="J29" i="33"/>
  <c r="I29" i="33"/>
  <c r="J33" i="33"/>
  <c r="I33" i="33"/>
  <c r="I19" i="34"/>
  <c r="J14" i="40"/>
  <c r="H31" i="40"/>
  <c r="J20" i="41"/>
  <c r="H20" i="41"/>
  <c r="J15" i="43"/>
  <c r="I15" i="43"/>
  <c r="H15" i="43"/>
  <c r="H37" i="46"/>
  <c r="J37" i="46"/>
  <c r="I27" i="54"/>
  <c r="F41" i="54"/>
  <c r="I39" i="54"/>
  <c r="I32" i="54"/>
  <c r="I29" i="54"/>
  <c r="I37" i="54"/>
  <c r="I25" i="54"/>
  <c r="I19" i="54"/>
  <c r="I35" i="54"/>
  <c r="I30" i="54"/>
  <c r="I17" i="54"/>
  <c r="I13" i="54"/>
  <c r="I38" i="54"/>
  <c r="D41" i="54"/>
  <c r="I23" i="54"/>
  <c r="I11" i="54"/>
  <c r="H32" i="27"/>
  <c r="F49" i="27"/>
  <c r="H22" i="28"/>
  <c r="I35" i="28"/>
  <c r="H35" i="28"/>
  <c r="J11" i="29"/>
  <c r="H11" i="29"/>
  <c r="J27" i="29"/>
  <c r="J10" i="30"/>
  <c r="H10" i="30"/>
  <c r="H38" i="30" s="1"/>
  <c r="H26" i="30"/>
  <c r="I31" i="31"/>
  <c r="I34" i="32"/>
  <c r="H9" i="33"/>
  <c r="H13" i="33"/>
  <c r="H17" i="33"/>
  <c r="H21" i="33"/>
  <c r="H25" i="33"/>
  <c r="H29" i="33"/>
  <c r="H33" i="33"/>
  <c r="I35" i="34"/>
  <c r="G36" i="35"/>
  <c r="I11" i="35" s="1"/>
  <c r="H10" i="36"/>
  <c r="J11" i="37"/>
  <c r="H11" i="37"/>
  <c r="J20" i="37"/>
  <c r="J31" i="37"/>
  <c r="J36" i="38"/>
  <c r="E45" i="38"/>
  <c r="J20" i="39"/>
  <c r="H20" i="39"/>
  <c r="H42" i="39" s="1"/>
  <c r="H14" i="40"/>
  <c r="H41" i="41"/>
  <c r="J11" i="43"/>
  <c r="H11" i="43"/>
  <c r="J13" i="44"/>
  <c r="I13" i="44"/>
  <c r="H13" i="44"/>
  <c r="J9" i="46"/>
  <c r="I9" i="46"/>
  <c r="H9" i="46"/>
  <c r="G43" i="46"/>
  <c r="J13" i="46"/>
  <c r="I13" i="46"/>
  <c r="H13" i="46"/>
  <c r="J17" i="46"/>
  <c r="H17" i="46"/>
  <c r="I21" i="46"/>
  <c r="H21" i="46"/>
  <c r="I37" i="46"/>
  <c r="J29" i="50"/>
  <c r="I29" i="50"/>
  <c r="G45" i="32"/>
  <c r="I32" i="32" s="1"/>
  <c r="I30" i="38"/>
  <c r="J18" i="39"/>
  <c r="H18" i="39"/>
  <c r="I28" i="39"/>
  <c r="J37" i="39"/>
  <c r="H37" i="39"/>
  <c r="G42" i="39"/>
  <c r="I30" i="39" s="1"/>
  <c r="J18" i="40"/>
  <c r="J17" i="42"/>
  <c r="H17" i="42"/>
  <c r="J39" i="42"/>
  <c r="I39" i="42"/>
  <c r="J44" i="44"/>
  <c r="J15" i="45"/>
  <c r="I15" i="45"/>
  <c r="H15" i="45"/>
  <c r="J23" i="45"/>
  <c r="I23" i="45"/>
  <c r="H23" i="45"/>
  <c r="H35" i="45"/>
  <c r="H39" i="45"/>
  <c r="H39" i="47"/>
  <c r="C47" i="48"/>
  <c r="I15" i="51"/>
  <c r="H19" i="53"/>
  <c r="J19" i="67"/>
  <c r="H19" i="67"/>
  <c r="H13" i="31"/>
  <c r="H15" i="31"/>
  <c r="H17" i="31"/>
  <c r="H19" i="31"/>
  <c r="H21" i="31"/>
  <c r="H36" i="31"/>
  <c r="H10" i="32"/>
  <c r="H45" i="32" s="1"/>
  <c r="H12" i="32"/>
  <c r="H14" i="32"/>
  <c r="H16" i="32"/>
  <c r="H18" i="32"/>
  <c r="H20" i="32"/>
  <c r="H40" i="33"/>
  <c r="H10" i="34"/>
  <c r="H12" i="34"/>
  <c r="H14" i="34"/>
  <c r="H37" i="34" s="1"/>
  <c r="H16" i="34"/>
  <c r="H33" i="34"/>
  <c r="H35" i="34"/>
  <c r="H9" i="35"/>
  <c r="H11" i="35"/>
  <c r="H13" i="35"/>
  <c r="H15" i="35"/>
  <c r="H32" i="35"/>
  <c r="H34" i="35"/>
  <c r="G34" i="36"/>
  <c r="H13" i="36"/>
  <c r="H24" i="36"/>
  <c r="H9" i="37"/>
  <c r="H16" i="37"/>
  <c r="H23" i="37"/>
  <c r="J34" i="37"/>
  <c r="H34" i="37"/>
  <c r="H13" i="38"/>
  <c r="H23" i="38"/>
  <c r="I28" i="38"/>
  <c r="H30" i="38"/>
  <c r="J43" i="38"/>
  <c r="H43" i="38"/>
  <c r="I18" i="39"/>
  <c r="H28" i="39"/>
  <c r="I31" i="39"/>
  <c r="H31" i="39"/>
  <c r="I34" i="39"/>
  <c r="I37" i="39"/>
  <c r="J12" i="40"/>
  <c r="I12" i="40"/>
  <c r="H18" i="40"/>
  <c r="I32" i="40"/>
  <c r="I35" i="40"/>
  <c r="J10" i="41"/>
  <c r="J29" i="41"/>
  <c r="J35" i="42"/>
  <c r="H35" i="42"/>
  <c r="H39" i="42"/>
  <c r="H44" i="44"/>
  <c r="H11" i="45"/>
  <c r="H41" i="45" s="1"/>
  <c r="I30" i="45"/>
  <c r="D47" i="48"/>
  <c r="J34" i="60"/>
  <c r="I34" i="60"/>
  <c r="H34" i="60"/>
  <c r="F44" i="60"/>
  <c r="J9" i="61"/>
  <c r="G40" i="61"/>
  <c r="I27" i="61" s="1"/>
  <c r="I9" i="61"/>
  <c r="H9" i="61"/>
  <c r="J31" i="61"/>
  <c r="H31" i="61"/>
  <c r="J19" i="65"/>
  <c r="H19" i="65"/>
  <c r="I19" i="65"/>
  <c r="J13" i="67"/>
  <c r="H13" i="67"/>
  <c r="H29" i="30"/>
  <c r="H34" i="30"/>
  <c r="H9" i="31"/>
  <c r="I13" i="31"/>
  <c r="I15" i="31"/>
  <c r="I17" i="31"/>
  <c r="I19" i="31"/>
  <c r="I21" i="31"/>
  <c r="H32" i="31"/>
  <c r="H34" i="31"/>
  <c r="I10" i="32"/>
  <c r="I12" i="32"/>
  <c r="I14" i="32"/>
  <c r="I16" i="32"/>
  <c r="I20" i="32"/>
  <c r="H35" i="32"/>
  <c r="H44" i="32"/>
  <c r="H36" i="33"/>
  <c r="H38" i="33"/>
  <c r="I40" i="33"/>
  <c r="I10" i="34"/>
  <c r="I14" i="34"/>
  <c r="H23" i="34"/>
  <c r="H25" i="34"/>
  <c r="H27" i="34"/>
  <c r="H29" i="34"/>
  <c r="H31" i="34"/>
  <c r="I33" i="34"/>
  <c r="G37" i="34"/>
  <c r="C38" i="34" s="1"/>
  <c r="H28" i="35"/>
  <c r="H30" i="35"/>
  <c r="I32" i="35"/>
  <c r="H9" i="36"/>
  <c r="H11" i="36"/>
  <c r="H27" i="36"/>
  <c r="J9" i="37"/>
  <c r="H14" i="37"/>
  <c r="H42" i="37"/>
  <c r="G44" i="37"/>
  <c r="I40" i="37" s="1"/>
  <c r="I13" i="38"/>
  <c r="I23" i="38"/>
  <c r="I26" i="38"/>
  <c r="H28" i="38"/>
  <c r="J30" i="38"/>
  <c r="I40" i="38"/>
  <c r="I43" i="38"/>
  <c r="I15" i="39"/>
  <c r="J22" i="39"/>
  <c r="H22" i="39"/>
  <c r="J28" i="39"/>
  <c r="J34" i="39"/>
  <c r="H12" i="40"/>
  <c r="J22" i="40"/>
  <c r="J35" i="40"/>
  <c r="D40" i="40"/>
  <c r="H10" i="41"/>
  <c r="J22" i="41"/>
  <c r="H29" i="41"/>
  <c r="J38" i="41"/>
  <c r="I35" i="42"/>
  <c r="I44" i="42"/>
  <c r="H44" i="42"/>
  <c r="I9" i="43"/>
  <c r="G37" i="43"/>
  <c r="I17" i="43" s="1"/>
  <c r="H9" i="43"/>
  <c r="J24" i="43"/>
  <c r="J11" i="44"/>
  <c r="I11" i="44"/>
  <c r="J27" i="44"/>
  <c r="I40" i="46"/>
  <c r="H40" i="46"/>
  <c r="J24" i="47"/>
  <c r="H24" i="47"/>
  <c r="J28" i="47"/>
  <c r="J13" i="48"/>
  <c r="H13" i="48"/>
  <c r="H11" i="52"/>
  <c r="J11" i="52"/>
  <c r="H16" i="52"/>
  <c r="H27" i="30"/>
  <c r="H28" i="31"/>
  <c r="H30" i="31"/>
  <c r="I32" i="31"/>
  <c r="I34" i="31"/>
  <c r="H33" i="32"/>
  <c r="H42" i="32"/>
  <c r="H10" i="33"/>
  <c r="H12" i="33"/>
  <c r="H14" i="33"/>
  <c r="H16" i="33"/>
  <c r="H18" i="33"/>
  <c r="H20" i="33"/>
  <c r="H22" i="33"/>
  <c r="H24" i="33"/>
  <c r="H26" i="33"/>
  <c r="H28" i="33"/>
  <c r="H30" i="33"/>
  <c r="H32" i="33"/>
  <c r="H34" i="33"/>
  <c r="I36" i="33"/>
  <c r="I38" i="33"/>
  <c r="H19" i="34"/>
  <c r="H21" i="34"/>
  <c r="I23" i="34"/>
  <c r="I25" i="34"/>
  <c r="I27" i="34"/>
  <c r="I29" i="34"/>
  <c r="I31" i="34"/>
  <c r="J9" i="35"/>
  <c r="H18" i="35"/>
  <c r="H20" i="35"/>
  <c r="H22" i="35"/>
  <c r="H24" i="35"/>
  <c r="H26" i="35"/>
  <c r="I9" i="36"/>
  <c r="H18" i="36"/>
  <c r="H20" i="36"/>
  <c r="H22" i="36"/>
  <c r="H30" i="36"/>
  <c r="H12" i="37"/>
  <c r="I14" i="37"/>
  <c r="H21" i="37"/>
  <c r="H40" i="37"/>
  <c r="H11" i="38"/>
  <c r="H44" i="38" s="1"/>
  <c r="H21" i="38"/>
  <c r="H26" i="38"/>
  <c r="J28" i="38"/>
  <c r="J40" i="38"/>
  <c r="I10" i="39"/>
  <c r="H10" i="39"/>
  <c r="J16" i="39"/>
  <c r="H16" i="39"/>
  <c r="I22" i="39"/>
  <c r="I32" i="39"/>
  <c r="J16" i="40"/>
  <c r="I16" i="40"/>
  <c r="H22" i="40"/>
  <c r="H22" i="41"/>
  <c r="I26" i="41"/>
  <c r="H38" i="41"/>
  <c r="J25" i="42"/>
  <c r="I25" i="42"/>
  <c r="H25" i="42"/>
  <c r="I19" i="43"/>
  <c r="H24" i="43"/>
  <c r="I31" i="43"/>
  <c r="F38" i="43"/>
  <c r="H11" i="44"/>
  <c r="J21" i="44"/>
  <c r="I21" i="44"/>
  <c r="H21" i="44"/>
  <c r="H27" i="44"/>
  <c r="J12" i="47"/>
  <c r="H28" i="47"/>
  <c r="F39" i="49"/>
  <c r="E39" i="49"/>
  <c r="I29" i="49"/>
  <c r="D39" i="49"/>
  <c r="I18" i="49"/>
  <c r="C39" i="49"/>
  <c r="I33" i="49"/>
  <c r="I25" i="49"/>
  <c r="I14" i="49"/>
  <c r="I28" i="49"/>
  <c r="I36" i="49"/>
  <c r="I27" i="49"/>
  <c r="I19" i="49"/>
  <c r="I9" i="49"/>
  <c r="I34" i="49"/>
  <c r="J11" i="51"/>
  <c r="H11" i="51"/>
  <c r="G37" i="51"/>
  <c r="I30" i="51" s="1"/>
  <c r="J20" i="51"/>
  <c r="H20" i="51"/>
  <c r="J16" i="52"/>
  <c r="H39" i="63"/>
  <c r="J39" i="63"/>
  <c r="J9" i="36"/>
  <c r="H25" i="36"/>
  <c r="H19" i="37"/>
  <c r="J21" i="37"/>
  <c r="J43" i="37"/>
  <c r="H43" i="37"/>
  <c r="I11" i="38"/>
  <c r="I14" i="38"/>
  <c r="J26" i="38"/>
  <c r="D45" i="38"/>
  <c r="J10" i="39"/>
  <c r="I13" i="39"/>
  <c r="I16" i="39"/>
  <c r="J26" i="39"/>
  <c r="H26" i="39"/>
  <c r="J32" i="39"/>
  <c r="J10" i="40"/>
  <c r="I10" i="40"/>
  <c r="H16" i="40"/>
  <c r="J26" i="40"/>
  <c r="I26" i="40"/>
  <c r="J33" i="40"/>
  <c r="F40" i="40"/>
  <c r="I15" i="41"/>
  <c r="J15" i="41"/>
  <c r="H15" i="41"/>
  <c r="J27" i="41"/>
  <c r="H27" i="41"/>
  <c r="E44" i="41"/>
  <c r="J20" i="43"/>
  <c r="I20" i="43"/>
  <c r="H20" i="43"/>
  <c r="J9" i="45"/>
  <c r="G41" i="45"/>
  <c r="I28" i="45" s="1"/>
  <c r="I9" i="45"/>
  <c r="I32" i="45"/>
  <c r="H32" i="45"/>
  <c r="H12" i="47"/>
  <c r="I35" i="49"/>
  <c r="G39" i="40"/>
  <c r="I18" i="40" s="1"/>
  <c r="J11" i="42"/>
  <c r="J19" i="42"/>
  <c r="I19" i="42"/>
  <c r="J27" i="42"/>
  <c r="E42" i="45"/>
  <c r="J27" i="46"/>
  <c r="I27" i="46"/>
  <c r="F44" i="46"/>
  <c r="J18" i="47"/>
  <c r="I18" i="47"/>
  <c r="J38" i="48"/>
  <c r="H38" i="48"/>
  <c r="J26" i="49"/>
  <c r="I26" i="49"/>
  <c r="H26" i="49"/>
  <c r="J24" i="50"/>
  <c r="H24" i="50"/>
  <c r="H35" i="52"/>
  <c r="I13" i="53"/>
  <c r="H23" i="53"/>
  <c r="J15" i="54"/>
  <c r="I15" i="54"/>
  <c r="H15" i="54"/>
  <c r="E41" i="54"/>
  <c r="I13" i="55"/>
  <c r="J13" i="55"/>
  <c r="H13" i="55"/>
  <c r="H39" i="56"/>
  <c r="J39" i="56"/>
  <c r="H12" i="58"/>
  <c r="I36" i="61"/>
  <c r="H36" i="61"/>
  <c r="J36" i="61"/>
  <c r="G46" i="42"/>
  <c r="I29" i="42" s="1"/>
  <c r="H9" i="42"/>
  <c r="I18" i="43"/>
  <c r="I27" i="43"/>
  <c r="J33" i="43"/>
  <c r="I33" i="43"/>
  <c r="J9" i="44"/>
  <c r="G48" i="44"/>
  <c r="C49" i="44" s="1"/>
  <c r="J17" i="44"/>
  <c r="I17" i="44"/>
  <c r="J25" i="44"/>
  <c r="J42" i="44"/>
  <c r="J25" i="46"/>
  <c r="I25" i="46"/>
  <c r="I34" i="46"/>
  <c r="I42" i="46"/>
  <c r="J16" i="47"/>
  <c r="H35" i="48"/>
  <c r="I31" i="49"/>
  <c r="H31" i="49"/>
  <c r="I21" i="50"/>
  <c r="H21" i="50"/>
  <c r="J21" i="50"/>
  <c r="J37" i="50"/>
  <c r="J25" i="51"/>
  <c r="H25" i="51"/>
  <c r="I25" i="51"/>
  <c r="H29" i="51"/>
  <c r="J14" i="52"/>
  <c r="I20" i="53"/>
  <c r="H20" i="53"/>
  <c r="D39" i="53"/>
  <c r="I34" i="54"/>
  <c r="H34" i="54"/>
  <c r="G44" i="55"/>
  <c r="E28" i="57"/>
  <c r="H32" i="61"/>
  <c r="J32" i="61"/>
  <c r="G37" i="66"/>
  <c r="I35" i="66" s="1"/>
  <c r="J9" i="66"/>
  <c r="H9" i="66"/>
  <c r="I36" i="41"/>
  <c r="J15" i="42"/>
  <c r="I15" i="42"/>
  <c r="J23" i="42"/>
  <c r="I23" i="42"/>
  <c r="J31" i="42"/>
  <c r="J10" i="47"/>
  <c r="J26" i="47"/>
  <c r="I26" i="47"/>
  <c r="J27" i="48"/>
  <c r="H27" i="48"/>
  <c r="J15" i="49"/>
  <c r="I15" i="49"/>
  <c r="H15" i="49"/>
  <c r="I32" i="49"/>
  <c r="I13" i="50"/>
  <c r="H13" i="50"/>
  <c r="J13" i="50"/>
  <c r="J27" i="50"/>
  <c r="I27" i="50"/>
  <c r="H27" i="50"/>
  <c r="C43" i="50"/>
  <c r="J22" i="52"/>
  <c r="I22" i="52"/>
  <c r="H26" i="53"/>
  <c r="E39" i="53"/>
  <c r="J26" i="58"/>
  <c r="H26" i="58"/>
  <c r="H35" i="58"/>
  <c r="J35" i="58"/>
  <c r="I19" i="60"/>
  <c r="H19" i="60"/>
  <c r="J19" i="60"/>
  <c r="I25" i="60"/>
  <c r="H25" i="60"/>
  <c r="H43" i="60" s="1"/>
  <c r="J25" i="60"/>
  <c r="I41" i="60"/>
  <c r="H41" i="60"/>
  <c r="J27" i="61"/>
  <c r="J37" i="62"/>
  <c r="I37" i="62"/>
  <c r="J21" i="63"/>
  <c r="I21" i="63"/>
  <c r="H21" i="63"/>
  <c r="H32" i="40"/>
  <c r="I13" i="41"/>
  <c r="H25" i="41"/>
  <c r="H36" i="41"/>
  <c r="H15" i="42"/>
  <c r="H23" i="42"/>
  <c r="H31" i="42"/>
  <c r="J40" i="42"/>
  <c r="H40" i="42"/>
  <c r="I13" i="43"/>
  <c r="H19" i="43"/>
  <c r="I22" i="43"/>
  <c r="I25" i="43"/>
  <c r="C38" i="43"/>
  <c r="J15" i="44"/>
  <c r="J23" i="44"/>
  <c r="I23" i="44"/>
  <c r="J31" i="44"/>
  <c r="I31" i="44"/>
  <c r="H13" i="45"/>
  <c r="H21" i="45"/>
  <c r="J37" i="45"/>
  <c r="J29" i="46"/>
  <c r="I29" i="46"/>
  <c r="I32" i="46"/>
  <c r="H10" i="47"/>
  <c r="H48" i="47" s="1"/>
  <c r="J20" i="47"/>
  <c r="I20" i="47"/>
  <c r="H26" i="47"/>
  <c r="J19" i="48"/>
  <c r="H19" i="48"/>
  <c r="I11" i="49"/>
  <c r="H11" i="49"/>
  <c r="H38" i="49" s="1"/>
  <c r="J11" i="49"/>
  <c r="I16" i="49"/>
  <c r="G42" i="50"/>
  <c r="I37" i="50" s="1"/>
  <c r="I14" i="50"/>
  <c r="J10" i="52"/>
  <c r="G39" i="52"/>
  <c r="H10" i="52"/>
  <c r="H22" i="52"/>
  <c r="H33" i="52"/>
  <c r="J26" i="53"/>
  <c r="I21" i="54"/>
  <c r="I26" i="54"/>
  <c r="J26" i="54"/>
  <c r="H26" i="54"/>
  <c r="J15" i="56"/>
  <c r="H15" i="56"/>
  <c r="J26" i="60"/>
  <c r="I26" i="60"/>
  <c r="H26" i="60"/>
  <c r="H27" i="61"/>
  <c r="I16" i="62"/>
  <c r="H16" i="62"/>
  <c r="J16" i="62"/>
  <c r="H37" i="62"/>
  <c r="J26" i="72"/>
  <c r="I26" i="72"/>
  <c r="H26" i="72"/>
  <c r="H9" i="41"/>
  <c r="G43" i="41"/>
  <c r="I10" i="41" s="1"/>
  <c r="I11" i="41"/>
  <c r="H23" i="41"/>
  <c r="I25" i="41"/>
  <c r="J13" i="42"/>
  <c r="I13" i="42"/>
  <c r="J21" i="42"/>
  <c r="J29" i="42"/>
  <c r="H13" i="43"/>
  <c r="H22" i="43"/>
  <c r="H15" i="44"/>
  <c r="H48" i="44" s="1"/>
  <c r="H23" i="44"/>
  <c r="H31" i="44"/>
  <c r="H40" i="44"/>
  <c r="I13" i="45"/>
  <c r="I21" i="45"/>
  <c r="H37" i="45"/>
  <c r="C42" i="45"/>
  <c r="J11" i="46"/>
  <c r="I11" i="46"/>
  <c r="H11" i="46"/>
  <c r="J15" i="46"/>
  <c r="I15" i="46"/>
  <c r="H15" i="46"/>
  <c r="J19" i="46"/>
  <c r="I19" i="46"/>
  <c r="H19" i="46"/>
  <c r="J23" i="46"/>
  <c r="I23" i="46"/>
  <c r="H29" i="46"/>
  <c r="I39" i="46"/>
  <c r="J14" i="47"/>
  <c r="H20" i="47"/>
  <c r="J11" i="48"/>
  <c r="I11" i="48"/>
  <c r="H11" i="48"/>
  <c r="J32" i="48"/>
  <c r="I32" i="48"/>
  <c r="H32" i="48"/>
  <c r="J12" i="49"/>
  <c r="I12" i="49"/>
  <c r="J17" i="49"/>
  <c r="H17" i="49"/>
  <c r="I21" i="49"/>
  <c r="H21" i="49"/>
  <c r="I37" i="49"/>
  <c r="H37" i="49"/>
  <c r="E43" i="50"/>
  <c r="J23" i="51"/>
  <c r="H23" i="51"/>
  <c r="H37" i="51" s="1"/>
  <c r="H16" i="53"/>
  <c r="H22" i="54"/>
  <c r="I22" i="54"/>
  <c r="J16" i="55"/>
  <c r="I16" i="55"/>
  <c r="H16" i="55"/>
  <c r="J18" i="48"/>
  <c r="I18" i="48"/>
  <c r="J26" i="48"/>
  <c r="I26" i="48"/>
  <c r="J34" i="48"/>
  <c r="I34" i="48"/>
  <c r="I20" i="49"/>
  <c r="H20" i="49"/>
  <c r="I15" i="50"/>
  <c r="H15" i="50"/>
  <c r="H23" i="50"/>
  <c r="I36" i="50"/>
  <c r="H36" i="50"/>
  <c r="I28" i="54"/>
  <c r="I31" i="54"/>
  <c r="H38" i="55"/>
  <c r="J38" i="55"/>
  <c r="D28" i="57"/>
  <c r="J30" i="60"/>
  <c r="I30" i="60"/>
  <c r="I16" i="48"/>
  <c r="H16" i="48"/>
  <c r="J10" i="50"/>
  <c r="E40" i="52"/>
  <c r="I30" i="53"/>
  <c r="H30" i="53"/>
  <c r="I12" i="54"/>
  <c r="H12" i="54"/>
  <c r="J12" i="56"/>
  <c r="I12" i="56"/>
  <c r="J16" i="56"/>
  <c r="H16" i="56"/>
  <c r="J23" i="56"/>
  <c r="H23" i="56"/>
  <c r="J11" i="57"/>
  <c r="I11" i="57"/>
  <c r="H11" i="57"/>
  <c r="H27" i="57" s="1"/>
  <c r="I19" i="57"/>
  <c r="J37" i="60"/>
  <c r="I37" i="60"/>
  <c r="H37" i="60"/>
  <c r="H28" i="61"/>
  <c r="J28" i="61"/>
  <c r="I12" i="62"/>
  <c r="H12" i="62"/>
  <c r="J12" i="62"/>
  <c r="J11" i="63"/>
  <c r="H11" i="63"/>
  <c r="F43" i="65"/>
  <c r="H36" i="46"/>
  <c r="H38" i="46"/>
  <c r="H9" i="48"/>
  <c r="J16" i="48"/>
  <c r="J22" i="48"/>
  <c r="I22" i="48"/>
  <c r="J30" i="48"/>
  <c r="I30" i="48"/>
  <c r="I41" i="48"/>
  <c r="H41" i="48"/>
  <c r="G46" i="48"/>
  <c r="I38" i="48" s="1"/>
  <c r="H10" i="49"/>
  <c r="H24" i="49"/>
  <c r="H32" i="49"/>
  <c r="I11" i="50"/>
  <c r="H11" i="50"/>
  <c r="H42" i="50" s="1"/>
  <c r="I19" i="50"/>
  <c r="H19" i="50"/>
  <c r="H30" i="51"/>
  <c r="H20" i="52"/>
  <c r="H28" i="52"/>
  <c r="J31" i="52"/>
  <c r="H31" i="52"/>
  <c r="H11" i="53"/>
  <c r="H38" i="53" s="1"/>
  <c r="J14" i="53"/>
  <c r="H14" i="53"/>
  <c r="I24" i="53"/>
  <c r="H24" i="53"/>
  <c r="H27" i="53"/>
  <c r="J30" i="53"/>
  <c r="H36" i="53"/>
  <c r="I9" i="54"/>
  <c r="J12" i="54"/>
  <c r="I24" i="54"/>
  <c r="I10" i="55"/>
  <c r="H10" i="55"/>
  <c r="H44" i="55" s="1"/>
  <c r="J17" i="55"/>
  <c r="I17" i="55"/>
  <c r="H17" i="55"/>
  <c r="H9" i="56"/>
  <c r="H12" i="56"/>
  <c r="J20" i="56"/>
  <c r="J24" i="56"/>
  <c r="I24" i="56"/>
  <c r="H24" i="56"/>
  <c r="J31" i="56"/>
  <c r="H31" i="56"/>
  <c r="H42" i="56"/>
  <c r="J12" i="57"/>
  <c r="I12" i="57"/>
  <c r="H12" i="57"/>
  <c r="H19" i="57"/>
  <c r="I22" i="57"/>
  <c r="H29" i="58"/>
  <c r="J29" i="58"/>
  <c r="H31" i="68"/>
  <c r="I20" i="69"/>
  <c r="J27" i="69"/>
  <c r="H27" i="69"/>
  <c r="H34" i="41"/>
  <c r="H38" i="42"/>
  <c r="H18" i="43"/>
  <c r="H25" i="43"/>
  <c r="H27" i="43"/>
  <c r="H29" i="43"/>
  <c r="H31" i="43"/>
  <c r="H26" i="45"/>
  <c r="H28" i="45"/>
  <c r="H30" i="45"/>
  <c r="H32" i="46"/>
  <c r="H34" i="46"/>
  <c r="I36" i="46"/>
  <c r="I38" i="46"/>
  <c r="H31" i="47"/>
  <c r="H33" i="47"/>
  <c r="H35" i="47"/>
  <c r="H37" i="47"/>
  <c r="H42" i="47"/>
  <c r="H44" i="47"/>
  <c r="H46" i="47"/>
  <c r="I9" i="48"/>
  <c r="H22" i="48"/>
  <c r="H25" i="48"/>
  <c r="H30" i="48"/>
  <c r="H33" i="48"/>
  <c r="I10" i="49"/>
  <c r="I13" i="49"/>
  <c r="H13" i="49"/>
  <c r="H16" i="49"/>
  <c r="I22" i="49"/>
  <c r="I24" i="49"/>
  <c r="H35" i="49"/>
  <c r="J11" i="50"/>
  <c r="H14" i="50"/>
  <c r="J19" i="50"/>
  <c r="H22" i="50"/>
  <c r="I38" i="50"/>
  <c r="H15" i="51"/>
  <c r="H21" i="51"/>
  <c r="J27" i="51"/>
  <c r="H27" i="51"/>
  <c r="I34" i="51"/>
  <c r="H39" i="52"/>
  <c r="H12" i="52"/>
  <c r="H37" i="52"/>
  <c r="I14" i="53"/>
  <c r="J21" i="53"/>
  <c r="H21" i="53"/>
  <c r="J24" i="53"/>
  <c r="I34" i="53"/>
  <c r="I37" i="53"/>
  <c r="H37" i="53"/>
  <c r="H9" i="54"/>
  <c r="H21" i="54"/>
  <c r="H24" i="54"/>
  <c r="I33" i="54"/>
  <c r="C41" i="54"/>
  <c r="J10" i="55"/>
  <c r="J21" i="55"/>
  <c r="I21" i="55"/>
  <c r="H21" i="55"/>
  <c r="I9" i="56"/>
  <c r="H17" i="56"/>
  <c r="H20" i="56"/>
  <c r="J28" i="56"/>
  <c r="H32" i="56"/>
  <c r="F46" i="56"/>
  <c r="I16" i="57"/>
  <c r="H10" i="58"/>
  <c r="H25" i="58"/>
  <c r="J18" i="60"/>
  <c r="I18" i="60"/>
  <c r="J35" i="61"/>
  <c r="I35" i="61"/>
  <c r="J24" i="62"/>
  <c r="I24" i="62"/>
  <c r="E49" i="62"/>
  <c r="J20" i="48"/>
  <c r="I20" i="48"/>
  <c r="J28" i="48"/>
  <c r="I28" i="48"/>
  <c r="I39" i="48"/>
  <c r="H39" i="48"/>
  <c r="H22" i="49"/>
  <c r="I17" i="50"/>
  <c r="H17" i="50"/>
  <c r="I25" i="50"/>
  <c r="H25" i="50"/>
  <c r="H38" i="50"/>
  <c r="I9" i="51"/>
  <c r="H34" i="51"/>
  <c r="J29" i="52"/>
  <c r="H29" i="52"/>
  <c r="G38" i="53"/>
  <c r="I21" i="53"/>
  <c r="I28" i="53"/>
  <c r="H28" i="53"/>
  <c r="H34" i="53"/>
  <c r="I10" i="54"/>
  <c r="H10" i="54"/>
  <c r="J24" i="54"/>
  <c r="H33" i="54"/>
  <c r="I11" i="55"/>
  <c r="J11" i="55"/>
  <c r="H18" i="55"/>
  <c r="I22" i="55"/>
  <c r="H22" i="55"/>
  <c r="I41" i="55"/>
  <c r="C45" i="55"/>
  <c r="I17" i="56"/>
  <c r="H25" i="56"/>
  <c r="H28" i="56"/>
  <c r="H38" i="56"/>
  <c r="J38" i="56"/>
  <c r="G45" i="56"/>
  <c r="I39" i="56" s="1"/>
  <c r="H13" i="57"/>
  <c r="H16" i="57"/>
  <c r="I10" i="58"/>
  <c r="J25" i="58"/>
  <c r="G37" i="58"/>
  <c r="I35" i="58" s="1"/>
  <c r="G37" i="59"/>
  <c r="I36" i="59" s="1"/>
  <c r="H31" i="59"/>
  <c r="H37" i="59" s="1"/>
  <c r="H18" i="60"/>
  <c r="I33" i="60"/>
  <c r="H33" i="60"/>
  <c r="J33" i="60"/>
  <c r="H35" i="61"/>
  <c r="J20" i="62"/>
  <c r="I20" i="62"/>
  <c r="H24" i="62"/>
  <c r="I44" i="62"/>
  <c r="H44" i="62"/>
  <c r="J33" i="64"/>
  <c r="I33" i="64"/>
  <c r="H33" i="64"/>
  <c r="J11" i="58"/>
  <c r="I11" i="58"/>
  <c r="I23" i="58"/>
  <c r="H23" i="58"/>
  <c r="C38" i="59"/>
  <c r="I12" i="60"/>
  <c r="I23" i="60"/>
  <c r="H23" i="60"/>
  <c r="I27" i="60"/>
  <c r="H27" i="60"/>
  <c r="J15" i="61"/>
  <c r="I15" i="61"/>
  <c r="I21" i="61"/>
  <c r="H21" i="61"/>
  <c r="J21" i="62"/>
  <c r="I21" i="62"/>
  <c r="J25" i="62"/>
  <c r="I25" i="62"/>
  <c r="J29" i="62"/>
  <c r="I29" i="62"/>
  <c r="H41" i="62"/>
  <c r="H48" i="62" s="1"/>
  <c r="J41" i="62"/>
  <c r="H44" i="63"/>
  <c r="J33" i="66"/>
  <c r="H33" i="66"/>
  <c r="E38" i="66"/>
  <c r="F45" i="55"/>
  <c r="G27" i="57"/>
  <c r="J9" i="57"/>
  <c r="I30" i="58"/>
  <c r="I31" i="60"/>
  <c r="H31" i="60"/>
  <c r="I35" i="60"/>
  <c r="H35" i="60"/>
  <c r="I13" i="62"/>
  <c r="H13" i="62"/>
  <c r="J13" i="62"/>
  <c r="I17" i="62"/>
  <c r="H17" i="62"/>
  <c r="J17" i="62"/>
  <c r="J13" i="63"/>
  <c r="H25" i="63"/>
  <c r="H32" i="63"/>
  <c r="J32" i="63"/>
  <c r="I37" i="63"/>
  <c r="F39" i="64"/>
  <c r="I10" i="76"/>
  <c r="I18" i="76"/>
  <c r="I22" i="76"/>
  <c r="I24" i="58"/>
  <c r="I27" i="58"/>
  <c r="H27" i="58"/>
  <c r="C44" i="60"/>
  <c r="J35" i="62"/>
  <c r="I35" i="62"/>
  <c r="H35" i="62"/>
  <c r="H13" i="63"/>
  <c r="J25" i="63"/>
  <c r="H37" i="63"/>
  <c r="J36" i="64"/>
  <c r="H36" i="64"/>
  <c r="I36" i="64"/>
  <c r="J16" i="70"/>
  <c r="H16" i="70"/>
  <c r="J14" i="72"/>
  <c r="I17" i="52"/>
  <c r="I19" i="52"/>
  <c r="I10" i="53"/>
  <c r="I12" i="53"/>
  <c r="I14" i="54"/>
  <c r="I16" i="54"/>
  <c r="I18" i="54"/>
  <c r="I20" i="54"/>
  <c r="I36" i="54"/>
  <c r="I12" i="55"/>
  <c r="I19" i="55"/>
  <c r="J39" i="55"/>
  <c r="I13" i="56"/>
  <c r="I21" i="56"/>
  <c r="I9" i="57"/>
  <c r="H18" i="58"/>
  <c r="H24" i="58"/>
  <c r="J27" i="58"/>
  <c r="I31" i="58"/>
  <c r="C38" i="58"/>
  <c r="F38" i="59"/>
  <c r="I13" i="60"/>
  <c r="J13" i="60"/>
  <c r="H13" i="60"/>
  <c r="J20" i="60"/>
  <c r="I28" i="60"/>
  <c r="C49" i="62"/>
  <c r="J19" i="63"/>
  <c r="H19" i="63"/>
  <c r="J34" i="63"/>
  <c r="H16" i="65"/>
  <c r="J16" i="65"/>
  <c r="I25" i="66"/>
  <c r="H25" i="66"/>
  <c r="H14" i="72"/>
  <c r="H15" i="55"/>
  <c r="I37" i="55"/>
  <c r="H11" i="56"/>
  <c r="H19" i="56"/>
  <c r="H27" i="56"/>
  <c r="H15" i="57"/>
  <c r="I9" i="58"/>
  <c r="H9" i="58"/>
  <c r="J24" i="58"/>
  <c r="H31" i="58"/>
  <c r="I10" i="60"/>
  <c r="I17" i="60"/>
  <c r="H17" i="60"/>
  <c r="J17" i="60"/>
  <c r="J28" i="60"/>
  <c r="I36" i="60"/>
  <c r="I40" i="60"/>
  <c r="H40" i="60"/>
  <c r="E44" i="60"/>
  <c r="J23" i="61"/>
  <c r="J27" i="62"/>
  <c r="I27" i="62"/>
  <c r="H27" i="62"/>
  <c r="H43" i="62"/>
  <c r="J43" i="62"/>
  <c r="I43" i="62"/>
  <c r="H34" i="63"/>
  <c r="H16" i="64"/>
  <c r="J16" i="64"/>
  <c r="I16" i="64"/>
  <c r="H32" i="64"/>
  <c r="I32" i="64"/>
  <c r="I24" i="65"/>
  <c r="H20" i="66"/>
  <c r="H35" i="66"/>
  <c r="I11" i="60"/>
  <c r="I21" i="60"/>
  <c r="H21" i="60"/>
  <c r="I29" i="60"/>
  <c r="H29" i="60"/>
  <c r="H26" i="61"/>
  <c r="H34" i="61"/>
  <c r="J19" i="62"/>
  <c r="I19" i="62"/>
  <c r="G38" i="64"/>
  <c r="C39" i="64" s="1"/>
  <c r="I9" i="64"/>
  <c r="J9" i="64"/>
  <c r="H9" i="64"/>
  <c r="H29" i="64"/>
  <c r="I29" i="64"/>
  <c r="I12" i="65"/>
  <c r="H12" i="65"/>
  <c r="H20" i="65"/>
  <c r="I42" i="72"/>
  <c r="I9" i="60"/>
  <c r="H11" i="60"/>
  <c r="J21" i="60"/>
  <c r="J29" i="60"/>
  <c r="J26" i="61"/>
  <c r="J34" i="61"/>
  <c r="H19" i="62"/>
  <c r="I42" i="62"/>
  <c r="H42" i="62"/>
  <c r="F49" i="62"/>
  <c r="H17" i="63"/>
  <c r="J12" i="65"/>
  <c r="I40" i="65"/>
  <c r="H40" i="65"/>
  <c r="H42" i="65" s="1"/>
  <c r="J36" i="67"/>
  <c r="H36" i="67"/>
  <c r="J15" i="68"/>
  <c r="G37" i="68"/>
  <c r="I12" i="69"/>
  <c r="H30" i="61"/>
  <c r="H38" i="61"/>
  <c r="J23" i="62"/>
  <c r="I23" i="62"/>
  <c r="G46" i="63"/>
  <c r="I11" i="63" s="1"/>
  <c r="J9" i="63"/>
  <c r="J26" i="63"/>
  <c r="H29" i="63"/>
  <c r="I11" i="64"/>
  <c r="J11" i="64"/>
  <c r="H14" i="64"/>
  <c r="J14" i="64"/>
  <c r="I14" i="64"/>
  <c r="H18" i="64"/>
  <c r="I18" i="64"/>
  <c r="C43" i="65"/>
  <c r="J21" i="67"/>
  <c r="I21" i="67"/>
  <c r="G37" i="70"/>
  <c r="I15" i="70" s="1"/>
  <c r="J10" i="72"/>
  <c r="G47" i="72"/>
  <c r="C48" i="72" s="1"/>
  <c r="H10" i="72"/>
  <c r="J30" i="72"/>
  <c r="I30" i="72"/>
  <c r="J39" i="60"/>
  <c r="I39" i="60"/>
  <c r="H13" i="61"/>
  <c r="J30" i="61"/>
  <c r="I15" i="62"/>
  <c r="H15" i="62"/>
  <c r="H23" i="62"/>
  <c r="H33" i="62"/>
  <c r="H9" i="63"/>
  <c r="H26" i="63"/>
  <c r="J33" i="63"/>
  <c r="H33" i="63"/>
  <c r="J40" i="63"/>
  <c r="H40" i="63"/>
  <c r="H11" i="64"/>
  <c r="J15" i="64"/>
  <c r="I15" i="64"/>
  <c r="I24" i="64"/>
  <c r="I27" i="64"/>
  <c r="I35" i="64"/>
  <c r="H14" i="65"/>
  <c r="J18" i="65"/>
  <c r="I18" i="65"/>
  <c r="H18" i="65"/>
  <c r="H21" i="67"/>
  <c r="E36" i="71"/>
  <c r="I24" i="71"/>
  <c r="D36" i="71"/>
  <c r="I30" i="71"/>
  <c r="C36" i="71"/>
  <c r="I26" i="71"/>
  <c r="I16" i="71"/>
  <c r="I32" i="71"/>
  <c r="I22" i="71"/>
  <c r="I28" i="71"/>
  <c r="H30" i="72"/>
  <c r="I26" i="64"/>
  <c r="I25" i="65"/>
  <c r="H25" i="65"/>
  <c r="H33" i="65"/>
  <c r="G45" i="67"/>
  <c r="I39" i="67" s="1"/>
  <c r="J9" i="67"/>
  <c r="I9" i="67"/>
  <c r="H9" i="67"/>
  <c r="I41" i="65"/>
  <c r="J11" i="66"/>
  <c r="H30" i="66"/>
  <c r="J15" i="67"/>
  <c r="F46" i="67"/>
  <c r="J20" i="68"/>
  <c r="H20" i="68"/>
  <c r="J34" i="72"/>
  <c r="I34" i="72"/>
  <c r="I22" i="64"/>
  <c r="G42" i="65"/>
  <c r="I16" i="65" s="1"/>
  <c r="H10" i="65"/>
  <c r="I31" i="65"/>
  <c r="D43" i="65"/>
  <c r="I13" i="66"/>
  <c r="H11" i="67"/>
  <c r="J17" i="67"/>
  <c r="I22" i="67"/>
  <c r="I9" i="68"/>
  <c r="I13" i="68"/>
  <c r="H13" i="68"/>
  <c r="H33" i="69"/>
  <c r="J10" i="70"/>
  <c r="I10" i="70"/>
  <c r="H10" i="70"/>
  <c r="J22" i="72"/>
  <c r="I22" i="72"/>
  <c r="I46" i="72"/>
  <c r="H24" i="63"/>
  <c r="H17" i="64"/>
  <c r="I20" i="64"/>
  <c r="H31" i="64"/>
  <c r="I34" i="64"/>
  <c r="J10" i="65"/>
  <c r="I21" i="65"/>
  <c r="H13" i="66"/>
  <c r="D38" i="66"/>
  <c r="H17" i="67"/>
  <c r="H22" i="68"/>
  <c r="J12" i="71"/>
  <c r="I12" i="71"/>
  <c r="I20" i="71"/>
  <c r="J18" i="72"/>
  <c r="I18" i="72"/>
  <c r="H22" i="72"/>
  <c r="H34" i="73"/>
  <c r="I34" i="73"/>
  <c r="C20" i="74"/>
  <c r="H38" i="69"/>
  <c r="J23" i="70"/>
  <c r="I19" i="71"/>
  <c r="I11" i="72"/>
  <c r="I15" i="72"/>
  <c r="I19" i="72"/>
  <c r="I23" i="72"/>
  <c r="I31" i="72"/>
  <c r="I35" i="72"/>
  <c r="J43" i="72"/>
  <c r="I43" i="72"/>
  <c r="H20" i="75"/>
  <c r="J20" i="75"/>
  <c r="I26" i="78"/>
  <c r="I19" i="78"/>
  <c r="E41" i="78"/>
  <c r="I37" i="78"/>
  <c r="I35" i="78"/>
  <c r="I33" i="78"/>
  <c r="I31" i="78"/>
  <c r="I29" i="78"/>
  <c r="I27" i="78"/>
  <c r="I20" i="78"/>
  <c r="I34" i="78"/>
  <c r="I36" i="78"/>
  <c r="I18" i="78"/>
  <c r="I9" i="78"/>
  <c r="F41" i="78"/>
  <c r="I28" i="78"/>
  <c r="H11" i="68"/>
  <c r="H37" i="68" s="1"/>
  <c r="H22" i="69"/>
  <c r="H45" i="69" s="1"/>
  <c r="J31" i="69"/>
  <c r="H31" i="69"/>
  <c r="H20" i="70"/>
  <c r="H23" i="70"/>
  <c r="H27" i="70"/>
  <c r="I13" i="71"/>
  <c r="H16" i="71"/>
  <c r="H39" i="72"/>
  <c r="H43" i="72"/>
  <c r="E48" i="72"/>
  <c r="H25" i="73"/>
  <c r="J25" i="73"/>
  <c r="H14" i="75"/>
  <c r="J14" i="75"/>
  <c r="J25" i="69"/>
  <c r="H25" i="69"/>
  <c r="F36" i="71"/>
  <c r="J12" i="72"/>
  <c r="I12" i="72"/>
  <c r="J16" i="72"/>
  <c r="J20" i="72"/>
  <c r="I20" i="72"/>
  <c r="J24" i="72"/>
  <c r="I24" i="72"/>
  <c r="J28" i="72"/>
  <c r="I28" i="72"/>
  <c r="J32" i="72"/>
  <c r="I36" i="72"/>
  <c r="I40" i="72"/>
  <c r="F48" i="72"/>
  <c r="J12" i="73"/>
  <c r="I12" i="73"/>
  <c r="H12" i="73"/>
  <c r="H41" i="73"/>
  <c r="H10" i="66"/>
  <c r="H12" i="66"/>
  <c r="H21" i="66"/>
  <c r="H36" i="66"/>
  <c r="H12" i="67"/>
  <c r="H14" i="67"/>
  <c r="H16" i="67"/>
  <c r="H18" i="67"/>
  <c r="H20" i="67"/>
  <c r="H22" i="67"/>
  <c r="H37" i="67"/>
  <c r="H14" i="68"/>
  <c r="H16" i="68"/>
  <c r="H32" i="68"/>
  <c r="H35" i="69"/>
  <c r="H34" i="70"/>
  <c r="I10" i="71"/>
  <c r="I17" i="71"/>
  <c r="H20" i="71"/>
  <c r="H12" i="72"/>
  <c r="H16" i="72"/>
  <c r="H20" i="72"/>
  <c r="H24" i="72"/>
  <c r="H28" i="72"/>
  <c r="H32" i="72"/>
  <c r="H36" i="72"/>
  <c r="I9" i="80"/>
  <c r="I20" i="67"/>
  <c r="I37" i="67"/>
  <c r="I14" i="68"/>
  <c r="J29" i="69"/>
  <c r="H29" i="69"/>
  <c r="J40" i="69"/>
  <c r="I40" i="69"/>
  <c r="I21" i="70"/>
  <c r="I11" i="71"/>
  <c r="I9" i="72"/>
  <c r="I13" i="72"/>
  <c r="I21" i="72"/>
  <c r="I25" i="72"/>
  <c r="I29" i="72"/>
  <c r="I33" i="72"/>
  <c r="J41" i="72"/>
  <c r="I41" i="72"/>
  <c r="J17" i="73"/>
  <c r="I17" i="73"/>
  <c r="H17" i="73"/>
  <c r="H22" i="73"/>
  <c r="J22" i="73"/>
  <c r="J9" i="74"/>
  <c r="G19" i="74"/>
  <c r="I14" i="74" s="1"/>
  <c r="H9" i="74"/>
  <c r="G45" i="69"/>
  <c r="I16" i="69" s="1"/>
  <c r="I21" i="69"/>
  <c r="H40" i="69"/>
  <c r="J32" i="70"/>
  <c r="I14" i="71"/>
  <c r="H41" i="72"/>
  <c r="J14" i="73"/>
  <c r="I14" i="73"/>
  <c r="I18" i="73"/>
  <c r="J17" i="75"/>
  <c r="H17" i="75"/>
  <c r="E38" i="77"/>
  <c r="I25" i="77"/>
  <c r="I23" i="77"/>
  <c r="I21" i="77"/>
  <c r="I19" i="77"/>
  <c r="I17" i="77"/>
  <c r="I15" i="77"/>
  <c r="I13" i="77"/>
  <c r="I28" i="77"/>
  <c r="D38" i="77"/>
  <c r="I34" i="77"/>
  <c r="I24" i="77"/>
  <c r="I20" i="77"/>
  <c r="I16" i="77"/>
  <c r="I27" i="77"/>
  <c r="I29" i="77"/>
  <c r="I22" i="77"/>
  <c r="H15" i="78"/>
  <c r="J15" i="78"/>
  <c r="I15" i="78"/>
  <c r="J31" i="73"/>
  <c r="H31" i="73"/>
  <c r="J38" i="73"/>
  <c r="H38" i="73"/>
  <c r="J13" i="74"/>
  <c r="H13" i="74"/>
  <c r="H11" i="77"/>
  <c r="J11" i="77"/>
  <c r="I11" i="77"/>
  <c r="I12" i="78"/>
  <c r="H12" i="78"/>
  <c r="I38" i="78"/>
  <c r="H38" i="78"/>
  <c r="I41" i="79"/>
  <c r="I36" i="79"/>
  <c r="I32" i="79"/>
  <c r="I30" i="79"/>
  <c r="I28" i="79"/>
  <c r="I26" i="79"/>
  <c r="I24" i="79"/>
  <c r="I22" i="79"/>
  <c r="I20" i="79"/>
  <c r="I18" i="79"/>
  <c r="I16" i="79"/>
  <c r="I14" i="79"/>
  <c r="I12" i="79"/>
  <c r="I10" i="79"/>
  <c r="I39" i="79"/>
  <c r="I13" i="79"/>
  <c r="I29" i="79"/>
  <c r="H46" i="72"/>
  <c r="H10" i="73"/>
  <c r="H45" i="73" s="1"/>
  <c r="I28" i="73"/>
  <c r="I31" i="73"/>
  <c r="I35" i="73"/>
  <c r="H10" i="74"/>
  <c r="I13" i="74"/>
  <c r="J21" i="75"/>
  <c r="H21" i="75"/>
  <c r="H11" i="76"/>
  <c r="J11" i="76"/>
  <c r="H15" i="76"/>
  <c r="J15" i="76"/>
  <c r="I15" i="76"/>
  <c r="H19" i="76"/>
  <c r="J19" i="76"/>
  <c r="I19" i="76"/>
  <c r="H39" i="76"/>
  <c r="I12" i="77"/>
  <c r="I30" i="77"/>
  <c r="F38" i="77"/>
  <c r="J12" i="78"/>
  <c r="I21" i="78"/>
  <c r="H21" i="78"/>
  <c r="J38" i="78"/>
  <c r="I11" i="79"/>
  <c r="I27" i="79"/>
  <c r="H27" i="80"/>
  <c r="H9" i="70"/>
  <c r="H37" i="70" s="1"/>
  <c r="H11" i="70"/>
  <c r="H13" i="70"/>
  <c r="H15" i="70"/>
  <c r="H17" i="70"/>
  <c r="H19" i="70"/>
  <c r="H21" i="70"/>
  <c r="H28" i="70"/>
  <c r="H30" i="70"/>
  <c r="H21" i="71"/>
  <c r="H23" i="71"/>
  <c r="H25" i="71"/>
  <c r="H27" i="71"/>
  <c r="H29" i="71"/>
  <c r="H31" i="71"/>
  <c r="H33" i="71"/>
  <c r="I10" i="73"/>
  <c r="J20" i="73"/>
  <c r="J28" i="73"/>
  <c r="I10" i="74"/>
  <c r="J15" i="75"/>
  <c r="H15" i="75"/>
  <c r="H37" i="75" s="1"/>
  <c r="I12" i="76"/>
  <c r="I16" i="76"/>
  <c r="I20" i="76"/>
  <c r="J39" i="76"/>
  <c r="I31" i="77"/>
  <c r="I13" i="78"/>
  <c r="H17" i="78"/>
  <c r="I17" i="78"/>
  <c r="J21" i="78"/>
  <c r="I39" i="78"/>
  <c r="I9" i="79"/>
  <c r="I25" i="79"/>
  <c r="I37" i="79"/>
  <c r="H36" i="80"/>
  <c r="H36" i="69"/>
  <c r="H26" i="70"/>
  <c r="I28" i="70"/>
  <c r="H35" i="70"/>
  <c r="H9" i="71"/>
  <c r="H11" i="71"/>
  <c r="H13" i="71"/>
  <c r="H15" i="71"/>
  <c r="H17" i="71"/>
  <c r="H19" i="71"/>
  <c r="I21" i="71"/>
  <c r="I23" i="71"/>
  <c r="I25" i="71"/>
  <c r="I27" i="71"/>
  <c r="I29" i="71"/>
  <c r="I31" i="71"/>
  <c r="I33" i="71"/>
  <c r="H9" i="72"/>
  <c r="H11" i="72"/>
  <c r="H13" i="72"/>
  <c r="H15" i="72"/>
  <c r="H17" i="72"/>
  <c r="H19" i="72"/>
  <c r="H21" i="72"/>
  <c r="H23" i="72"/>
  <c r="H25" i="72"/>
  <c r="H27" i="72"/>
  <c r="H29" i="72"/>
  <c r="H31" i="72"/>
  <c r="H33" i="72"/>
  <c r="H35" i="72"/>
  <c r="H40" i="72"/>
  <c r="H42" i="72"/>
  <c r="H44" i="72"/>
  <c r="I15" i="73"/>
  <c r="H18" i="73"/>
  <c r="J23" i="73"/>
  <c r="J29" i="73"/>
  <c r="H29" i="73"/>
  <c r="I32" i="73"/>
  <c r="I39" i="73"/>
  <c r="F46" i="73"/>
  <c r="J11" i="74"/>
  <c r="H11" i="74"/>
  <c r="H14" i="74"/>
  <c r="I17" i="74"/>
  <c r="J18" i="75"/>
  <c r="H32" i="75"/>
  <c r="H35" i="75"/>
  <c r="F45" i="76"/>
  <c r="I14" i="78"/>
  <c r="C41" i="78"/>
  <c r="I23" i="79"/>
  <c r="I33" i="79"/>
  <c r="H33" i="79"/>
  <c r="H42" i="79" s="1"/>
  <c r="H18" i="80"/>
  <c r="H23" i="80"/>
  <c r="J9" i="70"/>
  <c r="I9" i="71"/>
  <c r="J26" i="73"/>
  <c r="J32" i="73"/>
  <c r="J39" i="73"/>
  <c r="G45" i="73"/>
  <c r="I20" i="73" s="1"/>
  <c r="J19" i="75"/>
  <c r="H19" i="75"/>
  <c r="J9" i="76"/>
  <c r="G44" i="76"/>
  <c r="I14" i="76" s="1"/>
  <c r="I9" i="76"/>
  <c r="H41" i="76"/>
  <c r="H9" i="77"/>
  <c r="J9" i="77"/>
  <c r="I9" i="77"/>
  <c r="I36" i="77"/>
  <c r="H36" i="77"/>
  <c r="I23" i="78"/>
  <c r="H23" i="78"/>
  <c r="D41" i="78"/>
  <c r="I21" i="79"/>
  <c r="H34" i="79"/>
  <c r="I34" i="79"/>
  <c r="D43" i="79"/>
  <c r="H19" i="80"/>
  <c r="J23" i="80"/>
  <c r="H29" i="80"/>
  <c r="D38" i="80"/>
  <c r="J33" i="73"/>
  <c r="H33" i="73"/>
  <c r="J40" i="73"/>
  <c r="H40" i="73"/>
  <c r="H13" i="76"/>
  <c r="H44" i="76" s="1"/>
  <c r="J13" i="76"/>
  <c r="I13" i="76"/>
  <c r="H17" i="76"/>
  <c r="J17" i="76"/>
  <c r="I17" i="76"/>
  <c r="H21" i="76"/>
  <c r="J21" i="76"/>
  <c r="I21" i="76"/>
  <c r="H42" i="76"/>
  <c r="I42" i="76"/>
  <c r="I10" i="77"/>
  <c r="H32" i="77"/>
  <c r="I32" i="77"/>
  <c r="I19" i="79"/>
  <c r="I38" i="79"/>
  <c r="E43" i="79"/>
  <c r="E38" i="80"/>
  <c r="G37" i="75"/>
  <c r="I25" i="75" s="1"/>
  <c r="H38" i="76"/>
  <c r="H40" i="76"/>
  <c r="H30" i="77"/>
  <c r="H35" i="77"/>
  <c r="H11" i="78"/>
  <c r="H40" i="78" s="1"/>
  <c r="H13" i="78"/>
  <c r="H22" i="78"/>
  <c r="H24" i="78"/>
  <c r="H39" i="78"/>
  <c r="H17" i="80"/>
  <c r="H24" i="80"/>
  <c r="H26" i="80"/>
  <c r="H28" i="80"/>
  <c r="H30" i="80"/>
  <c r="I38" i="76"/>
  <c r="I40" i="76"/>
  <c r="I35" i="77"/>
  <c r="I11" i="78"/>
  <c r="I22" i="78"/>
  <c r="I26" i="80"/>
  <c r="I28" i="80"/>
  <c r="H24" i="76"/>
  <c r="H26" i="76"/>
  <c r="H28" i="76"/>
  <c r="H14" i="77"/>
  <c r="H16" i="77"/>
  <c r="H18" i="77"/>
  <c r="H20" i="77"/>
  <c r="H22" i="77"/>
  <c r="H24" i="77"/>
  <c r="H18" i="78"/>
  <c r="H35" i="79"/>
  <c r="H11" i="80"/>
  <c r="H20" i="80"/>
  <c r="G37" i="80"/>
  <c r="I23" i="80" s="1"/>
  <c r="F38" i="75" l="1"/>
  <c r="I24" i="75"/>
  <c r="I16" i="70"/>
  <c r="I31" i="36"/>
  <c r="F35" i="36"/>
  <c r="I33" i="36"/>
  <c r="I16" i="36"/>
  <c r="I10" i="36"/>
  <c r="I28" i="36"/>
  <c r="I14" i="36"/>
  <c r="I23" i="36"/>
  <c r="E35" i="36"/>
  <c r="D35" i="36"/>
  <c r="I29" i="14"/>
  <c r="I9" i="75"/>
  <c r="D38" i="68"/>
  <c r="I36" i="68"/>
  <c r="I11" i="68"/>
  <c r="C38" i="68"/>
  <c r="I28" i="68"/>
  <c r="I19" i="68"/>
  <c r="I24" i="68"/>
  <c r="I30" i="68"/>
  <c r="I33" i="68"/>
  <c r="I26" i="68"/>
  <c r="I10" i="68"/>
  <c r="I35" i="68"/>
  <c r="I17" i="68"/>
  <c r="I12" i="68"/>
  <c r="C40" i="52"/>
  <c r="I9" i="52"/>
  <c r="I34" i="52"/>
  <c r="I36" i="52"/>
  <c r="I32" i="52"/>
  <c r="I26" i="52"/>
  <c r="I18" i="52"/>
  <c r="I29" i="52"/>
  <c r="I24" i="52"/>
  <c r="F40" i="52"/>
  <c r="I30" i="52"/>
  <c r="H43" i="33"/>
  <c r="I35" i="29"/>
  <c r="I22" i="36"/>
  <c r="F44" i="29"/>
  <c r="I40" i="29"/>
  <c r="F49" i="47"/>
  <c r="I9" i="47"/>
  <c r="I36" i="47"/>
  <c r="I17" i="47"/>
  <c r="I23" i="47"/>
  <c r="E49" i="47"/>
  <c r="I47" i="47"/>
  <c r="I43" i="47"/>
  <c r="I40" i="47"/>
  <c r="I32" i="47"/>
  <c r="I29" i="47"/>
  <c r="I13" i="47"/>
  <c r="C49" i="47"/>
  <c r="I19" i="47"/>
  <c r="I21" i="47"/>
  <c r="I41" i="47"/>
  <c r="I25" i="47"/>
  <c r="I15" i="47"/>
  <c r="I11" i="47"/>
  <c r="I34" i="47"/>
  <c r="I27" i="47"/>
  <c r="I30" i="47"/>
  <c r="I38" i="47"/>
  <c r="I45" i="47"/>
  <c r="C45" i="17"/>
  <c r="I37" i="8"/>
  <c r="F42" i="8"/>
  <c r="I31" i="8"/>
  <c r="I40" i="8"/>
  <c r="I29" i="8"/>
  <c r="I23" i="8"/>
  <c r="I35" i="8"/>
  <c r="I25" i="8"/>
  <c r="E42" i="8"/>
  <c r="D42" i="8"/>
  <c r="I27" i="8"/>
  <c r="I33" i="8"/>
  <c r="I16" i="8"/>
  <c r="I17" i="14"/>
  <c r="I19" i="8"/>
  <c r="I28" i="5"/>
  <c r="I15" i="68"/>
  <c r="I28" i="67"/>
  <c r="I15" i="52"/>
  <c r="I33" i="66"/>
  <c r="I35" i="52"/>
  <c r="I28" i="35"/>
  <c r="I18" i="26"/>
  <c r="I27" i="14"/>
  <c r="I39" i="29"/>
  <c r="I40" i="27"/>
  <c r="I37" i="27"/>
  <c r="I29" i="27"/>
  <c r="I24" i="27"/>
  <c r="I22" i="27"/>
  <c r="I20" i="27"/>
  <c r="I18" i="27"/>
  <c r="I16" i="27"/>
  <c r="I14" i="27"/>
  <c r="I12" i="27"/>
  <c r="I10" i="27"/>
  <c r="D49" i="27"/>
  <c r="C49" i="27"/>
  <c r="I35" i="27"/>
  <c r="I46" i="27"/>
  <c r="I41" i="27"/>
  <c r="I27" i="27"/>
  <c r="I43" i="27"/>
  <c r="I24" i="36"/>
  <c r="I22" i="26"/>
  <c r="I25" i="37"/>
  <c r="I44" i="27"/>
  <c r="I11" i="27"/>
  <c r="I20" i="14"/>
  <c r="F50" i="13"/>
  <c r="I45" i="13"/>
  <c r="I34" i="13"/>
  <c r="I18" i="13"/>
  <c r="I41" i="13"/>
  <c r="I36" i="13"/>
  <c r="I20" i="13"/>
  <c r="C50" i="13"/>
  <c r="I28" i="13"/>
  <c r="I48" i="13"/>
  <c r="I22" i="13"/>
  <c r="E50" i="13"/>
  <c r="I38" i="13"/>
  <c r="I24" i="13"/>
  <c r="D50" i="13"/>
  <c r="I26" i="13"/>
  <c r="I43" i="13"/>
  <c r="I30" i="13"/>
  <c r="I32" i="13"/>
  <c r="I16" i="13"/>
  <c r="I31" i="30"/>
  <c r="I28" i="17"/>
  <c r="D48" i="10"/>
  <c r="I39" i="10"/>
  <c r="I36" i="10"/>
  <c r="I28" i="10"/>
  <c r="I20" i="10"/>
  <c r="I12" i="10"/>
  <c r="I41" i="10"/>
  <c r="C48" i="10"/>
  <c r="I43" i="10"/>
  <c r="I30" i="10"/>
  <c r="I22" i="10"/>
  <c r="I14" i="10"/>
  <c r="I31" i="10"/>
  <c r="I18" i="10"/>
  <c r="I15" i="10"/>
  <c r="I34" i="10"/>
  <c r="I26" i="10"/>
  <c r="I23" i="10"/>
  <c r="I10" i="10"/>
  <c r="H37" i="15"/>
  <c r="I25" i="10"/>
  <c r="I42" i="29"/>
  <c r="I27" i="30"/>
  <c r="I25" i="26"/>
  <c r="I26" i="17"/>
  <c r="H47" i="10"/>
  <c r="I13" i="14"/>
  <c r="I12" i="17"/>
  <c r="I9" i="29"/>
  <c r="I11" i="13"/>
  <c r="I33" i="29"/>
  <c r="I35" i="7"/>
  <c r="I33" i="7"/>
  <c r="I18" i="7"/>
  <c r="I16" i="7"/>
  <c r="I14" i="7"/>
  <c r="C41" i="7"/>
  <c r="I31" i="7"/>
  <c r="I25" i="7"/>
  <c r="I29" i="7"/>
  <c r="I12" i="7"/>
  <c r="I27" i="7"/>
  <c r="I10" i="7"/>
  <c r="I36" i="7"/>
  <c r="I19" i="7"/>
  <c r="I21" i="7"/>
  <c r="I38" i="7"/>
  <c r="I23" i="7"/>
  <c r="I25" i="2"/>
  <c r="I35" i="5"/>
  <c r="I9" i="8"/>
  <c r="I34" i="2"/>
  <c r="I34" i="12"/>
  <c r="I12" i="8"/>
  <c r="I10" i="13"/>
  <c r="I16" i="10"/>
  <c r="I11" i="8"/>
  <c r="I13" i="7"/>
  <c r="I37" i="16"/>
  <c r="I35" i="16"/>
  <c r="I14" i="16"/>
  <c r="I12" i="16"/>
  <c r="I10" i="16"/>
  <c r="D40" i="16"/>
  <c r="C40" i="16"/>
  <c r="I31" i="16"/>
  <c r="I27" i="16"/>
  <c r="I33" i="16"/>
  <c r="I29" i="16"/>
  <c r="I23" i="16"/>
  <c r="I15" i="16"/>
  <c r="I25" i="16"/>
  <c r="I19" i="16"/>
  <c r="I22" i="8"/>
  <c r="I18" i="5"/>
  <c r="I29" i="2"/>
  <c r="I17" i="80"/>
  <c r="I23" i="75"/>
  <c r="I41" i="76"/>
  <c r="I15" i="75"/>
  <c r="I17" i="70"/>
  <c r="I17" i="75"/>
  <c r="I17" i="72"/>
  <c r="I36" i="69"/>
  <c r="I18" i="67"/>
  <c r="I44" i="72"/>
  <c r="I34" i="70"/>
  <c r="I39" i="72"/>
  <c r="I31" i="69"/>
  <c r="I25" i="68"/>
  <c r="E43" i="65"/>
  <c r="I33" i="69"/>
  <c r="I17" i="67"/>
  <c r="I23" i="65"/>
  <c r="D46" i="69"/>
  <c r="I15" i="67"/>
  <c r="I32" i="68"/>
  <c r="I30" i="66"/>
  <c r="I14" i="65"/>
  <c r="I45" i="63"/>
  <c r="I36" i="66"/>
  <c r="H38" i="64"/>
  <c r="E38" i="68"/>
  <c r="I28" i="58"/>
  <c r="I13" i="52"/>
  <c r="I32" i="63"/>
  <c r="I32" i="59"/>
  <c r="I17" i="58"/>
  <c r="I17" i="53"/>
  <c r="I33" i="53"/>
  <c r="I25" i="53"/>
  <c r="I15" i="53"/>
  <c r="I9" i="53"/>
  <c r="I35" i="53"/>
  <c r="I31" i="53"/>
  <c r="I29" i="53"/>
  <c r="I22" i="53"/>
  <c r="I11" i="53"/>
  <c r="I28" i="61"/>
  <c r="I23" i="50"/>
  <c r="I14" i="47"/>
  <c r="I23" i="68"/>
  <c r="F39" i="53"/>
  <c r="D43" i="50"/>
  <c r="I19" i="48"/>
  <c r="I26" i="58"/>
  <c r="I10" i="47"/>
  <c r="I32" i="61"/>
  <c r="I37" i="52"/>
  <c r="I35" i="48"/>
  <c r="I26" i="45"/>
  <c r="I9" i="44"/>
  <c r="I9" i="42"/>
  <c r="I12" i="58"/>
  <c r="I12" i="52"/>
  <c r="I11" i="42"/>
  <c r="I35" i="41"/>
  <c r="I25" i="36"/>
  <c r="I11" i="52"/>
  <c r="I24" i="43"/>
  <c r="I38" i="41"/>
  <c r="I22" i="40"/>
  <c r="I13" i="35"/>
  <c r="I35" i="47"/>
  <c r="I29" i="41"/>
  <c r="I19" i="67"/>
  <c r="I39" i="47"/>
  <c r="I17" i="42"/>
  <c r="E44" i="46"/>
  <c r="D44" i="46"/>
  <c r="I20" i="46"/>
  <c r="I18" i="46"/>
  <c r="I16" i="46"/>
  <c r="I14" i="46"/>
  <c r="I12" i="46"/>
  <c r="I10" i="46"/>
  <c r="I26" i="46"/>
  <c r="I22" i="46"/>
  <c r="I31" i="46"/>
  <c r="I28" i="46"/>
  <c r="I30" i="46"/>
  <c r="I41" i="46"/>
  <c r="I35" i="46"/>
  <c r="I24" i="46"/>
  <c r="I33" i="46"/>
  <c r="C44" i="46"/>
  <c r="I11" i="43"/>
  <c r="I11" i="37"/>
  <c r="I20" i="41"/>
  <c r="I15" i="35"/>
  <c r="I42" i="32"/>
  <c r="I17" i="29"/>
  <c r="I26" i="43"/>
  <c r="I27" i="37"/>
  <c r="I27" i="35"/>
  <c r="I41" i="32"/>
  <c r="I24" i="32"/>
  <c r="I13" i="29"/>
  <c r="I47" i="27"/>
  <c r="I14" i="18"/>
  <c r="I17" i="35"/>
  <c r="I9" i="26"/>
  <c r="I18" i="16"/>
  <c r="I11" i="14"/>
  <c r="I20" i="36"/>
  <c r="I42" i="27"/>
  <c r="I11" i="26"/>
  <c r="I29" i="18"/>
  <c r="D39" i="30"/>
  <c r="I13" i="26"/>
  <c r="I22" i="47"/>
  <c r="I19" i="36"/>
  <c r="I21" i="27"/>
  <c r="I40" i="13"/>
  <c r="I13" i="16"/>
  <c r="I34" i="33"/>
  <c r="C37" i="26"/>
  <c r="F22" i="19"/>
  <c r="I34" i="15"/>
  <c r="I21" i="15"/>
  <c r="I12" i="15"/>
  <c r="I10" i="15"/>
  <c r="F38" i="15"/>
  <c r="I19" i="15"/>
  <c r="I32" i="15"/>
  <c r="I28" i="15"/>
  <c r="I24" i="15"/>
  <c r="I17" i="15"/>
  <c r="I17" i="10"/>
  <c r="I18" i="15"/>
  <c r="I26" i="15"/>
  <c r="I36" i="12"/>
  <c r="I46" i="10"/>
  <c r="I24" i="16"/>
  <c r="I42" i="13"/>
  <c r="I35" i="10"/>
  <c r="I11" i="15"/>
  <c r="I17" i="26"/>
  <c r="H37" i="18"/>
  <c r="I10" i="17"/>
  <c r="D36" i="14"/>
  <c r="I25" i="80"/>
  <c r="I32" i="23"/>
  <c r="I23" i="23"/>
  <c r="I21" i="23"/>
  <c r="I19" i="23"/>
  <c r="I17" i="23"/>
  <c r="I15" i="23"/>
  <c r="I13" i="23"/>
  <c r="I34" i="23"/>
  <c r="I36" i="23"/>
  <c r="I29" i="23"/>
  <c r="I27" i="23"/>
  <c r="I25" i="23"/>
  <c r="I24" i="23"/>
  <c r="I11" i="23"/>
  <c r="I26" i="23"/>
  <c r="I28" i="23"/>
  <c r="I9" i="23"/>
  <c r="I30" i="23"/>
  <c r="I37" i="23"/>
  <c r="I33" i="23"/>
  <c r="H38" i="12"/>
  <c r="I32" i="16"/>
  <c r="I21" i="16"/>
  <c r="C42" i="8"/>
  <c r="I36" i="11"/>
  <c r="I33" i="11"/>
  <c r="I26" i="11"/>
  <c r="I20" i="11"/>
  <c r="I12" i="11"/>
  <c r="I9" i="11"/>
  <c r="I35" i="11"/>
  <c r="I22" i="11"/>
  <c r="I19" i="11"/>
  <c r="E42" i="11"/>
  <c r="F42" i="11"/>
  <c r="I40" i="11"/>
  <c r="I27" i="11"/>
  <c r="D42" i="11"/>
  <c r="I39" i="11"/>
  <c r="I31" i="11"/>
  <c r="I13" i="11"/>
  <c r="I23" i="11"/>
  <c r="I18" i="11"/>
  <c r="I29" i="11"/>
  <c r="I32" i="9"/>
  <c r="I21" i="9"/>
  <c r="I18" i="9"/>
  <c r="I13" i="9"/>
  <c r="I10" i="9"/>
  <c r="I26" i="9"/>
  <c r="I11" i="9"/>
  <c r="I19" i="9"/>
  <c r="I24" i="9"/>
  <c r="I16" i="9"/>
  <c r="F41" i="7"/>
  <c r="I20" i="5"/>
  <c r="E41" i="7"/>
  <c r="I39" i="5"/>
  <c r="I24" i="10"/>
  <c r="I30" i="33"/>
  <c r="E37" i="26"/>
  <c r="D41" i="7"/>
  <c r="I22" i="7"/>
  <c r="I35" i="13"/>
  <c r="I9" i="16"/>
  <c r="I18" i="8"/>
  <c r="I38" i="4"/>
  <c r="I23" i="4"/>
  <c r="F43" i="4"/>
  <c r="E43" i="4"/>
  <c r="I36" i="4"/>
  <c r="I19" i="4"/>
  <c r="I9" i="4"/>
  <c r="I41" i="4"/>
  <c r="I32" i="4"/>
  <c r="I15" i="4"/>
  <c r="I21" i="4"/>
  <c r="D43" i="4"/>
  <c r="I34" i="4"/>
  <c r="I17" i="4"/>
  <c r="I11" i="4"/>
  <c r="C43" i="4"/>
  <c r="I30" i="4"/>
  <c r="I13" i="4"/>
  <c r="I14" i="17"/>
  <c r="I32" i="10"/>
  <c r="I19" i="6"/>
  <c r="I45" i="5"/>
  <c r="F39" i="30"/>
  <c r="I37" i="30"/>
  <c r="I13" i="30"/>
  <c r="E39" i="30"/>
  <c r="I33" i="30"/>
  <c r="I19" i="30"/>
  <c r="I25" i="30"/>
  <c r="I9" i="30"/>
  <c r="I15" i="30"/>
  <c r="I32" i="30"/>
  <c r="I21" i="30"/>
  <c r="I30" i="30"/>
  <c r="I17" i="30"/>
  <c r="I35" i="30"/>
  <c r="I23" i="30"/>
  <c r="I11" i="30"/>
  <c r="I20" i="30"/>
  <c r="E36" i="14"/>
  <c r="I32" i="5"/>
  <c r="I30" i="2"/>
  <c r="I28" i="2"/>
  <c r="I26" i="2"/>
  <c r="I24" i="2"/>
  <c r="I17" i="2"/>
  <c r="I19" i="2"/>
  <c r="I32" i="2"/>
  <c r="I21" i="2"/>
  <c r="I12" i="2"/>
  <c r="I10" i="2"/>
  <c r="C38" i="2"/>
  <c r="I11" i="2"/>
  <c r="I20" i="2"/>
  <c r="I33" i="2"/>
  <c r="I13" i="2"/>
  <c r="I35" i="2"/>
  <c r="I22" i="2"/>
  <c r="I15" i="2"/>
  <c r="I31" i="75"/>
  <c r="I14" i="75"/>
  <c r="H46" i="63"/>
  <c r="I21" i="68"/>
  <c r="I43" i="63"/>
  <c r="D47" i="63"/>
  <c r="I36" i="63"/>
  <c r="I18" i="63"/>
  <c r="I20" i="63"/>
  <c r="I24" i="63"/>
  <c r="I10" i="63"/>
  <c r="F47" i="63"/>
  <c r="I41" i="63"/>
  <c r="I12" i="63"/>
  <c r="I16" i="63"/>
  <c r="I22" i="63"/>
  <c r="I28" i="63"/>
  <c r="I15" i="63"/>
  <c r="I9" i="63"/>
  <c r="I27" i="63"/>
  <c r="I35" i="63"/>
  <c r="I30" i="63"/>
  <c r="E47" i="63"/>
  <c r="I17" i="63"/>
  <c r="I14" i="63"/>
  <c r="I23" i="63"/>
  <c r="I22" i="30"/>
  <c r="C37" i="35"/>
  <c r="H43" i="29"/>
  <c r="I22" i="17"/>
  <c r="I29" i="80"/>
  <c r="I36" i="80"/>
  <c r="I35" i="75"/>
  <c r="I38" i="63"/>
  <c r="I24" i="67"/>
  <c r="I19" i="80"/>
  <c r="I35" i="69"/>
  <c r="I10" i="69"/>
  <c r="I16" i="68"/>
  <c r="I29" i="63"/>
  <c r="I26" i="61"/>
  <c r="D41" i="61"/>
  <c r="I25" i="63"/>
  <c r="I23" i="66"/>
  <c r="I16" i="47"/>
  <c r="H43" i="46"/>
  <c r="I27" i="36"/>
  <c r="I34" i="30"/>
  <c r="I31" i="27"/>
  <c r="I42" i="17"/>
  <c r="I23" i="13"/>
  <c r="I12" i="36"/>
  <c r="I38" i="10"/>
  <c r="I21" i="12"/>
  <c r="F39" i="12"/>
  <c r="E39" i="12"/>
  <c r="I19" i="12"/>
  <c r="D39" i="12"/>
  <c r="I32" i="12"/>
  <c r="I10" i="12"/>
  <c r="I12" i="12"/>
  <c r="I26" i="12"/>
  <c r="I24" i="12"/>
  <c r="I37" i="12"/>
  <c r="I17" i="12"/>
  <c r="I28" i="12"/>
  <c r="I30" i="12"/>
  <c r="I21" i="8"/>
  <c r="I14" i="8"/>
  <c r="I29" i="75"/>
  <c r="F38" i="70"/>
  <c r="I31" i="70"/>
  <c r="I24" i="70"/>
  <c r="I27" i="70"/>
  <c r="I20" i="70"/>
  <c r="I33" i="70"/>
  <c r="I29" i="70"/>
  <c r="I36" i="70"/>
  <c r="I22" i="70"/>
  <c r="E38" i="70"/>
  <c r="D38" i="70"/>
  <c r="I12" i="70"/>
  <c r="F37" i="35"/>
  <c r="I35" i="35"/>
  <c r="I12" i="35"/>
  <c r="E37" i="35"/>
  <c r="I31" i="35"/>
  <c r="D37" i="35"/>
  <c r="I14" i="35"/>
  <c r="I33" i="35"/>
  <c r="I16" i="35"/>
  <c r="I10" i="35"/>
  <c r="I34" i="14"/>
  <c r="I32" i="14"/>
  <c r="I25" i="14"/>
  <c r="F36" i="14"/>
  <c r="I14" i="14"/>
  <c r="I10" i="14"/>
  <c r="I21" i="14"/>
  <c r="I16" i="14"/>
  <c r="I18" i="14"/>
  <c r="I23" i="14"/>
  <c r="I30" i="14"/>
  <c r="E44" i="29"/>
  <c r="I41" i="29"/>
  <c r="I32" i="29"/>
  <c r="I14" i="29"/>
  <c r="I37" i="29"/>
  <c r="I20" i="29"/>
  <c r="I34" i="29"/>
  <c r="I26" i="29"/>
  <c r="I28" i="29"/>
  <c r="I38" i="29"/>
  <c r="D44" i="29"/>
  <c r="I30" i="29"/>
  <c r="I24" i="29"/>
  <c r="I18" i="29"/>
  <c r="I36" i="29"/>
  <c r="C44" i="29"/>
  <c r="H37" i="77"/>
  <c r="I16" i="66"/>
  <c r="C38" i="70"/>
  <c r="I30" i="35"/>
  <c r="I20" i="61"/>
  <c r="I22" i="61"/>
  <c r="E41" i="61"/>
  <c r="I14" i="61"/>
  <c r="I19" i="61"/>
  <c r="I25" i="61"/>
  <c r="I16" i="61"/>
  <c r="I10" i="61"/>
  <c r="I37" i="61"/>
  <c r="I33" i="61"/>
  <c r="I29" i="61"/>
  <c r="I12" i="61"/>
  <c r="I18" i="61"/>
  <c r="I17" i="61"/>
  <c r="F41" i="61"/>
  <c r="I39" i="61"/>
  <c r="I13" i="61"/>
  <c r="C41" i="61"/>
  <c r="I24" i="61"/>
  <c r="I11" i="61"/>
  <c r="I31" i="29"/>
  <c r="I22" i="29"/>
  <c r="C36" i="14"/>
  <c r="F38" i="2"/>
  <c r="I16" i="5"/>
  <c r="F38" i="80"/>
  <c r="I32" i="80"/>
  <c r="I21" i="80"/>
  <c r="I12" i="80"/>
  <c r="I10" i="80"/>
  <c r="I34" i="80"/>
  <c r="I35" i="80"/>
  <c r="I33" i="80"/>
  <c r="I22" i="80"/>
  <c r="I15" i="80"/>
  <c r="I11" i="80"/>
  <c r="I14" i="80"/>
  <c r="I16" i="80"/>
  <c r="I13" i="80"/>
  <c r="I20" i="80"/>
  <c r="I24" i="80"/>
  <c r="I19" i="70"/>
  <c r="I18" i="70"/>
  <c r="I18" i="69"/>
  <c r="I40" i="63"/>
  <c r="I14" i="69"/>
  <c r="H40" i="54"/>
  <c r="I31" i="68"/>
  <c r="I39" i="63"/>
  <c r="I41" i="37"/>
  <c r="I39" i="37"/>
  <c r="I32" i="37"/>
  <c r="I30" i="37"/>
  <c r="I28" i="37"/>
  <c r="I26" i="37"/>
  <c r="I37" i="37"/>
  <c r="F45" i="37"/>
  <c r="I38" i="37"/>
  <c r="I24" i="37"/>
  <c r="I10" i="37"/>
  <c r="I35" i="37"/>
  <c r="I43" i="37"/>
  <c r="H41" i="31"/>
  <c r="I18" i="36"/>
  <c r="I33" i="37"/>
  <c r="I36" i="30"/>
  <c r="I31" i="26"/>
  <c r="I23" i="26"/>
  <c r="I16" i="26"/>
  <c r="I35" i="26"/>
  <c r="I33" i="26"/>
  <c r="I28" i="26"/>
  <c r="I14" i="26"/>
  <c r="I26" i="26"/>
  <c r="F37" i="26"/>
  <c r="I19" i="26"/>
  <c r="I29" i="26"/>
  <c r="I21" i="26"/>
  <c r="I10" i="26"/>
  <c r="I24" i="26"/>
  <c r="I12" i="26"/>
  <c r="I32" i="26"/>
  <c r="I31" i="63"/>
  <c r="I31" i="66"/>
  <c r="I34" i="63"/>
  <c r="I27" i="52"/>
  <c r="I36" i="56"/>
  <c r="I34" i="56"/>
  <c r="E46" i="56"/>
  <c r="I44" i="56"/>
  <c r="I41" i="56"/>
  <c r="D46" i="56"/>
  <c r="I37" i="56"/>
  <c r="I27" i="56"/>
  <c r="I30" i="56"/>
  <c r="I19" i="56"/>
  <c r="I33" i="56"/>
  <c r="I10" i="56"/>
  <c r="I11" i="56"/>
  <c r="I25" i="56"/>
  <c r="I14" i="56"/>
  <c r="I43" i="56"/>
  <c r="I26" i="56"/>
  <c r="I22" i="56"/>
  <c r="I40" i="56"/>
  <c r="I35" i="56"/>
  <c r="I18" i="56"/>
  <c r="C46" i="56"/>
  <c r="I23" i="56"/>
  <c r="I14" i="52"/>
  <c r="I34" i="44"/>
  <c r="I45" i="44"/>
  <c r="I39" i="44"/>
  <c r="I28" i="44"/>
  <c r="I20" i="44"/>
  <c r="I12" i="44"/>
  <c r="I36" i="44"/>
  <c r="I30" i="44"/>
  <c r="I22" i="44"/>
  <c r="I14" i="44"/>
  <c r="I46" i="44"/>
  <c r="I37" i="44"/>
  <c r="D49" i="44"/>
  <c r="I35" i="44"/>
  <c r="I18" i="44"/>
  <c r="I38" i="44"/>
  <c r="I24" i="44"/>
  <c r="I41" i="44"/>
  <c r="I26" i="44"/>
  <c r="I10" i="44"/>
  <c r="I47" i="44"/>
  <c r="I43" i="44"/>
  <c r="I16" i="44"/>
  <c r="F49" i="44"/>
  <c r="I32" i="44"/>
  <c r="I11" i="51"/>
  <c r="I34" i="37"/>
  <c r="I23" i="35"/>
  <c r="I33" i="42"/>
  <c r="I19" i="29"/>
  <c r="I9" i="14"/>
  <c r="I25" i="27"/>
  <c r="D40" i="52"/>
  <c r="I25" i="29"/>
  <c r="I13" i="37"/>
  <c r="I9" i="10"/>
  <c r="I14" i="30"/>
  <c r="I10" i="29"/>
  <c r="I27" i="10"/>
  <c r="I33" i="27"/>
  <c r="I28" i="7"/>
  <c r="I22" i="5"/>
  <c r="I29" i="10"/>
  <c r="I34" i="7"/>
  <c r="I26" i="5"/>
  <c r="I24" i="7"/>
  <c r="I32" i="36"/>
  <c r="I18" i="68"/>
  <c r="I27" i="68"/>
  <c r="I39" i="65"/>
  <c r="I29" i="65"/>
  <c r="I17" i="65"/>
  <c r="I15" i="65"/>
  <c r="I13" i="65"/>
  <c r="I11" i="65"/>
  <c r="I9" i="65"/>
  <c r="I38" i="65"/>
  <c r="I36" i="65"/>
  <c r="I28" i="65"/>
  <c r="I35" i="65"/>
  <c r="I27" i="65"/>
  <c r="I34" i="65"/>
  <c r="I37" i="65"/>
  <c r="I32" i="65"/>
  <c r="I22" i="65"/>
  <c r="I26" i="65"/>
  <c r="I33" i="65"/>
  <c r="I14" i="66"/>
  <c r="I33" i="63"/>
  <c r="I37" i="72"/>
  <c r="D48" i="72"/>
  <c r="I45" i="72"/>
  <c r="I38" i="72"/>
  <c r="I38" i="61"/>
  <c r="I15" i="58"/>
  <c r="I18" i="58"/>
  <c r="I25" i="52"/>
  <c r="I14" i="72"/>
  <c r="C47" i="63"/>
  <c r="I26" i="70"/>
  <c r="I29" i="59"/>
  <c r="I27" i="59"/>
  <c r="I25" i="59"/>
  <c r="I23" i="59"/>
  <c r="I21" i="59"/>
  <c r="I19" i="59"/>
  <c r="I17" i="59"/>
  <c r="I15" i="59"/>
  <c r="I13" i="59"/>
  <c r="I11" i="59"/>
  <c r="I9" i="59"/>
  <c r="I34" i="59"/>
  <c r="I28" i="59"/>
  <c r="I26" i="59"/>
  <c r="I24" i="59"/>
  <c r="I22" i="59"/>
  <c r="I20" i="59"/>
  <c r="I18" i="59"/>
  <c r="I16" i="59"/>
  <c r="I14" i="59"/>
  <c r="I12" i="59"/>
  <c r="I10" i="59"/>
  <c r="I30" i="59"/>
  <c r="E38" i="59"/>
  <c r="I33" i="59"/>
  <c r="I35" i="59"/>
  <c r="D38" i="59"/>
  <c r="I38" i="56"/>
  <c r="F38" i="58"/>
  <c r="I28" i="56"/>
  <c r="I31" i="52"/>
  <c r="I21" i="51"/>
  <c r="I42" i="56"/>
  <c r="I14" i="48"/>
  <c r="I44" i="48"/>
  <c r="E47" i="48"/>
  <c r="I31" i="48"/>
  <c r="I23" i="48"/>
  <c r="I10" i="48"/>
  <c r="I45" i="48"/>
  <c r="I40" i="48"/>
  <c r="I36" i="48"/>
  <c r="F47" i="48"/>
  <c r="I43" i="48"/>
  <c r="I42" i="48"/>
  <c r="I12" i="48"/>
  <c r="I37" i="48"/>
  <c r="I21" i="48"/>
  <c r="I17" i="48"/>
  <c r="I29" i="48"/>
  <c r="H46" i="48"/>
  <c r="I31" i="80"/>
  <c r="I16" i="53"/>
  <c r="I15" i="56"/>
  <c r="I33" i="52"/>
  <c r="F43" i="50"/>
  <c r="I41" i="50"/>
  <c r="I30" i="50"/>
  <c r="I32" i="50"/>
  <c r="I40" i="50"/>
  <c r="I34" i="50"/>
  <c r="I33" i="50"/>
  <c r="I20" i="50"/>
  <c r="I12" i="50"/>
  <c r="I18" i="50"/>
  <c r="I9" i="50"/>
  <c r="I39" i="50"/>
  <c r="I31" i="50"/>
  <c r="I35" i="50"/>
  <c r="I28" i="50"/>
  <c r="I10" i="50"/>
  <c r="I44" i="47"/>
  <c r="H37" i="66"/>
  <c r="D45" i="55"/>
  <c r="I34" i="55"/>
  <c r="I32" i="55"/>
  <c r="I30" i="55"/>
  <c r="I28" i="55"/>
  <c r="I26" i="55"/>
  <c r="I24" i="55"/>
  <c r="I36" i="55"/>
  <c r="I9" i="55"/>
  <c r="I29" i="55"/>
  <c r="I43" i="55"/>
  <c r="I40" i="55"/>
  <c r="I31" i="55"/>
  <c r="I33" i="55"/>
  <c r="I20" i="55"/>
  <c r="E45" i="55"/>
  <c r="I39" i="55"/>
  <c r="I35" i="55"/>
  <c r="I25" i="55"/>
  <c r="I38" i="55"/>
  <c r="I15" i="55"/>
  <c r="I42" i="55"/>
  <c r="I14" i="55"/>
  <c r="I23" i="55"/>
  <c r="I18" i="55"/>
  <c r="I27" i="55"/>
  <c r="I42" i="44"/>
  <c r="I30" i="80"/>
  <c r="I24" i="50"/>
  <c r="I25" i="48"/>
  <c r="I34" i="41"/>
  <c r="I38" i="45"/>
  <c r="I36" i="45"/>
  <c r="I24" i="45"/>
  <c r="I16" i="45"/>
  <c r="I40" i="45"/>
  <c r="I33" i="45"/>
  <c r="I29" i="45"/>
  <c r="I10" i="45"/>
  <c r="I18" i="45"/>
  <c r="F42" i="45"/>
  <c r="I34" i="45"/>
  <c r="I22" i="45"/>
  <c r="I19" i="45"/>
  <c r="I14" i="45"/>
  <c r="I25" i="45"/>
  <c r="I31" i="45"/>
  <c r="I20" i="45"/>
  <c r="I12" i="45"/>
  <c r="I27" i="45"/>
  <c r="I17" i="45"/>
  <c r="D42" i="45"/>
  <c r="I27" i="41"/>
  <c r="I12" i="47"/>
  <c r="I29" i="30"/>
  <c r="I13" i="48"/>
  <c r="H37" i="43"/>
  <c r="I23" i="37"/>
  <c r="I9" i="35"/>
  <c r="I31" i="61"/>
  <c r="H44" i="37"/>
  <c r="I39" i="45"/>
  <c r="I31" i="37"/>
  <c r="I11" i="29"/>
  <c r="I26" i="30"/>
  <c r="I32" i="60"/>
  <c r="I24" i="60"/>
  <c r="I20" i="60"/>
  <c r="I16" i="60"/>
  <c r="I42" i="60"/>
  <c r="I38" i="60"/>
  <c r="D44" i="60"/>
  <c r="I14" i="60"/>
  <c r="I15" i="37"/>
  <c r="E46" i="32"/>
  <c r="I37" i="47"/>
  <c r="I12" i="30"/>
  <c r="I20" i="28"/>
  <c r="I13" i="28"/>
  <c r="C38" i="28"/>
  <c r="I29" i="28"/>
  <c r="I31" i="28"/>
  <c r="I24" i="28"/>
  <c r="I18" i="28"/>
  <c r="I9" i="28"/>
  <c r="I11" i="28"/>
  <c r="D38" i="28"/>
  <c r="I27" i="28"/>
  <c r="I16" i="28"/>
  <c r="I19" i="28"/>
  <c r="I23" i="28"/>
  <c r="I10" i="28"/>
  <c r="I36" i="28"/>
  <c r="I32" i="28"/>
  <c r="I25" i="28"/>
  <c r="F38" i="28"/>
  <c r="E38" i="28"/>
  <c r="I12" i="28"/>
  <c r="I26" i="35"/>
  <c r="I22" i="37"/>
  <c r="I39" i="27"/>
  <c r="I24" i="48"/>
  <c r="I42" i="37"/>
  <c r="I38" i="27"/>
  <c r="I15" i="36"/>
  <c r="I29" i="43"/>
  <c r="F46" i="32"/>
  <c r="I28" i="30"/>
  <c r="I15" i="27"/>
  <c r="I27" i="25"/>
  <c r="I37" i="25"/>
  <c r="I34" i="25"/>
  <c r="I28" i="16"/>
  <c r="I13" i="12"/>
  <c r="I23" i="33"/>
  <c r="I33" i="14"/>
  <c r="I24" i="14"/>
  <c r="I16" i="17"/>
  <c r="I16" i="15"/>
  <c r="I15" i="12"/>
  <c r="I17" i="27"/>
  <c r="F38" i="18"/>
  <c r="D38" i="15"/>
  <c r="I35" i="12"/>
  <c r="I19" i="10"/>
  <c r="I32" i="8"/>
  <c r="I23" i="27"/>
  <c r="I14" i="28"/>
  <c r="I12" i="14"/>
  <c r="I29" i="12"/>
  <c r="I15" i="14"/>
  <c r="I30" i="5"/>
  <c r="I42" i="21"/>
  <c r="I40" i="21"/>
  <c r="I35" i="21"/>
  <c r="I33" i="21"/>
  <c r="I31" i="21"/>
  <c r="I29" i="21"/>
  <c r="I27" i="21"/>
  <c r="I25" i="21"/>
  <c r="I23" i="21"/>
  <c r="I18" i="21"/>
  <c r="I15" i="21"/>
  <c r="I14" i="21"/>
  <c r="I11" i="21"/>
  <c r="I19" i="21"/>
  <c r="I43" i="21"/>
  <c r="I36" i="21"/>
  <c r="I22" i="21"/>
  <c r="E46" i="21"/>
  <c r="I40" i="10"/>
  <c r="I36" i="8"/>
  <c r="H46" i="5"/>
  <c r="I18" i="2"/>
  <c r="H29" i="22"/>
  <c r="I15" i="8"/>
  <c r="I23" i="12"/>
  <c r="I31" i="24"/>
  <c r="I20" i="24"/>
  <c r="I13" i="24"/>
  <c r="I36" i="24"/>
  <c r="I22" i="24"/>
  <c r="I15" i="24"/>
  <c r="C42" i="24"/>
  <c r="I37" i="24"/>
  <c r="I29" i="24"/>
  <c r="I11" i="24"/>
  <c r="I39" i="24"/>
  <c r="I9" i="24"/>
  <c r="I23" i="24"/>
  <c r="I16" i="24"/>
  <c r="I25" i="24"/>
  <c r="I27" i="24"/>
  <c r="I18" i="24"/>
  <c r="I34" i="24"/>
  <c r="H40" i="7"/>
  <c r="I30" i="15"/>
  <c r="I39" i="7"/>
  <c r="I37" i="13"/>
  <c r="F36" i="9"/>
  <c r="I40" i="6"/>
  <c r="I11" i="6"/>
  <c r="I9" i="6"/>
  <c r="E42" i="6"/>
  <c r="I32" i="6"/>
  <c r="I16" i="6"/>
  <c r="I36" i="6"/>
  <c r="F42" i="6"/>
  <c r="I26" i="6"/>
  <c r="I38" i="6"/>
  <c r="I22" i="6"/>
  <c r="I28" i="6"/>
  <c r="I12" i="6"/>
  <c r="I16" i="2"/>
  <c r="I28" i="75"/>
  <c r="I20" i="75"/>
  <c r="I34" i="66"/>
  <c r="I29" i="66"/>
  <c r="I26" i="66"/>
  <c r="I12" i="66"/>
  <c r="I10" i="66"/>
  <c r="I28" i="66"/>
  <c r="I18" i="66"/>
  <c r="I32" i="66"/>
  <c r="F38" i="66"/>
  <c r="I24" i="66"/>
  <c r="I19" i="66"/>
  <c r="I17" i="66"/>
  <c r="I15" i="66"/>
  <c r="I27" i="66"/>
  <c r="I44" i="5"/>
  <c r="I31" i="5"/>
  <c r="I29" i="5"/>
  <c r="I27" i="5"/>
  <c r="I25" i="5"/>
  <c r="I23" i="5"/>
  <c r="I21" i="5"/>
  <c r="I19" i="5"/>
  <c r="I17" i="5"/>
  <c r="I15" i="5"/>
  <c r="I13" i="5"/>
  <c r="I11" i="5"/>
  <c r="I9" i="5"/>
  <c r="F47" i="5"/>
  <c r="E47" i="5"/>
  <c r="D47" i="5"/>
  <c r="I38" i="5"/>
  <c r="C47" i="5"/>
  <c r="I40" i="5"/>
  <c r="I42" i="5"/>
  <c r="I34" i="5"/>
  <c r="H47" i="72"/>
  <c r="E38" i="51"/>
  <c r="I12" i="51"/>
  <c r="F38" i="51"/>
  <c r="I24" i="51"/>
  <c r="D38" i="51"/>
  <c r="I17" i="51"/>
  <c r="C38" i="51"/>
  <c r="I33" i="51"/>
  <c r="I26" i="51"/>
  <c r="I22" i="51"/>
  <c r="I10" i="51"/>
  <c r="I35" i="51"/>
  <c r="I31" i="51"/>
  <c r="I13" i="51"/>
  <c r="I32" i="51"/>
  <c r="I28" i="51"/>
  <c r="I19" i="51"/>
  <c r="I23" i="51"/>
  <c r="I18" i="51"/>
  <c r="I21" i="35"/>
  <c r="H35" i="14"/>
  <c r="I27" i="17"/>
  <c r="I25" i="17"/>
  <c r="I23" i="17"/>
  <c r="I35" i="17"/>
  <c r="I33" i="17"/>
  <c r="I31" i="17"/>
  <c r="I29" i="17"/>
  <c r="I40" i="17"/>
  <c r="I39" i="17"/>
  <c r="I32" i="17"/>
  <c r="I41" i="17"/>
  <c r="I13" i="17"/>
  <c r="F45" i="17"/>
  <c r="I19" i="17"/>
  <c r="I36" i="17"/>
  <c r="I21" i="17"/>
  <c r="I15" i="17"/>
  <c r="I30" i="17"/>
  <c r="I9" i="17"/>
  <c r="I17" i="17"/>
  <c r="I11" i="17"/>
  <c r="I34" i="17"/>
  <c r="I33" i="5"/>
  <c r="H39" i="16"/>
  <c r="I38" i="8"/>
  <c r="I31" i="2"/>
  <c r="C38" i="80"/>
  <c r="I27" i="80"/>
  <c r="I26" i="69"/>
  <c r="C46" i="69"/>
  <c r="I32" i="69"/>
  <c r="I42" i="69"/>
  <c r="I39" i="69"/>
  <c r="I28" i="69"/>
  <c r="I22" i="69"/>
  <c r="I34" i="69"/>
  <c r="I24" i="69"/>
  <c r="F46" i="69"/>
  <c r="I19" i="69"/>
  <c r="E46" i="69"/>
  <c r="I41" i="69"/>
  <c r="I11" i="69"/>
  <c r="I13" i="69"/>
  <c r="I15" i="69"/>
  <c r="I9" i="69"/>
  <c r="I37" i="69"/>
  <c r="I17" i="69"/>
  <c r="I30" i="69"/>
  <c r="I44" i="69"/>
  <c r="I34" i="68"/>
  <c r="I35" i="67"/>
  <c r="I10" i="67"/>
  <c r="I43" i="67"/>
  <c r="I41" i="67"/>
  <c r="I34" i="67"/>
  <c r="I32" i="67"/>
  <c r="I30" i="67"/>
  <c r="I44" i="67"/>
  <c r="I33" i="67"/>
  <c r="I27" i="67"/>
  <c r="I29" i="67"/>
  <c r="I42" i="67"/>
  <c r="I31" i="67"/>
  <c r="D46" i="67"/>
  <c r="I23" i="67"/>
  <c r="I40" i="67"/>
  <c r="I25" i="67"/>
  <c r="E46" i="67"/>
  <c r="I34" i="61"/>
  <c r="H46" i="42"/>
  <c r="I24" i="47"/>
  <c r="I30" i="36"/>
  <c r="I17" i="36"/>
  <c r="I20" i="26"/>
  <c r="H37" i="80"/>
  <c r="I24" i="73"/>
  <c r="I13" i="73"/>
  <c r="I43" i="73"/>
  <c r="I36" i="73"/>
  <c r="I29" i="73"/>
  <c r="I21" i="73"/>
  <c r="I23" i="73"/>
  <c r="D46" i="73"/>
  <c r="I37" i="73"/>
  <c r="I9" i="73"/>
  <c r="I27" i="73"/>
  <c r="I16" i="73"/>
  <c r="I40" i="73"/>
  <c r="I30" i="73"/>
  <c r="I11" i="73"/>
  <c r="I44" i="73"/>
  <c r="I19" i="73"/>
  <c r="I33" i="73"/>
  <c r="E46" i="73"/>
  <c r="H19" i="74"/>
  <c r="I16" i="67"/>
  <c r="C46" i="73"/>
  <c r="I23" i="70"/>
  <c r="C46" i="67"/>
  <c r="I14" i="51"/>
  <c r="I32" i="56"/>
  <c r="I20" i="56"/>
  <c r="I26" i="42"/>
  <c r="I18" i="42"/>
  <c r="I10" i="42"/>
  <c r="I43" i="42"/>
  <c r="I34" i="42"/>
  <c r="I28" i="42"/>
  <c r="I20" i="42"/>
  <c r="I12" i="42"/>
  <c r="F47" i="42"/>
  <c r="I36" i="42"/>
  <c r="I41" i="42"/>
  <c r="I32" i="42"/>
  <c r="I24" i="42"/>
  <c r="I16" i="42"/>
  <c r="I45" i="42"/>
  <c r="E47" i="42"/>
  <c r="D47" i="42"/>
  <c r="I14" i="42"/>
  <c r="I30" i="42"/>
  <c r="I22" i="42"/>
  <c r="I37" i="42"/>
  <c r="I13" i="36"/>
  <c r="I32" i="27"/>
  <c r="I29" i="29"/>
  <c r="I46" i="47"/>
  <c r="I18" i="37"/>
  <c r="I29" i="36"/>
  <c r="I21" i="29"/>
  <c r="I29" i="13"/>
  <c r="I34" i="8"/>
  <c r="I30" i="18"/>
  <c r="I33" i="18"/>
  <c r="I36" i="18"/>
  <c r="I23" i="18"/>
  <c r="I20" i="18"/>
  <c r="I32" i="18"/>
  <c r="I19" i="18"/>
  <c r="I16" i="18"/>
  <c r="I34" i="18"/>
  <c r="I15" i="18"/>
  <c r="I24" i="18"/>
  <c r="I9" i="18"/>
  <c r="I27" i="18"/>
  <c r="I12" i="18"/>
  <c r="I21" i="18"/>
  <c r="I28" i="14"/>
  <c r="I36" i="5"/>
  <c r="I37" i="7"/>
  <c r="E48" i="10"/>
  <c r="I29" i="76"/>
  <c r="I27" i="76"/>
  <c r="I25" i="76"/>
  <c r="I23" i="76"/>
  <c r="I36" i="76"/>
  <c r="I34" i="76"/>
  <c r="I32" i="76"/>
  <c r="D45" i="76"/>
  <c r="I28" i="76"/>
  <c r="I24" i="76"/>
  <c r="I31" i="76"/>
  <c r="I33" i="76"/>
  <c r="I35" i="76"/>
  <c r="I30" i="76"/>
  <c r="I37" i="76"/>
  <c r="I43" i="76"/>
  <c r="I26" i="76"/>
  <c r="I26" i="73"/>
  <c r="I13" i="70"/>
  <c r="E45" i="76"/>
  <c r="I11" i="76"/>
  <c r="I32" i="70"/>
  <c r="E20" i="74"/>
  <c r="I11" i="74"/>
  <c r="I16" i="74"/>
  <c r="I18" i="74"/>
  <c r="F20" i="74"/>
  <c r="I12" i="74"/>
  <c r="I15" i="74"/>
  <c r="I29" i="69"/>
  <c r="I14" i="67"/>
  <c r="I43" i="69"/>
  <c r="I41" i="73"/>
  <c r="I25" i="73"/>
  <c r="I18" i="80"/>
  <c r="H35" i="71"/>
  <c r="I11" i="70"/>
  <c r="I39" i="76"/>
  <c r="I42" i="73"/>
  <c r="C45" i="76"/>
  <c r="I9" i="74"/>
  <c r="I12" i="67"/>
  <c r="I32" i="72"/>
  <c r="I16" i="72"/>
  <c r="I25" i="69"/>
  <c r="I30" i="70"/>
  <c r="I27" i="72"/>
  <c r="I22" i="68"/>
  <c r="I11" i="67"/>
  <c r="I10" i="65"/>
  <c r="I22" i="66"/>
  <c r="I26" i="67"/>
  <c r="I30" i="65"/>
  <c r="I10" i="72"/>
  <c r="I26" i="63"/>
  <c r="I36" i="67"/>
  <c r="I20" i="65"/>
  <c r="I10" i="64"/>
  <c r="I31" i="64"/>
  <c r="I21" i="64"/>
  <c r="E39" i="64"/>
  <c r="I25" i="64"/>
  <c r="I12" i="64"/>
  <c r="D39" i="64"/>
  <c r="I30" i="64"/>
  <c r="I19" i="64"/>
  <c r="I13" i="64"/>
  <c r="I37" i="64"/>
  <c r="I28" i="64"/>
  <c r="I17" i="64"/>
  <c r="I23" i="64"/>
  <c r="H37" i="58"/>
  <c r="I23" i="52"/>
  <c r="I29" i="68"/>
  <c r="I13" i="63"/>
  <c r="F28" i="57"/>
  <c r="I26" i="57"/>
  <c r="I17" i="57"/>
  <c r="I15" i="57"/>
  <c r="C28" i="57"/>
  <c r="I18" i="57"/>
  <c r="I21" i="57"/>
  <c r="I13" i="57"/>
  <c r="I25" i="57"/>
  <c r="I14" i="57"/>
  <c r="I10" i="57"/>
  <c r="I20" i="57"/>
  <c r="I44" i="63"/>
  <c r="I23" i="57"/>
  <c r="I31" i="59"/>
  <c r="C39" i="53"/>
  <c r="I27" i="53"/>
  <c r="I20" i="52"/>
  <c r="I27" i="69"/>
  <c r="I29" i="58"/>
  <c r="D49" i="47"/>
  <c r="I36" i="53"/>
  <c r="D20" i="74"/>
  <c r="I32" i="53"/>
  <c r="I14" i="70"/>
  <c r="I15" i="48"/>
  <c r="I30" i="41"/>
  <c r="I39" i="41"/>
  <c r="I18" i="41"/>
  <c r="F44" i="41"/>
  <c r="I42" i="41"/>
  <c r="I32" i="41"/>
  <c r="I40" i="41"/>
  <c r="I21" i="41"/>
  <c r="I14" i="41"/>
  <c r="I33" i="41"/>
  <c r="I17" i="41"/>
  <c r="I37" i="41"/>
  <c r="I24" i="41"/>
  <c r="D44" i="41"/>
  <c r="I12" i="41"/>
  <c r="C44" i="41"/>
  <c r="I16" i="41"/>
  <c r="I28" i="41"/>
  <c r="I23" i="41"/>
  <c r="I9" i="41"/>
  <c r="I31" i="41"/>
  <c r="I33" i="47"/>
  <c r="I37" i="45"/>
  <c r="I15" i="44"/>
  <c r="I40" i="42"/>
  <c r="I26" i="53"/>
  <c r="I22" i="50"/>
  <c r="I31" i="42"/>
  <c r="I9" i="66"/>
  <c r="F38" i="68"/>
  <c r="I42" i="47"/>
  <c r="I38" i="42"/>
  <c r="I36" i="40"/>
  <c r="I34" i="40"/>
  <c r="I29" i="40"/>
  <c r="E40" i="40"/>
  <c r="I37" i="40"/>
  <c r="I30" i="40"/>
  <c r="I13" i="40"/>
  <c r="I19" i="40"/>
  <c r="I28" i="40"/>
  <c r="I25" i="40"/>
  <c r="I9" i="40"/>
  <c r="I15" i="40"/>
  <c r="I21" i="40"/>
  <c r="C40" i="40"/>
  <c r="I27" i="40"/>
  <c r="I23" i="40"/>
  <c r="I17" i="40"/>
  <c r="I11" i="40"/>
  <c r="I33" i="40"/>
  <c r="E49" i="44"/>
  <c r="I16" i="43"/>
  <c r="I30" i="43"/>
  <c r="I10" i="43"/>
  <c r="I36" i="43"/>
  <c r="I21" i="43"/>
  <c r="I12" i="43"/>
  <c r="I23" i="43"/>
  <c r="I14" i="43"/>
  <c r="D38" i="43"/>
  <c r="I28" i="43"/>
  <c r="I34" i="43"/>
  <c r="E38" i="43"/>
  <c r="I32" i="43"/>
  <c r="I22" i="41"/>
  <c r="I21" i="37"/>
  <c r="H34" i="36"/>
  <c r="E38" i="34"/>
  <c r="I15" i="34"/>
  <c r="D38" i="34"/>
  <c r="I34" i="34"/>
  <c r="I11" i="34"/>
  <c r="I17" i="34"/>
  <c r="F38" i="34"/>
  <c r="I24" i="34"/>
  <c r="I28" i="34"/>
  <c r="I32" i="34"/>
  <c r="I13" i="34"/>
  <c r="I36" i="34"/>
  <c r="I9" i="34"/>
  <c r="I12" i="34"/>
  <c r="I18" i="32"/>
  <c r="I13" i="67"/>
  <c r="I11" i="45"/>
  <c r="H36" i="35"/>
  <c r="I19" i="53"/>
  <c r="I44" i="44"/>
  <c r="I9" i="37"/>
  <c r="I17" i="46"/>
  <c r="I41" i="41"/>
  <c r="I24" i="35"/>
  <c r="I31" i="40"/>
  <c r="C35" i="36"/>
  <c r="I19" i="35"/>
  <c r="I45" i="27"/>
  <c r="I21" i="36"/>
  <c r="I22" i="35"/>
  <c r="I18" i="30"/>
  <c r="I29" i="35"/>
  <c r="H21" i="19"/>
  <c r="I36" i="51"/>
  <c r="I12" i="37"/>
  <c r="I19" i="27"/>
  <c r="I22" i="25"/>
  <c r="I18" i="53"/>
  <c r="C47" i="42"/>
  <c r="E44" i="33"/>
  <c r="D44" i="33"/>
  <c r="C44" i="33"/>
  <c r="I41" i="33"/>
  <c r="I37" i="33"/>
  <c r="I24" i="40"/>
  <c r="I14" i="19"/>
  <c r="I12" i="19"/>
  <c r="I10" i="19"/>
  <c r="I17" i="19"/>
  <c r="D22" i="19"/>
  <c r="I18" i="19"/>
  <c r="I13" i="13"/>
  <c r="I42" i="10"/>
  <c r="I35" i="20"/>
  <c r="I19" i="20"/>
  <c r="I39" i="20"/>
  <c r="I37" i="20"/>
  <c r="I29" i="20"/>
  <c r="I27" i="20"/>
  <c r="I25" i="20"/>
  <c r="I14" i="20"/>
  <c r="I12" i="20"/>
  <c r="I10" i="20"/>
  <c r="I28" i="20"/>
  <c r="I11" i="20"/>
  <c r="I16" i="20"/>
  <c r="I13" i="20"/>
  <c r="I30" i="20"/>
  <c r="I33" i="20"/>
  <c r="I26" i="20"/>
  <c r="I38" i="20"/>
  <c r="I21" i="20"/>
  <c r="I9" i="20"/>
  <c r="I17" i="20"/>
  <c r="I36" i="20"/>
  <c r="I32" i="20"/>
  <c r="I47" i="13"/>
  <c r="I35" i="43"/>
  <c r="D38" i="18"/>
  <c r="I31" i="12"/>
  <c r="E22" i="19"/>
  <c r="I19" i="14"/>
  <c r="I38" i="17"/>
  <c r="I22" i="15"/>
  <c r="I27" i="12"/>
  <c r="I11" i="10"/>
  <c r="I30" i="8"/>
  <c r="I31" i="14"/>
  <c r="E45" i="17"/>
  <c r="I44" i="13"/>
  <c r="I18" i="12"/>
  <c r="I38" i="67"/>
  <c r="I22" i="18"/>
  <c r="I17" i="8"/>
  <c r="I13" i="10"/>
  <c r="H37" i="2"/>
  <c r="D38" i="2"/>
  <c r="I28" i="9"/>
  <c r="I22" i="22"/>
  <c r="I20" i="22"/>
  <c r="I18" i="22"/>
  <c r="I24" i="22"/>
  <c r="I11" i="22"/>
  <c r="I25" i="22"/>
  <c r="I14" i="22"/>
  <c r="I10" i="22"/>
  <c r="C30" i="22"/>
  <c r="I16" i="22"/>
  <c r="I27" i="22"/>
  <c r="I12" i="22"/>
  <c r="I15" i="22"/>
  <c r="I23" i="22"/>
  <c r="I36" i="2"/>
  <c r="I34" i="11"/>
  <c r="I17" i="7"/>
  <c r="I10" i="5"/>
  <c r="I10" i="11"/>
  <c r="I14" i="9"/>
  <c r="I30" i="7"/>
  <c r="I9" i="7"/>
  <c r="I19" i="19"/>
  <c r="I14" i="13"/>
  <c r="I43" i="5"/>
  <c r="I19" i="13"/>
  <c r="I24" i="8"/>
  <c r="I24" i="5"/>
  <c r="I12" i="5"/>
  <c r="I45" i="10"/>
  <c r="I34" i="75"/>
  <c r="I13" i="75"/>
  <c r="I11" i="75"/>
  <c r="I36" i="75"/>
  <c r="I19" i="75"/>
  <c r="I16" i="75"/>
  <c r="I22" i="75"/>
  <c r="I10" i="75"/>
  <c r="D38" i="75"/>
  <c r="I12" i="75"/>
  <c r="I21" i="75"/>
  <c r="I18" i="75"/>
  <c r="I27" i="75"/>
  <c r="I30" i="75"/>
  <c r="I26" i="75"/>
  <c r="I33" i="75"/>
  <c r="I32" i="75"/>
  <c r="I9" i="70"/>
  <c r="I38" i="73"/>
  <c r="E38" i="75"/>
  <c r="I22" i="73"/>
  <c r="I25" i="70"/>
  <c r="I35" i="70"/>
  <c r="I23" i="69"/>
  <c r="I21" i="66"/>
  <c r="C38" i="75"/>
  <c r="I38" i="69"/>
  <c r="C38" i="66"/>
  <c r="I20" i="68"/>
  <c r="I11" i="66"/>
  <c r="H45" i="67"/>
  <c r="I30" i="61"/>
  <c r="I20" i="66"/>
  <c r="I42" i="63"/>
  <c r="I23" i="61"/>
  <c r="I19" i="63"/>
  <c r="I29" i="56"/>
  <c r="I21" i="52"/>
  <c r="I34" i="58"/>
  <c r="I36" i="58"/>
  <c r="E38" i="58"/>
  <c r="I33" i="58"/>
  <c r="I20" i="58"/>
  <c r="I14" i="58"/>
  <c r="D38" i="58"/>
  <c r="I13" i="58"/>
  <c r="I21" i="58"/>
  <c r="I16" i="58"/>
  <c r="I19" i="58"/>
  <c r="I32" i="58"/>
  <c r="I22" i="58"/>
  <c r="I27" i="51"/>
  <c r="I25" i="58"/>
  <c r="I31" i="56"/>
  <c r="H45" i="56"/>
  <c r="I16" i="56"/>
  <c r="I16" i="51"/>
  <c r="I10" i="52"/>
  <c r="I40" i="44"/>
  <c r="I21" i="42"/>
  <c r="H43" i="41"/>
  <c r="I38" i="52"/>
  <c r="I27" i="48"/>
  <c r="I29" i="51"/>
  <c r="I25" i="44"/>
  <c r="I23" i="53"/>
  <c r="I31" i="47"/>
  <c r="I27" i="42"/>
  <c r="I17" i="37"/>
  <c r="I20" i="51"/>
  <c r="I19" i="37"/>
  <c r="I11" i="36"/>
  <c r="I16" i="52"/>
  <c r="I28" i="47"/>
  <c r="I27" i="44"/>
  <c r="I16" i="37"/>
  <c r="I34" i="35"/>
  <c r="H40" i="61"/>
  <c r="I28" i="52"/>
  <c r="I35" i="45"/>
  <c r="I35" i="39"/>
  <c r="I33" i="39"/>
  <c r="I14" i="39"/>
  <c r="I12" i="39"/>
  <c r="F43" i="39"/>
  <c r="I38" i="39"/>
  <c r="I36" i="39"/>
  <c r="I27" i="39"/>
  <c r="I25" i="39"/>
  <c r="I23" i="39"/>
  <c r="I21" i="39"/>
  <c r="I19" i="39"/>
  <c r="I17" i="39"/>
  <c r="I41" i="39"/>
  <c r="D43" i="39"/>
  <c r="I9" i="39"/>
  <c r="C43" i="39"/>
  <c r="I40" i="39"/>
  <c r="I39" i="39"/>
  <c r="I26" i="39"/>
  <c r="I11" i="39"/>
  <c r="I29" i="39"/>
  <c r="I20" i="39"/>
  <c r="C46" i="32"/>
  <c r="I38" i="32"/>
  <c r="I21" i="32"/>
  <c r="I29" i="32"/>
  <c r="I25" i="32"/>
  <c r="I11" i="32"/>
  <c r="I17" i="32"/>
  <c r="I36" i="32"/>
  <c r="I40" i="32"/>
  <c r="I13" i="32"/>
  <c r="I19" i="32"/>
  <c r="I23" i="32"/>
  <c r="I15" i="32"/>
  <c r="I27" i="32"/>
  <c r="I31" i="32"/>
  <c r="I9" i="32"/>
  <c r="I20" i="37"/>
  <c r="I20" i="35"/>
  <c r="I10" i="30"/>
  <c r="I14" i="40"/>
  <c r="I16" i="30"/>
  <c r="I26" i="36"/>
  <c r="I23" i="29"/>
  <c r="I33" i="44"/>
  <c r="I18" i="35"/>
  <c r="I36" i="27"/>
  <c r="I12" i="29"/>
  <c r="I13" i="27"/>
  <c r="C38" i="18"/>
  <c r="I26" i="50"/>
  <c r="I24" i="39"/>
  <c r="I25" i="35"/>
  <c r="I24" i="30"/>
  <c r="I33" i="25"/>
  <c r="I30" i="25"/>
  <c r="I23" i="25"/>
  <c r="I28" i="25"/>
  <c r="I11" i="25"/>
  <c r="I38" i="25"/>
  <c r="I13" i="25"/>
  <c r="F40" i="25"/>
  <c r="I31" i="25"/>
  <c r="I21" i="25"/>
  <c r="I17" i="25"/>
  <c r="E40" i="25"/>
  <c r="I24" i="25"/>
  <c r="I36" i="25"/>
  <c r="I9" i="25"/>
  <c r="I15" i="25"/>
  <c r="I19" i="25"/>
  <c r="I26" i="25"/>
  <c r="I33" i="48"/>
  <c r="I16" i="29"/>
  <c r="I9" i="27"/>
  <c r="I22" i="32"/>
  <c r="I15" i="29"/>
  <c r="I35" i="32"/>
  <c r="I33" i="28"/>
  <c r="I20" i="25"/>
  <c r="I20" i="17"/>
  <c r="I33" i="13"/>
  <c r="I18" i="33"/>
  <c r="I26" i="14"/>
  <c r="I18" i="18"/>
  <c r="I28" i="28"/>
  <c r="I10" i="18"/>
  <c r="I22" i="16"/>
  <c r="I39" i="13"/>
  <c r="D40" i="25"/>
  <c r="F40" i="16"/>
  <c r="I15" i="15"/>
  <c r="I28" i="8"/>
  <c r="I16" i="19"/>
  <c r="C38" i="15"/>
  <c r="I31" i="13"/>
  <c r="I9" i="12"/>
  <c r="I26" i="16"/>
  <c r="I22" i="23"/>
  <c r="I11" i="7"/>
  <c r="I14" i="5"/>
  <c r="I9" i="22"/>
  <c r="E42" i="31"/>
  <c r="D42" i="31"/>
  <c r="C42" i="31"/>
  <c r="I39" i="31"/>
  <c r="I22" i="31"/>
  <c r="I26" i="31"/>
  <c r="I12" i="31"/>
  <c r="I18" i="31"/>
  <c r="I37" i="31"/>
  <c r="I14" i="31"/>
  <c r="I10" i="31"/>
  <c r="I35" i="31"/>
  <c r="I20" i="31"/>
  <c r="I24" i="31"/>
  <c r="I16" i="31"/>
  <c r="I24" i="17"/>
  <c r="C36" i="9"/>
  <c r="I11" i="12"/>
  <c r="I14" i="33"/>
  <c r="I35" i="15"/>
  <c r="I21" i="10"/>
  <c r="I41" i="5"/>
  <c r="I27" i="2"/>
  <c r="I12" i="24"/>
  <c r="I22" i="9"/>
  <c r="I32" i="7"/>
  <c r="I24" i="4"/>
  <c r="C39" i="12"/>
  <c r="I10" i="8"/>
  <c r="I9" i="2"/>
</calcChain>
</file>

<file path=xl/sharedStrings.xml><?xml version="1.0" encoding="utf-8"?>
<sst xmlns="http://schemas.openxmlformats.org/spreadsheetml/2006/main" count="9948" uniqueCount="357">
  <si>
    <t>PRODUTTORE</t>
  </si>
  <si>
    <t>COMUNE DI AMARO</t>
  </si>
  <si>
    <t>PERIODO</t>
  </si>
  <si>
    <t>01/01/2024 - 30/04/2024</t>
  </si>
  <si>
    <t>ABITANTI</t>
  </si>
  <si>
    <t>KG/PERIODO</t>
  </si>
  <si>
    <t>GRUPPO RIFIUTI</t>
  </si>
  <si>
    <t>RIFIUTO</t>
  </si>
  <si>
    <t>DOMICILIARE</t>
  </si>
  <si>
    <t>STRADALE</t>
  </si>
  <si>
    <t>CDR</t>
  </si>
  <si>
    <t>ALTRO</t>
  </si>
  <si>
    <t>TOTALE</t>
  </si>
  <si>
    <t>KG/AB/PERIODO</t>
  </si>
  <si>
    <t>% TOTALE</t>
  </si>
  <si>
    <t>% SU 2023</t>
  </si>
  <si>
    <t>Rifiuti urbani differenziati</t>
  </si>
  <si>
    <t>080318 - Toner</t>
  </si>
  <si>
    <t>150101 - imballaggi in carta e cartone</t>
  </si>
  <si>
    <t>150106 - Multimateriale Plastica + lattine</t>
  </si>
  <si>
    <t>150107 - Imballaggi in vetro</t>
  </si>
  <si>
    <t>150111 - * Bombolette spray</t>
  </si>
  <si>
    <t>160103 - Pneumatici</t>
  </si>
  <si>
    <t>170904 - Inerti</t>
  </si>
  <si>
    <t>200101 - Carta e cartone</t>
  </si>
  <si>
    <t>200102 - Lastre di vetro</t>
  </si>
  <si>
    <t>200108 - Umido</t>
  </si>
  <si>
    <t>200110 - Abbigliamento</t>
  </si>
  <si>
    <t>200111 - Prodotti tessili</t>
  </si>
  <si>
    <t>200125 - Oli vegetali</t>
  </si>
  <si>
    <t>200126 - * Oli pericolosi</t>
  </si>
  <si>
    <t>200127 - * Pitture e vernici pericolose</t>
  </si>
  <si>
    <t>200132 - Medicinali scaduti</t>
  </si>
  <si>
    <t>200133 - * Batterie al piombo</t>
  </si>
  <si>
    <t>200133 - * Pile portatili</t>
  </si>
  <si>
    <t>200138 - Legno</t>
  </si>
  <si>
    <t>200139 - Plastiche dure</t>
  </si>
  <si>
    <t>200140 - Metallo</t>
  </si>
  <si>
    <t>200201 - Verde</t>
  </si>
  <si>
    <t>200121 - * RAEE R5 (Lampade fluorescenti)</t>
  </si>
  <si>
    <t>200123 - * RAEE R1 (Frigoriferi)</t>
  </si>
  <si>
    <t>200135 - * RAEE R3 (TV e monitor)</t>
  </si>
  <si>
    <t>200136 - RAEE R2 (Lavatrici)</t>
  </si>
  <si>
    <t>200136 - RAEE R4 (Piccoli elettrodomestici)</t>
  </si>
  <si>
    <t>Rifiuti urbani non differenziati</t>
  </si>
  <si>
    <t>200301 - R.S.U. Secco residuo</t>
  </si>
  <si>
    <t>200307 - Ingombranti</t>
  </si>
  <si>
    <t>200303 - Residui della pulizia stradale</t>
  </si>
  <si>
    <t>Altri rifiuti urbani</t>
  </si>
  <si>
    <t>170603 - * Altri materiali isolanti</t>
  </si>
  <si>
    <t>170802 - Mater. da costruz. a base di gesso</t>
  </si>
  <si>
    <t>160216 - Toner</t>
  </si>
  <si>
    <t>* rifiuti pericolosi</t>
  </si>
  <si>
    <t>GRUPPO RIFIUTI (kg/periodo)</t>
  </si>
  <si>
    <t>RIFIUTI URBANI DIFFERENZIATI</t>
  </si>
  <si>
    <t>RIFIUTI URBANI NON DIFFERENZIATI</t>
  </si>
  <si>
    <t>ALTRI RIFIUTI URBANI</t>
  </si>
  <si>
    <t>PERCENTUALE RACCOLTA DIFFERENZIATA</t>
  </si>
  <si>
    <t>PERCENTUALE RACCOLTA DIFFERENZIATA (ARPA)</t>
  </si>
  <si>
    <t>2023 A&amp;T 2000</t>
  </si>
  <si>
    <t>LEGENDA</t>
  </si>
  <si>
    <t>'2023</t>
  </si>
  <si>
    <t>% RD calcolata secondo le linee guida ARPA</t>
  </si>
  <si>
    <t>% RD del Comune 
nell'anno 2024</t>
  </si>
  <si>
    <t>% RD del Comune 
nell'anno 2023</t>
  </si>
  <si>
    <t>% RD media del bacino 
di A&amp;T2000 nell'anno 2023</t>
  </si>
  <si>
    <t>PERCENTUALE RACCOLTA DIFFERENZIATA (A&amp;T 2000)</t>
  </si>
  <si>
    <t>% RD calcolata al netto degli scarti dei rifiuti raccolti</t>
  </si>
  <si>
    <t>DIFFERENZIALI PRINCIPALI PARAMETRI (kg/ab anno)</t>
  </si>
  <si>
    <t>COMUNE DI AMARO**</t>
  </si>
  <si>
    <t>A&amp;T 2000 **</t>
  </si>
  <si>
    <t>TARIC **</t>
  </si>
  <si>
    <t>PROIEZIONE ***</t>
  </si>
  <si>
    <t>SECCO RESIDUO</t>
  </si>
  <si>
    <t>ORGANICO</t>
  </si>
  <si>
    <t>RIF. DIFF.</t>
  </si>
  <si>
    <t>RIF. NON DIFF.</t>
  </si>
  <si>
    <t>COMUNE DI ________**</t>
  </si>
  <si>
    <t>media degli ultimi 5 anni del Comune diAMARO</t>
  </si>
  <si>
    <t>media degli ultimi 5 anni di tutti i Comuni del bacino di A&amp;T 2000</t>
  </si>
  <si>
    <t>media degli ultimi 5 anni dei Comuni dove si applica la TARIC</t>
  </si>
  <si>
    <t>Proiezione dei dati parziali sull'anno in corso</t>
  </si>
  <si>
    <t>COMUNE DI AMPEZZO</t>
  </si>
  <si>
    <t>COMUNE DI AMPEZZO**</t>
  </si>
  <si>
    <t>media degli ultimi 5 anni del Comune diAMPEZZO</t>
  </si>
  <si>
    <t>COMUNE DI ARTA TERME</t>
  </si>
  <si>
    <t>170604 - Materiali isolanti</t>
  </si>
  <si>
    <t>COMUNE DI ARTA TERME**</t>
  </si>
  <si>
    <t>media degli ultimi 5 anni del Comune diARTA TERME</t>
  </si>
  <si>
    <t>COMUNE DI ARTEGNA</t>
  </si>
  <si>
    <t>150102 - Imballaggi in plastica</t>
  </si>
  <si>
    <t>COMUNE DI ARTEGNA**</t>
  </si>
  <si>
    <t>media degli ultimi 5 anni del Comune diARTEGNA</t>
  </si>
  <si>
    <t>COMUNE DI BASILIANO</t>
  </si>
  <si>
    <t>150110 - * Imballaggi per pitture e vernici</t>
  </si>
  <si>
    <t>170301 - Miscele bituminose contenenti catrame di carbone</t>
  </si>
  <si>
    <t>170101 - Cemento</t>
  </si>
  <si>
    <t>170204 - Vetro, plastica e legno pericolosi</t>
  </si>
  <si>
    <t>COMUNE DI BASILIANO**</t>
  </si>
  <si>
    <t>media degli ultimi 5 anni del Comune diBASILIANO</t>
  </si>
  <si>
    <t>COMUNE DI BERTIOLO</t>
  </si>
  <si>
    <t>COMUNE DI BERTIOLO**</t>
  </si>
  <si>
    <t>media degli ultimi 5 anni del Comune diBERTIOLO</t>
  </si>
  <si>
    <t>COMUNE DI BORDANO</t>
  </si>
  <si>
    <t>COMUNE DI BORDANO**</t>
  </si>
  <si>
    <t>media degli ultimi 5 anni del Comune diBORDANO</t>
  </si>
  <si>
    <t>COMUNE DI BUTTRIO</t>
  </si>
  <si>
    <t>COMUNE DI BUTTRIO**</t>
  </si>
  <si>
    <t>media degli ultimi 5 anni del Comune diBUTTRIO</t>
  </si>
  <si>
    <t>COMUNE DI CAMINO AL TAGLIAMENTO</t>
  </si>
  <si>
    <t>COMUNE DI CAMINO AL TAGLIAMENTO**</t>
  </si>
  <si>
    <t>media degli ultimi 5 anni del Comune diCAMINO AL TAGLIAMENTO</t>
  </si>
  <si>
    <t>COMUNE DI CAMPOFORMIDO</t>
  </si>
  <si>
    <t>200306 - Pulizia fognature</t>
  </si>
  <si>
    <t>170201 - LEgno</t>
  </si>
  <si>
    <t>COMUNE DI CAMPOFORMIDO**</t>
  </si>
  <si>
    <t>media degli ultimi 5 anni del Comune diCAMPOFORMIDO</t>
  </si>
  <si>
    <t>COMUNE DI CAVAZZO CARNICO</t>
  </si>
  <si>
    <t>200304 - fanghi</t>
  </si>
  <si>
    <t>COMUNE DI CAVAZZO CARNICO**</t>
  </si>
  <si>
    <t>media degli ultimi 5 anni del Comune diCAVAZZO CARNICO</t>
  </si>
  <si>
    <t>COMUNE DI CERCIVENTO</t>
  </si>
  <si>
    <t>COMUNE DI CERCIVENTO**</t>
  </si>
  <si>
    <t>media degli ultimi 5 anni del Comune diCERCIVENTO</t>
  </si>
  <si>
    <t>COMUNE DI CODROIPO</t>
  </si>
  <si>
    <t>170503 - Terre e rocce, contenenti sostanze pericolose</t>
  </si>
  <si>
    <t>160708 - rifiuti contenenti olio</t>
  </si>
  <si>
    <t>160305 - * Rifiuti organici pericolosi</t>
  </si>
  <si>
    <t>COMUNE DI CODROIPO**</t>
  </si>
  <si>
    <t>media degli ultimi 5 anni del Comune diCODROIPO</t>
  </si>
  <si>
    <t>COMUNE DI COLLOREDO DI MONTE ALBANO</t>
  </si>
  <si>
    <t>150104 - Imballaggi metallici (lattine)</t>
  </si>
  <si>
    <t>COMUNE DI COLLOREDO DI MONTE ALBANO**</t>
  </si>
  <si>
    <t>media degli ultimi 5 anni del Comune diCOLLOREDO DI MONTE ALBANO</t>
  </si>
  <si>
    <t>COMUNE DI COMEGLIANS</t>
  </si>
  <si>
    <t>COMUNE DI COMEGLIANS**</t>
  </si>
  <si>
    <t>media degli ultimi 5 anni del Comune diCOMEGLIANS</t>
  </si>
  <si>
    <t>COMUNE DI CORNO DI ROSAZZO</t>
  </si>
  <si>
    <t>COMUNE DI CORNO DI ROSAZZO**</t>
  </si>
  <si>
    <t>media degli ultimi 5 anni del Comune diCORNO DI ROSAZZO</t>
  </si>
  <si>
    <t>COMUNE DI COSEANO</t>
  </si>
  <si>
    <t>200203 - Altri rifiuti non compostabili</t>
  </si>
  <si>
    <t>200134 - * Pile portatili</t>
  </si>
  <si>
    <t>170903 - * Altri rifiuti inerti</t>
  </si>
  <si>
    <t>COMUNE DI COSEANO**</t>
  </si>
  <si>
    <t>media degli ultimi 5 anni del Comune diCOSEANO</t>
  </si>
  <si>
    <t>COMUNE DI DIGNANO</t>
  </si>
  <si>
    <t>COMUNE DI DIGNANO**</t>
  </si>
  <si>
    <t>media degli ultimi 5 anni del Comune diDIGNANO</t>
  </si>
  <si>
    <t>COMUNE DI DOGNA</t>
  </si>
  <si>
    <t>COMUNE DI DOGNA**</t>
  </si>
  <si>
    <t>media degli ultimi 5 anni del Comune diDOGNA</t>
  </si>
  <si>
    <t>COMUNE DI ENEMONZO</t>
  </si>
  <si>
    <t>190802 - Rifiuti dell'eliminazione della sabbia</t>
  </si>
  <si>
    <t>COMUNE DI ENEMONZO**</t>
  </si>
  <si>
    <t>media degli ultimi 5 anni del Comune diENEMONZO</t>
  </si>
  <si>
    <t>COMUNE DI FAGAGNA</t>
  </si>
  <si>
    <t>200137 - legno, contenente sostanze pericolose</t>
  </si>
  <si>
    <t>170203 - Plastica</t>
  </si>
  <si>
    <t>170107 - Inerti</t>
  </si>
  <si>
    <t>COMUNE DI FAGAGNA**</t>
  </si>
  <si>
    <t>media degli ultimi 5 anni del Comune diFAGAGNA</t>
  </si>
  <si>
    <t>COMUNE DI FLAIBANO</t>
  </si>
  <si>
    <t>COMUNE DI FLAIBANO**</t>
  </si>
  <si>
    <t>media degli ultimi 5 anni del Comune diFLAIBANO</t>
  </si>
  <si>
    <t>COMUNE DI FORGARIA NEL FRIULI</t>
  </si>
  <si>
    <t>170405 - Ferro e acciaio</t>
  </si>
  <si>
    <t>COMUNE DI FORGARIA NEL FRIULI**</t>
  </si>
  <si>
    <t>media degli ultimi 5 anni del Comune diFORGARIA NEL FRIULI</t>
  </si>
  <si>
    <t>COMUNE DI FORNI AVOLTRI</t>
  </si>
  <si>
    <t>130205 - scarti olio minerale</t>
  </si>
  <si>
    <t xml:space="preserve">160211 - Apparecchiature fuori uso, contenenti clorofluorocarburi, HCFC, HFC   </t>
  </si>
  <si>
    <t>160104 - Veicoli fuori uso</t>
  </si>
  <si>
    <t>COMUNE DI FORNI AVOLTRI**</t>
  </si>
  <si>
    <t>media degli ultimi 5 anni del Comune diFORNI AVOLTRI</t>
  </si>
  <si>
    <t>COMUNE DI FORNI DI SOPRA</t>
  </si>
  <si>
    <t>COMUNE DI FORNI DI SOPRA**</t>
  </si>
  <si>
    <t>media degli ultimi 5 anni del Comune diFORNI DI SOPRA</t>
  </si>
  <si>
    <t>COMUNE DI FORNI DI SOTTO</t>
  </si>
  <si>
    <t>COMUNE DI FORNI DI SOTTO**</t>
  </si>
  <si>
    <t>media degli ultimi 5 anni del Comune diFORNI DI SOTTO</t>
  </si>
  <si>
    <t>COMUNE DI GEMONA DEL FRIULI</t>
  </si>
  <si>
    <t>170406 - Stagno</t>
  </si>
  <si>
    <t>COMUNE DI GEMONA DEL FRIULI**</t>
  </si>
  <si>
    <t>media degli ultimi 5 anni del Comune diGEMONA DEL FRIULI</t>
  </si>
  <si>
    <t>COMUNE DI LAUCO</t>
  </si>
  <si>
    <t>COMUNE DI LAUCO**</t>
  </si>
  <si>
    <t>media degli ultimi 5 anni del Comune diLAUCO</t>
  </si>
  <si>
    <t>COMUNE DI LESTIZZA</t>
  </si>
  <si>
    <t>COMUNE DI LESTIZZA**</t>
  </si>
  <si>
    <t>media degli ultimi 5 anni del Comune diLESTIZZA</t>
  </si>
  <si>
    <t>COMUNE DI LUSEVERA</t>
  </si>
  <si>
    <t xml:space="preserve">170605 - Materiali costruzione con amianto       </t>
  </si>
  <si>
    <t>COMUNE DI LUSEVERA**</t>
  </si>
  <si>
    <t>media degli ultimi 5 anni del Comune diLUSEVERA</t>
  </si>
  <si>
    <t>COMUNE DI MAGNANO IN RIVIERA</t>
  </si>
  <si>
    <t>160213 - apparecchiature fuori uso, contenenti componenti pericolosi (2) diversi da quelli di cui alle voci 16 02 09 e 16 02 12</t>
  </si>
  <si>
    <t>COMUNE DI MAGNANO IN RIVIERA**</t>
  </si>
  <si>
    <t>media degli ultimi 5 anni del Comune diMAGNANO IN RIVIERA</t>
  </si>
  <si>
    <t>COMUNE DI MAJANO</t>
  </si>
  <si>
    <t>200129 - Detergenti contenenti sostanze pericolose</t>
  </si>
  <si>
    <t>COMUNE DI MAJANO**</t>
  </si>
  <si>
    <t>media degli ultimi 5 anni del Comune diMAJANO</t>
  </si>
  <si>
    <t>COMUNE DI MARTIGNACCO</t>
  </si>
  <si>
    <t>COMUNE DI MARTIGNACCO**</t>
  </si>
  <si>
    <t>media degli ultimi 5 anni del Comune diMARTIGNACCO</t>
  </si>
  <si>
    <t>COMUNE DI MOGGIO UDINESE</t>
  </si>
  <si>
    <t>COMUNE DI MOGGIO UDINESE**</t>
  </si>
  <si>
    <t>media degli ultimi 5 anni del Comune diMOGGIO UDINESE</t>
  </si>
  <si>
    <t>COMUNE DI MOIMACCO</t>
  </si>
  <si>
    <t>COMUNE DI MOIMACCO**</t>
  </si>
  <si>
    <t>media degli ultimi 5 anni del Comune diMOIMACCO</t>
  </si>
  <si>
    <t>COMUNE DI MONTENARS</t>
  </si>
  <si>
    <t>COMUNE DI MONTENARS**</t>
  </si>
  <si>
    <t>media degli ultimi 5 anni del Comune diMONTENARS</t>
  </si>
  <si>
    <t>COMUNE DI MORTEGLIANO</t>
  </si>
  <si>
    <t>150203 - assorbenti,mat.filtranti,stracci</t>
  </si>
  <si>
    <t>170504 - Terre e rocce</t>
  </si>
  <si>
    <t>COMUNE DI MORTEGLIANO**</t>
  </si>
  <si>
    <t>media degli ultimi 5 anni del Comune diMORTEGLIANO</t>
  </si>
  <si>
    <t>COMUNE DI MORUZZO</t>
  </si>
  <si>
    <t xml:space="preserve">160214 - APPARECCHIATURE FUORI USO, DIVERSE      </t>
  </si>
  <si>
    <t>COMUNE DI MORUZZO**</t>
  </si>
  <si>
    <t>media degli ultimi 5 anni del Comune diMORUZZO</t>
  </si>
  <si>
    <t>COMUNE DI NIMIS</t>
  </si>
  <si>
    <t>130802 - Olio minerale</t>
  </si>
  <si>
    <t>COMUNE DI NIMIS**</t>
  </si>
  <si>
    <t>media degli ultimi 5 anni del Comune diNIMIS</t>
  </si>
  <si>
    <t>COMUNE DI OSOPPO</t>
  </si>
  <si>
    <t>COMUNE DI OSOPPO**</t>
  </si>
  <si>
    <t>media degli ultimi 5 anni del Comune diOSOPPO</t>
  </si>
  <si>
    <t>COMUNE DI OVARO</t>
  </si>
  <si>
    <t>COMUNE DI OVARO**</t>
  </si>
  <si>
    <t>media degli ultimi 5 anni del Comune diOVARO</t>
  </si>
  <si>
    <t>COMUNE DI PAGNACCO</t>
  </si>
  <si>
    <t>COMUNE DI PAGNACCO**</t>
  </si>
  <si>
    <t>media degli ultimi 5 anni del Comune diPAGNACCO</t>
  </si>
  <si>
    <t>COMUNE DI PALUZZA</t>
  </si>
  <si>
    <t>COMUNE DI PALUZZA**</t>
  </si>
  <si>
    <t>media degli ultimi 5 anni del Comune diPALUZZA</t>
  </si>
  <si>
    <t>COMUNE DI PASIAN DI PRATO</t>
  </si>
  <si>
    <t>160306 - Rifiuti organici diversi da quelli di cui alla voce 160305</t>
  </si>
  <si>
    <t>160304 - Rifiuti inorganici</t>
  </si>
  <si>
    <t>COMUNE DI PASIAN DI PRATO**</t>
  </si>
  <si>
    <t>media degli ultimi 5 anni del Comune diPASIAN DI PRATO</t>
  </si>
  <si>
    <t>COMUNE DI PAULARO</t>
  </si>
  <si>
    <t>COMUNE DI PAULARO**</t>
  </si>
  <si>
    <t>media degli ultimi 5 anni del Comune diPAULARO</t>
  </si>
  <si>
    <t>COMUNE DI PAVIA DI UDINE</t>
  </si>
  <si>
    <t>COMUNE DI PAVIA DI UDINE**</t>
  </si>
  <si>
    <t>media degli ultimi 5 anni del Comune diPAVIA DI UDINE</t>
  </si>
  <si>
    <t>COMUNE DI POZZUOLO DEL FRIULI</t>
  </si>
  <si>
    <t>COMUNE DI POZZUOLO DEL FRIULI**</t>
  </si>
  <si>
    <t>media degli ultimi 5 anni del Comune diPOZZUOLO DEL FRIULI</t>
  </si>
  <si>
    <t>COMUNE DI PRADAMANO</t>
  </si>
  <si>
    <t>COMUNE DI PRADAMANO**</t>
  </si>
  <si>
    <t>media degli ultimi 5 anni del Comune diPRADAMANO</t>
  </si>
  <si>
    <t>COMUNE DI PRATO CARNICO</t>
  </si>
  <si>
    <t>COMUNE DI PRATO CARNICO**</t>
  </si>
  <si>
    <t>media degli ultimi 5 anni del Comune diPRATO CARNICO</t>
  </si>
  <si>
    <t>COMUNE DI PREMARIACCO</t>
  </si>
  <si>
    <t>170302 - Miscele bituminose</t>
  </si>
  <si>
    <t>COMUNE DI PREMARIACCO**</t>
  </si>
  <si>
    <t>media degli ultimi 5 anni del Comune diPREMARIACCO</t>
  </si>
  <si>
    <t>COMUNE DI PREONE</t>
  </si>
  <si>
    <t>COMUNE DI PREONE**</t>
  </si>
  <si>
    <t>media degli ultimi 5 anni del Comune diPREONE</t>
  </si>
  <si>
    <t>COMUNE DI RAGOGNA</t>
  </si>
  <si>
    <t>COMUNE DI RAGOGNA**</t>
  </si>
  <si>
    <t>media degli ultimi 5 anni del Comune diRAGOGNA</t>
  </si>
  <si>
    <t>COMUNE DI RAVASCLETTO</t>
  </si>
  <si>
    <t>COMUNE DI RAVASCLETTO**</t>
  </si>
  <si>
    <t>media degli ultimi 5 anni del Comune diRAVASCLETTO</t>
  </si>
  <si>
    <t>COMUNE DI RAVEO</t>
  </si>
  <si>
    <t>COMUNE DI RAVEO**</t>
  </si>
  <si>
    <t>media degli ultimi 5 anni del Comune diRAVEO</t>
  </si>
  <si>
    <t>COMUNE DI REANA DEL ROJALE</t>
  </si>
  <si>
    <t>COMUNE DI REANA DEL ROJALE**</t>
  </si>
  <si>
    <t>media degli ultimi 5 anni del Comune diREANA DEL ROJALE</t>
  </si>
  <si>
    <t>COMUNE DI REMANZACCO</t>
  </si>
  <si>
    <t>COMUNE DI REMANZACCO**</t>
  </si>
  <si>
    <t>media degli ultimi 5 anni del Comune diREMANZACCO</t>
  </si>
  <si>
    <t>COMUNE DI RESIUTTA</t>
  </si>
  <si>
    <t>COMUNE DI RESIUTTA**</t>
  </si>
  <si>
    <t>media degli ultimi 5 anni del Comune diRESIUTTA</t>
  </si>
  <si>
    <t>COMUNE DI RIGOLATO</t>
  </si>
  <si>
    <t>COMUNE DI RIGOLATO**</t>
  </si>
  <si>
    <t>media degli ultimi 5 anni del Comune diRIGOLATO</t>
  </si>
  <si>
    <t>COMUNE DI RIVE D'ARCANO</t>
  </si>
  <si>
    <t>COMUNE DI RIVE D'ARCANO**</t>
  </si>
  <si>
    <t>media degli ultimi 5 anni del Comune diRIVE D'ARCANO</t>
  </si>
  <si>
    <t>COMUNE DI RIVIGNANO TEOR</t>
  </si>
  <si>
    <t>COMUNE DI RIVIGNANO TEOR**</t>
  </si>
  <si>
    <t>media degli ultimi 5 anni del Comune diRIVIGNANO TEOR</t>
  </si>
  <si>
    <t>COMUNE DI SAN DANIELE DEL FRIULI</t>
  </si>
  <si>
    <t>COMUNE DI SAN DANIELE DEL FRIULI**</t>
  </si>
  <si>
    <t>media degli ultimi 5 anni del Comune diSAN DANIELE DEL FRIULI</t>
  </si>
  <si>
    <t>COMUNE DI SAN DORLIGO DELLA VALLE</t>
  </si>
  <si>
    <t>190810 - Miscele di oli e grassi</t>
  </si>
  <si>
    <t>COMUNE DI SAN DORLIGO DELLA VALLE**</t>
  </si>
  <si>
    <t>media degli ultimi 5 anni del Comune diSAN DORLIGO DELLA VALLE</t>
  </si>
  <si>
    <t>COMUNE DI SAN GIOVANNI AL NATISONE</t>
  </si>
  <si>
    <t>161002 - soluzioni acquose di scarto, diverse da quelle di cui alla voce 16 10 01</t>
  </si>
  <si>
    <t>160505 - Gas in contenitori a pressione</t>
  </si>
  <si>
    <t>COMUNE DI SAN GIOVANNI AL NATISONE**</t>
  </si>
  <si>
    <t>media degli ultimi 5 anni del Comune diSAN GIOVANNI AL NATISONE</t>
  </si>
  <si>
    <t>COMUNE DI SAN VITO DI FAGAGNA</t>
  </si>
  <si>
    <t>COMUNE DI SAN VITO DI FAGAGNA**</t>
  </si>
  <si>
    <t>media degli ultimi 5 anni del Comune diSAN VITO DI FAGAGNA</t>
  </si>
  <si>
    <t>COMUNE DI SAPPADA</t>
  </si>
  <si>
    <t>COMUNE DI SAPPADA**</t>
  </si>
  <si>
    <t>media degli ultimi 5 anni del Comune diSAPPADA</t>
  </si>
  <si>
    <t>COMUNE DI SAURIS</t>
  </si>
  <si>
    <t>COMUNE DI SAURIS**</t>
  </si>
  <si>
    <t>media degli ultimi 5 anni del Comune diSAURIS</t>
  </si>
  <si>
    <t>COMUNE DI SEDEGLIANO</t>
  </si>
  <si>
    <t>COMUNE DI SEDEGLIANO**</t>
  </si>
  <si>
    <t>media degli ultimi 5 anni del Comune diSEDEGLIANO</t>
  </si>
  <si>
    <t>COMUNE DI SOCCHIEVE</t>
  </si>
  <si>
    <t>COMUNE DI SOCCHIEVE**</t>
  </si>
  <si>
    <t>media degli ultimi 5 anni del Comune diSOCCHIEVE</t>
  </si>
  <si>
    <t>COMUNE DI SUTRIO</t>
  </si>
  <si>
    <t>COMUNE DI SUTRIO**</t>
  </si>
  <si>
    <t>media degli ultimi 5 anni del Comune diSUTRIO</t>
  </si>
  <si>
    <t>COMUNE DI TAIPANA</t>
  </si>
  <si>
    <t>COMUNE DI TAIPANA**</t>
  </si>
  <si>
    <t>media degli ultimi 5 anni del Comune diTAIPANA</t>
  </si>
  <si>
    <t>COMUNE DI TARCENTO</t>
  </si>
  <si>
    <t>COMUNE DI TARCENTO**</t>
  </si>
  <si>
    <t>media degli ultimi 5 anni del Comune diTARCENTO</t>
  </si>
  <si>
    <t>COMUNE DI TOLMEZZO</t>
  </si>
  <si>
    <t>COMUNE DI TOLMEZZO**</t>
  </si>
  <si>
    <t>media degli ultimi 5 anni del Comune diTOLMEZZO</t>
  </si>
  <si>
    <t>COMUNE DI TRASAGHIS</t>
  </si>
  <si>
    <t>COMUNE DI TRASAGHIS**</t>
  </si>
  <si>
    <t>media degli ultimi 5 anni del Comune diTRASAGHIS</t>
  </si>
  <si>
    <t>COMUNE DI TREPPO GRANDE</t>
  </si>
  <si>
    <t>COMUNE DI TREPPO GRANDE**</t>
  </si>
  <si>
    <t>media degli ultimi 5 anni del Comune diTREPPO GRANDE</t>
  </si>
  <si>
    <t>COMUNE DI TREPPO LIGOSULLO</t>
  </si>
  <si>
    <t>COMUNE DI TREPPO LIGOSULLO**</t>
  </si>
  <si>
    <t>media degli ultimi 5 anni del Comune diTREPPO LIGOSULLO</t>
  </si>
  <si>
    <t>COMUNE DI VARMO</t>
  </si>
  <si>
    <t>COMUNE DI VARMO**</t>
  </si>
  <si>
    <t>media degli ultimi 5 anni del Comune diVARMO</t>
  </si>
  <si>
    <t>COMUNE DI VENZONE</t>
  </si>
  <si>
    <t>COMUNE DI VENZONE**</t>
  </si>
  <si>
    <t>media degli ultimi 5 anni del Comune diVENZONE</t>
  </si>
  <si>
    <t>COMUNE DI VERZEGNIS</t>
  </si>
  <si>
    <t>COMUNE DI VERZEGNIS**</t>
  </si>
  <si>
    <t>media degli ultimi 5 anni del Comune diVERZEGNIS</t>
  </si>
  <si>
    <t>COMUNE DI VILLA SANTINA</t>
  </si>
  <si>
    <t>COMUNE DI VILLA SANTINA**</t>
  </si>
  <si>
    <t>media degli ultimi 5 anni del Comune diVILLA SANTINA</t>
  </si>
  <si>
    <t>COMUNE DI ZUGLIO</t>
  </si>
  <si>
    <t>COMUNE DI ZUGLIO**</t>
  </si>
  <si>
    <t>media degli ultimi 5 anni del Comune diZUGLIO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</si>
</sst>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#"/>
    <numFmt numFmtId="165" formatCode="0.0%"/>
  </numFmts>
  <fonts count="3" x14ac:knownFonts="1">
    <font>
      <sz val="11"/>
      <color rgb="FF000000"/>
      <name val="Calibri"/>
    </font>
    <font>
      <b/>
      <sz val="11"/>
      <color rgb="FF000000"/>
      <name val="Calibri"/>
    </font>
    <font>
      <b/>
      <sz val="14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1" xfId="0" applyFont="1" applyBorder="1"/>
    <xf numFmtId="0" fontId="2" fillId="0" borderId="1" xfId="0" applyFont="1" applyBorder="1"/>
    <xf numFmtId="164" fontId="0" fillId="0" borderId="1" xfId="0" applyNumberFormat="1" applyBorder="1"/>
    <xf numFmtId="164" fontId="1" fillId="0" borderId="1" xfId="0" applyNumberFormat="1" applyFont="1" applyBorder="1"/>
    <xf numFmtId="165" fontId="1" fillId="0" borderId="1" xfId="0" applyNumberFormat="1" applyFont="1" applyBorder="1"/>
    <xf numFmtId="165" fontId="0" fillId="0" borderId="1" xfId="0" applyNumberFormat="1" applyBorder="1"/>
    <xf numFmtId="0" fontId="0" fillId="0" borderId="0" xfId="0" applyAlignment="1">
      <alignment horizontal="right"/>
    </xf>
    <xf numFmtId="165" fontId="0" fillId="0" borderId="0" xfId="0" applyNumberFormat="1" applyAlignment="1">
      <alignment horizontal="right"/>
    </xf>
    <xf numFmtId="164" fontId="0" fillId="0" borderId="1" xfId="0" applyNumberForma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165" fontId="1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165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165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horizontal="right"/>
    </xf>
    <xf numFmtId="165" fontId="0" fillId="0" borderId="1" xfId="0" applyNumberFormat="1" applyBorder="1" applyAlignment="1">
      <alignment horizontal="right" wrapText="1"/>
    </xf>
    <xf numFmtId="165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/>
  </cellXfs>
  <cellStyles count="1">
    <cellStyle name="Normale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calcChain" Target="calcChain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styles" Target="style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73"/>
  <sheetViews>
    <sheetView tabSelected="1" topLeftCell="A36" zoomScale="80" zoomScaleNormal="80" workbookViewId="0">
      <selection activeCell="C9" sqref="C9"/>
    </sheetView>
  </sheetViews>
  <sheetFormatPr defaultRowHeight="15" x14ac:dyDescent="0.25"/>
  <cols>
    <col min="1" max="1" width="38.85546875" bestFit="1" customWidth="1"/>
    <col min="2" max="2" width="79" bestFit="1" customWidth="1"/>
    <col min="3" max="3" width="14" bestFit="1" customWidth="1"/>
    <col min="4" max="4" width="21.140625" bestFit="1" customWidth="1"/>
    <col min="5" max="5" width="16.42578125" bestFit="1" customWidth="1"/>
    <col min="6" max="6" width="10.5703125" bestFit="1" customWidth="1"/>
    <col min="7" max="7" width="68.28515625" bestFit="1" customWidth="1"/>
    <col min="8" max="9" width="20" bestFit="1" customWidth="1"/>
    <col min="10" max="10" width="30.5703125" bestFit="1" customWidth="1"/>
  </cols>
  <sheetData>
    <row r="2" spans="1:10" ht="18.75" x14ac:dyDescent="0.3">
      <c r="A2" s="3" t="s">
        <v>0</v>
      </c>
      <c r="B2" s="4" t="s">
        <v>1</v>
      </c>
    </row>
    <row r="3" spans="1:10" x14ac:dyDescent="0.25">
      <c r="A3" s="3" t="s">
        <v>2</v>
      </c>
      <c r="B3" s="1" t="s">
        <v>3</v>
      </c>
    </row>
    <row r="4" spans="1:10" x14ac:dyDescent="0.25">
      <c r="A4" s="3" t="s">
        <v>4</v>
      </c>
      <c r="B4" s="1">
        <v>846</v>
      </c>
    </row>
    <row r="7" spans="1:10" x14ac:dyDescent="0.25">
      <c r="C7" s="19" t="s">
        <v>5</v>
      </c>
      <c r="D7" s="20"/>
      <c r="E7" s="20"/>
      <c r="F7" s="20"/>
      <c r="G7" s="20"/>
    </row>
    <row r="8" spans="1:10" x14ac:dyDescent="0.25">
      <c r="A8" s="3" t="s">
        <v>6</v>
      </c>
      <c r="B8" s="3" t="s">
        <v>7</v>
      </c>
      <c r="C8" s="3" t="s">
        <v>8</v>
      </c>
      <c r="D8" s="3" t="s">
        <v>9</v>
      </c>
      <c r="E8" s="3" t="s">
        <v>10</v>
      </c>
      <c r="F8" s="3" t="s">
        <v>11</v>
      </c>
      <c r="G8" s="3" t="s">
        <v>12</v>
      </c>
      <c r="H8" s="3" t="s">
        <v>13</v>
      </c>
      <c r="I8" s="3" t="s">
        <v>14</v>
      </c>
      <c r="J8" s="3" t="s">
        <v>15</v>
      </c>
    </row>
    <row r="9" spans="1:10" x14ac:dyDescent="0.25">
      <c r="A9" s="1" t="s">
        <v>16</v>
      </c>
      <c r="B9" s="1" t="s">
        <v>17</v>
      </c>
      <c r="C9" s="11"/>
      <c r="D9" s="11"/>
      <c r="E9" s="11">
        <v>18</v>
      </c>
      <c r="F9" s="11"/>
      <c r="G9" s="11">
        <f t="shared" ref="G9:G41" si="0">SUM(C9:F9)</f>
        <v>18</v>
      </c>
      <c r="H9" s="17">
        <f t="shared" ref="H9:H41" si="1">ROUND(G9/846,2)</f>
        <v>0.02</v>
      </c>
      <c r="I9" s="16">
        <f t="shared" ref="I9:I41" si="2">ROUND(G9/$G$42,3)</f>
        <v>0</v>
      </c>
      <c r="J9" s="16"/>
    </row>
    <row r="10" spans="1:10" x14ac:dyDescent="0.25">
      <c r="A10" s="1" t="s">
        <v>16</v>
      </c>
      <c r="B10" s="1" t="s">
        <v>18</v>
      </c>
      <c r="C10" s="11"/>
      <c r="D10" s="11"/>
      <c r="E10" s="11">
        <v>1050</v>
      </c>
      <c r="F10" s="11"/>
      <c r="G10" s="11">
        <f t="shared" si="0"/>
        <v>1050</v>
      </c>
      <c r="H10" s="17">
        <f t="shared" si="1"/>
        <v>1.24</v>
      </c>
      <c r="I10" s="16">
        <f t="shared" si="2"/>
        <v>7.0000000000000001E-3</v>
      </c>
      <c r="J10" s="16"/>
    </row>
    <row r="11" spans="1:10" x14ac:dyDescent="0.25">
      <c r="A11" s="1" t="s">
        <v>16</v>
      </c>
      <c r="B11" s="1" t="s">
        <v>19</v>
      </c>
      <c r="C11" s="11">
        <v>12840</v>
      </c>
      <c r="D11" s="11"/>
      <c r="E11" s="11">
        <v>1968</v>
      </c>
      <c r="F11" s="11"/>
      <c r="G11" s="11">
        <f t="shared" si="0"/>
        <v>14808</v>
      </c>
      <c r="H11" s="17">
        <f t="shared" si="1"/>
        <v>17.5</v>
      </c>
      <c r="I11" s="16">
        <f t="shared" si="2"/>
        <v>9.9000000000000005E-2</v>
      </c>
      <c r="J11" s="16">
        <f>ROUND(G11/13380.16-1,2)</f>
        <v>0.11</v>
      </c>
    </row>
    <row r="12" spans="1:10" x14ac:dyDescent="0.25">
      <c r="A12" s="1" t="s">
        <v>16</v>
      </c>
      <c r="B12" s="1" t="s">
        <v>20</v>
      </c>
      <c r="C12" s="11">
        <v>11710</v>
      </c>
      <c r="D12" s="11"/>
      <c r="E12" s="11"/>
      <c r="F12" s="11"/>
      <c r="G12" s="11">
        <f t="shared" si="0"/>
        <v>11710</v>
      </c>
      <c r="H12" s="17">
        <f t="shared" si="1"/>
        <v>13.84</v>
      </c>
      <c r="I12" s="16">
        <f t="shared" si="2"/>
        <v>7.9000000000000001E-2</v>
      </c>
      <c r="J12" s="16">
        <f>ROUND(G12/12468.77-1,2)</f>
        <v>-0.06</v>
      </c>
    </row>
    <row r="13" spans="1:10" x14ac:dyDescent="0.25">
      <c r="A13" s="1" t="s">
        <v>16</v>
      </c>
      <c r="B13" s="1" t="s">
        <v>21</v>
      </c>
      <c r="C13" s="11"/>
      <c r="D13" s="11"/>
      <c r="E13" s="11">
        <v>9</v>
      </c>
      <c r="F13" s="11"/>
      <c r="G13" s="11">
        <f t="shared" si="0"/>
        <v>9</v>
      </c>
      <c r="H13" s="17">
        <f t="shared" si="1"/>
        <v>0.01</v>
      </c>
      <c r="I13" s="16">
        <f t="shared" si="2"/>
        <v>0</v>
      </c>
      <c r="J13" s="16"/>
    </row>
    <row r="14" spans="1:10" x14ac:dyDescent="0.25">
      <c r="A14" s="1" t="s">
        <v>16</v>
      </c>
      <c r="B14" s="1" t="s">
        <v>22</v>
      </c>
      <c r="C14" s="11"/>
      <c r="D14" s="11"/>
      <c r="E14" s="11">
        <v>65</v>
      </c>
      <c r="F14" s="11"/>
      <c r="G14" s="11">
        <f t="shared" si="0"/>
        <v>65</v>
      </c>
      <c r="H14" s="17">
        <f t="shared" si="1"/>
        <v>0.08</v>
      </c>
      <c r="I14" s="16">
        <f t="shared" si="2"/>
        <v>0</v>
      </c>
      <c r="J14" s="16">
        <f>ROUND(G14/312.5-1,2)</f>
        <v>-0.79</v>
      </c>
    </row>
    <row r="15" spans="1:10" x14ac:dyDescent="0.25">
      <c r="A15" s="1" t="s">
        <v>16</v>
      </c>
      <c r="B15" s="1" t="s">
        <v>23</v>
      </c>
      <c r="C15" s="11"/>
      <c r="D15" s="11"/>
      <c r="E15" s="11">
        <v>13373</v>
      </c>
      <c r="F15" s="11"/>
      <c r="G15" s="11">
        <f t="shared" si="0"/>
        <v>13373</v>
      </c>
      <c r="H15" s="17">
        <f t="shared" si="1"/>
        <v>15.81</v>
      </c>
      <c r="I15" s="16">
        <f t="shared" si="2"/>
        <v>0.09</v>
      </c>
      <c r="J15" s="16">
        <f>ROUND(G15/12364.6-1,2)</f>
        <v>0.08</v>
      </c>
    </row>
    <row r="16" spans="1:10" x14ac:dyDescent="0.25">
      <c r="A16" s="1" t="s">
        <v>16</v>
      </c>
      <c r="B16" s="1" t="s">
        <v>24</v>
      </c>
      <c r="C16" s="11">
        <v>15460</v>
      </c>
      <c r="D16" s="11"/>
      <c r="E16" s="11">
        <v>4626</v>
      </c>
      <c r="F16" s="11"/>
      <c r="G16" s="11">
        <f t="shared" si="0"/>
        <v>20086</v>
      </c>
      <c r="H16" s="17">
        <f t="shared" si="1"/>
        <v>23.74</v>
      </c>
      <c r="I16" s="16">
        <f t="shared" si="2"/>
        <v>0.13500000000000001</v>
      </c>
      <c r="J16" s="16">
        <f>ROUND(G16/16138-1,2)</f>
        <v>0.24</v>
      </c>
    </row>
    <row r="17" spans="1:10" x14ac:dyDescent="0.25">
      <c r="A17" s="1" t="s">
        <v>16</v>
      </c>
      <c r="B17" s="1" t="s">
        <v>25</v>
      </c>
      <c r="C17" s="11"/>
      <c r="D17" s="11"/>
      <c r="E17" s="11">
        <v>763</v>
      </c>
      <c r="F17" s="11"/>
      <c r="G17" s="11">
        <f t="shared" si="0"/>
        <v>763</v>
      </c>
      <c r="H17" s="17">
        <f t="shared" si="1"/>
        <v>0.9</v>
      </c>
      <c r="I17" s="16">
        <f t="shared" si="2"/>
        <v>5.0000000000000001E-3</v>
      </c>
      <c r="J17" s="16"/>
    </row>
    <row r="18" spans="1:10" x14ac:dyDescent="0.25">
      <c r="A18" s="1" t="s">
        <v>16</v>
      </c>
      <c r="B18" s="1" t="s">
        <v>26</v>
      </c>
      <c r="C18" s="11">
        <v>15760</v>
      </c>
      <c r="D18" s="11"/>
      <c r="E18" s="11"/>
      <c r="F18" s="11"/>
      <c r="G18" s="11">
        <f t="shared" si="0"/>
        <v>15760</v>
      </c>
      <c r="H18" s="17">
        <f t="shared" si="1"/>
        <v>18.63</v>
      </c>
      <c r="I18" s="16">
        <f t="shared" si="2"/>
        <v>0.106</v>
      </c>
      <c r="J18" s="16">
        <f>ROUND(G18/15000-1,2)</f>
        <v>0.05</v>
      </c>
    </row>
    <row r="19" spans="1:10" x14ac:dyDescent="0.25">
      <c r="A19" s="1" t="s">
        <v>16</v>
      </c>
      <c r="B19" s="1" t="s">
        <v>27</v>
      </c>
      <c r="C19" s="11"/>
      <c r="D19" s="11"/>
      <c r="E19" s="11">
        <v>114</v>
      </c>
      <c r="F19" s="11"/>
      <c r="G19" s="11">
        <f t="shared" si="0"/>
        <v>114</v>
      </c>
      <c r="H19" s="17">
        <f t="shared" si="1"/>
        <v>0.13</v>
      </c>
      <c r="I19" s="16">
        <f t="shared" si="2"/>
        <v>1E-3</v>
      </c>
      <c r="J19" s="16">
        <f>ROUND(G19/48-1,2)</f>
        <v>1.38</v>
      </c>
    </row>
    <row r="20" spans="1:10" x14ac:dyDescent="0.25">
      <c r="A20" s="1" t="s">
        <v>16</v>
      </c>
      <c r="B20" s="1" t="s">
        <v>28</v>
      </c>
      <c r="C20" s="11"/>
      <c r="D20" s="11"/>
      <c r="E20" s="11">
        <v>83</v>
      </c>
      <c r="F20" s="11"/>
      <c r="G20" s="11">
        <f t="shared" si="0"/>
        <v>83</v>
      </c>
      <c r="H20" s="17">
        <f t="shared" si="1"/>
        <v>0.1</v>
      </c>
      <c r="I20" s="16">
        <f t="shared" si="2"/>
        <v>1E-3</v>
      </c>
      <c r="J20" s="16">
        <f>ROUND(G20/35-1,2)</f>
        <v>1.37</v>
      </c>
    </row>
    <row r="21" spans="1:10" x14ac:dyDescent="0.25">
      <c r="A21" s="1" t="s">
        <v>16</v>
      </c>
      <c r="B21" s="1" t="s">
        <v>29</v>
      </c>
      <c r="C21" s="11"/>
      <c r="D21" s="11"/>
      <c r="E21" s="11">
        <v>126</v>
      </c>
      <c r="F21" s="11"/>
      <c r="G21" s="11">
        <f t="shared" si="0"/>
        <v>126</v>
      </c>
      <c r="H21" s="17">
        <f t="shared" si="1"/>
        <v>0.15</v>
      </c>
      <c r="I21" s="16">
        <f t="shared" si="2"/>
        <v>1E-3</v>
      </c>
      <c r="J21" s="16">
        <f>ROUND(G21/92.92-1,2)</f>
        <v>0.36</v>
      </c>
    </row>
    <row r="22" spans="1:10" x14ac:dyDescent="0.25">
      <c r="A22" s="1" t="s">
        <v>16</v>
      </c>
      <c r="B22" s="1" t="s">
        <v>30</v>
      </c>
      <c r="C22" s="11"/>
      <c r="D22" s="11"/>
      <c r="E22" s="11">
        <v>31</v>
      </c>
      <c r="F22" s="11"/>
      <c r="G22" s="11">
        <f t="shared" si="0"/>
        <v>31</v>
      </c>
      <c r="H22" s="17">
        <f t="shared" si="1"/>
        <v>0.04</v>
      </c>
      <c r="I22" s="16">
        <f t="shared" si="2"/>
        <v>0</v>
      </c>
      <c r="J22" s="16">
        <f>ROUND(G22/71.43-1,2)</f>
        <v>-0.56999999999999995</v>
      </c>
    </row>
    <row r="23" spans="1:10" x14ac:dyDescent="0.25">
      <c r="A23" s="1" t="s">
        <v>16</v>
      </c>
      <c r="B23" s="1" t="s">
        <v>31</v>
      </c>
      <c r="C23" s="11"/>
      <c r="D23" s="11"/>
      <c r="E23" s="11">
        <v>172</v>
      </c>
      <c r="F23" s="11"/>
      <c r="G23" s="11">
        <f t="shared" si="0"/>
        <v>172</v>
      </c>
      <c r="H23" s="17">
        <f t="shared" si="1"/>
        <v>0.2</v>
      </c>
      <c r="I23" s="16">
        <f t="shared" si="2"/>
        <v>1E-3</v>
      </c>
      <c r="J23" s="16">
        <f>ROUND(G23/170.76-1,2)</f>
        <v>0.01</v>
      </c>
    </row>
    <row r="24" spans="1:10" x14ac:dyDescent="0.25">
      <c r="A24" s="1" t="s">
        <v>16</v>
      </c>
      <c r="B24" s="1" t="s">
        <v>32</v>
      </c>
      <c r="C24" s="11"/>
      <c r="D24" s="11"/>
      <c r="E24" s="11">
        <v>74</v>
      </c>
      <c r="F24" s="11"/>
      <c r="G24" s="11">
        <f t="shared" si="0"/>
        <v>74</v>
      </c>
      <c r="H24" s="17">
        <f t="shared" si="1"/>
        <v>0.09</v>
      </c>
      <c r="I24" s="16">
        <f t="shared" si="2"/>
        <v>0</v>
      </c>
      <c r="J24" s="16"/>
    </row>
    <row r="25" spans="1:10" x14ac:dyDescent="0.25">
      <c r="A25" s="1" t="s">
        <v>16</v>
      </c>
      <c r="B25" s="1" t="s">
        <v>33</v>
      </c>
      <c r="C25" s="11"/>
      <c r="D25" s="11"/>
      <c r="E25" s="11">
        <v>73</v>
      </c>
      <c r="F25" s="11"/>
      <c r="G25" s="11">
        <f t="shared" si="0"/>
        <v>73</v>
      </c>
      <c r="H25" s="17">
        <f t="shared" si="1"/>
        <v>0.09</v>
      </c>
      <c r="I25" s="16">
        <f t="shared" si="2"/>
        <v>0</v>
      </c>
      <c r="J25" s="16"/>
    </row>
    <row r="26" spans="1:10" x14ac:dyDescent="0.25">
      <c r="A26" s="1" t="s">
        <v>16</v>
      </c>
      <c r="B26" s="1" t="s">
        <v>34</v>
      </c>
      <c r="C26" s="11"/>
      <c r="D26" s="11"/>
      <c r="E26" s="11">
        <v>250</v>
      </c>
      <c r="F26" s="11"/>
      <c r="G26" s="11">
        <f t="shared" si="0"/>
        <v>250</v>
      </c>
      <c r="H26" s="17">
        <f t="shared" si="1"/>
        <v>0.3</v>
      </c>
      <c r="I26" s="16">
        <f t="shared" si="2"/>
        <v>2E-3</v>
      </c>
      <c r="J26" s="16">
        <f>ROUND(G26/37.86-1,2)</f>
        <v>5.6</v>
      </c>
    </row>
    <row r="27" spans="1:10" x14ac:dyDescent="0.25">
      <c r="A27" s="1" t="s">
        <v>16</v>
      </c>
      <c r="B27" s="1" t="s">
        <v>35</v>
      </c>
      <c r="C27" s="11"/>
      <c r="D27" s="11"/>
      <c r="E27" s="11">
        <v>16102</v>
      </c>
      <c r="F27" s="11"/>
      <c r="G27" s="11">
        <f t="shared" si="0"/>
        <v>16102</v>
      </c>
      <c r="H27" s="17">
        <f t="shared" si="1"/>
        <v>19.03</v>
      </c>
      <c r="I27" s="16">
        <f t="shared" si="2"/>
        <v>0.108</v>
      </c>
      <c r="J27" s="16">
        <f>ROUND(G27/8939.83-1,2)</f>
        <v>0.8</v>
      </c>
    </row>
    <row r="28" spans="1:10" x14ac:dyDescent="0.25">
      <c r="A28" s="1" t="s">
        <v>16</v>
      </c>
      <c r="B28" s="1" t="s">
        <v>36</v>
      </c>
      <c r="C28" s="11"/>
      <c r="D28" s="11"/>
      <c r="E28" s="11">
        <v>964</v>
      </c>
      <c r="F28" s="11"/>
      <c r="G28" s="11">
        <f t="shared" si="0"/>
        <v>964</v>
      </c>
      <c r="H28" s="17">
        <f t="shared" si="1"/>
        <v>1.1399999999999999</v>
      </c>
      <c r="I28" s="16">
        <f t="shared" si="2"/>
        <v>6.0000000000000001E-3</v>
      </c>
      <c r="J28" s="16">
        <f>ROUND(G28/308.28-1,2)</f>
        <v>2.13</v>
      </c>
    </row>
    <row r="29" spans="1:10" x14ac:dyDescent="0.25">
      <c r="A29" s="1" t="s">
        <v>16</v>
      </c>
      <c r="B29" s="1" t="s">
        <v>37</v>
      </c>
      <c r="C29" s="11"/>
      <c r="D29" s="11"/>
      <c r="E29" s="11">
        <v>4825</v>
      </c>
      <c r="F29" s="11"/>
      <c r="G29" s="11">
        <f t="shared" si="0"/>
        <v>4825</v>
      </c>
      <c r="H29" s="17">
        <f t="shared" si="1"/>
        <v>5.7</v>
      </c>
      <c r="I29" s="16">
        <f t="shared" si="2"/>
        <v>3.2000000000000001E-2</v>
      </c>
      <c r="J29" s="16">
        <f>ROUND(G29/1668.56-1,2)</f>
        <v>1.89</v>
      </c>
    </row>
    <row r="30" spans="1:10" x14ac:dyDescent="0.25">
      <c r="A30" s="1" t="s">
        <v>16</v>
      </c>
      <c r="B30" s="1" t="s">
        <v>38</v>
      </c>
      <c r="C30" s="11"/>
      <c r="D30" s="11"/>
      <c r="E30" s="11">
        <v>8492</v>
      </c>
      <c r="F30" s="11"/>
      <c r="G30" s="11">
        <f t="shared" si="0"/>
        <v>8492</v>
      </c>
      <c r="H30" s="17">
        <f t="shared" si="1"/>
        <v>10.039999999999999</v>
      </c>
      <c r="I30" s="16">
        <f t="shared" si="2"/>
        <v>5.7000000000000002E-2</v>
      </c>
      <c r="J30" s="16">
        <f>ROUND(G30/4520.27-1,2)</f>
        <v>0.88</v>
      </c>
    </row>
    <row r="31" spans="1:10" x14ac:dyDescent="0.25">
      <c r="A31" s="1" t="s">
        <v>16</v>
      </c>
      <c r="B31" s="1" t="s">
        <v>39</v>
      </c>
      <c r="C31" s="11"/>
      <c r="D31" s="11"/>
      <c r="E31" s="11"/>
      <c r="F31" s="11"/>
      <c r="G31" s="11">
        <f t="shared" si="0"/>
        <v>0</v>
      </c>
      <c r="H31" s="17">
        <f t="shared" si="1"/>
        <v>0</v>
      </c>
      <c r="I31" s="16">
        <f t="shared" si="2"/>
        <v>0</v>
      </c>
      <c r="J31" s="16">
        <f>ROUND(G31/15.95-1,2)</f>
        <v>-1</v>
      </c>
    </row>
    <row r="32" spans="1:10" x14ac:dyDescent="0.25">
      <c r="A32" s="1" t="s">
        <v>16</v>
      </c>
      <c r="B32" s="1" t="s">
        <v>40</v>
      </c>
      <c r="C32" s="11"/>
      <c r="D32" s="11"/>
      <c r="E32" s="11"/>
      <c r="F32" s="11"/>
      <c r="G32" s="11">
        <f t="shared" si="0"/>
        <v>0</v>
      </c>
      <c r="H32" s="17">
        <f t="shared" si="1"/>
        <v>0</v>
      </c>
      <c r="I32" s="16">
        <f t="shared" si="2"/>
        <v>0</v>
      </c>
      <c r="J32" s="16">
        <f>ROUND(G32/498.58-1,2)</f>
        <v>-1</v>
      </c>
    </row>
    <row r="33" spans="1:10" x14ac:dyDescent="0.25">
      <c r="A33" s="1" t="s">
        <v>16</v>
      </c>
      <c r="B33" s="1" t="s">
        <v>41</v>
      </c>
      <c r="C33" s="11"/>
      <c r="D33" s="11"/>
      <c r="E33" s="11"/>
      <c r="F33" s="11"/>
      <c r="G33" s="11">
        <f t="shared" si="0"/>
        <v>0</v>
      </c>
      <c r="H33" s="17">
        <f t="shared" si="1"/>
        <v>0</v>
      </c>
      <c r="I33" s="16">
        <f t="shared" si="2"/>
        <v>0</v>
      </c>
      <c r="J33" s="16">
        <f>ROUND(G33/203.01-1,2)</f>
        <v>-1</v>
      </c>
    </row>
    <row r="34" spans="1:10" x14ac:dyDescent="0.25">
      <c r="A34" s="1" t="s">
        <v>16</v>
      </c>
      <c r="B34" s="1" t="s">
        <v>42</v>
      </c>
      <c r="C34" s="11"/>
      <c r="D34" s="11"/>
      <c r="E34" s="11"/>
      <c r="F34" s="11"/>
      <c r="G34" s="11">
        <f t="shared" si="0"/>
        <v>0</v>
      </c>
      <c r="H34" s="17">
        <f t="shared" si="1"/>
        <v>0</v>
      </c>
      <c r="I34" s="16">
        <f t="shared" si="2"/>
        <v>0</v>
      </c>
      <c r="J34" s="16">
        <f>ROUND(G34/544.95-1,2)</f>
        <v>-1</v>
      </c>
    </row>
    <row r="35" spans="1:10" x14ac:dyDescent="0.25">
      <c r="A35" s="1" t="s">
        <v>16</v>
      </c>
      <c r="B35" s="1" t="s">
        <v>43</v>
      </c>
      <c r="C35" s="11"/>
      <c r="D35" s="11"/>
      <c r="E35" s="11"/>
      <c r="F35" s="11"/>
      <c r="G35" s="11">
        <f t="shared" si="0"/>
        <v>0</v>
      </c>
      <c r="H35" s="17">
        <f t="shared" si="1"/>
        <v>0</v>
      </c>
      <c r="I35" s="16">
        <f t="shared" si="2"/>
        <v>0</v>
      </c>
      <c r="J35" s="16"/>
    </row>
    <row r="36" spans="1:10" x14ac:dyDescent="0.25">
      <c r="A36" s="1" t="s">
        <v>44</v>
      </c>
      <c r="B36" s="1" t="s">
        <v>45</v>
      </c>
      <c r="C36" s="11">
        <v>28110</v>
      </c>
      <c r="D36" s="11"/>
      <c r="E36" s="11"/>
      <c r="F36" s="11"/>
      <c r="G36" s="11">
        <f t="shared" si="0"/>
        <v>28110</v>
      </c>
      <c r="H36" s="17">
        <f t="shared" si="1"/>
        <v>33.229999999999997</v>
      </c>
      <c r="I36" s="16">
        <f t="shared" si="2"/>
        <v>0.189</v>
      </c>
      <c r="J36" s="16">
        <f>ROUND(G36/26920-1,2)</f>
        <v>0.04</v>
      </c>
    </row>
    <row r="37" spans="1:10" x14ac:dyDescent="0.25">
      <c r="A37" s="1" t="s">
        <v>44</v>
      </c>
      <c r="B37" s="1" t="s">
        <v>46</v>
      </c>
      <c r="C37" s="11"/>
      <c r="D37" s="11"/>
      <c r="E37" s="11">
        <v>12054</v>
      </c>
      <c r="F37" s="11"/>
      <c r="G37" s="11">
        <f t="shared" si="0"/>
        <v>12054</v>
      </c>
      <c r="H37" s="17">
        <f t="shared" si="1"/>
        <v>14.25</v>
      </c>
      <c r="I37" s="16">
        <f t="shared" si="2"/>
        <v>8.1000000000000003E-2</v>
      </c>
      <c r="J37" s="16">
        <f>ROUND(G37/10106.92-1,2)</f>
        <v>0.19</v>
      </c>
    </row>
    <row r="38" spans="1:10" x14ac:dyDescent="0.25">
      <c r="A38" s="1" t="s">
        <v>44</v>
      </c>
      <c r="B38" s="1" t="s">
        <v>47</v>
      </c>
      <c r="C38" s="11"/>
      <c r="D38" s="11"/>
      <c r="E38" s="11"/>
      <c r="F38" s="11"/>
      <c r="G38" s="11">
        <f t="shared" si="0"/>
        <v>0</v>
      </c>
      <c r="H38" s="17">
        <f t="shared" si="1"/>
        <v>0</v>
      </c>
      <c r="I38" s="16">
        <f t="shared" si="2"/>
        <v>0</v>
      </c>
      <c r="J38" s="16"/>
    </row>
    <row r="39" spans="1:10" x14ac:dyDescent="0.25">
      <c r="A39" s="1" t="s">
        <v>48</v>
      </c>
      <c r="B39" s="1" t="s">
        <v>49</v>
      </c>
      <c r="C39" s="11"/>
      <c r="D39" s="11"/>
      <c r="E39" s="11"/>
      <c r="F39" s="11"/>
      <c r="G39" s="11">
        <f t="shared" si="0"/>
        <v>0</v>
      </c>
      <c r="H39" s="17">
        <f t="shared" si="1"/>
        <v>0</v>
      </c>
      <c r="I39" s="16">
        <f t="shared" si="2"/>
        <v>0</v>
      </c>
      <c r="J39" s="16"/>
    </row>
    <row r="40" spans="1:10" x14ac:dyDescent="0.25">
      <c r="A40" s="1" t="s">
        <v>48</v>
      </c>
      <c r="B40" s="1" t="s">
        <v>50</v>
      </c>
      <c r="C40" s="11"/>
      <c r="D40" s="11"/>
      <c r="E40" s="11"/>
      <c r="F40" s="11"/>
      <c r="G40" s="11">
        <f t="shared" si="0"/>
        <v>0</v>
      </c>
      <c r="H40" s="17">
        <f t="shared" si="1"/>
        <v>0</v>
      </c>
      <c r="I40" s="16">
        <f t="shared" si="2"/>
        <v>0</v>
      </c>
      <c r="J40" s="16"/>
    </row>
    <row r="41" spans="1:10" x14ac:dyDescent="0.25">
      <c r="A41" s="1" t="s">
        <v>48</v>
      </c>
      <c r="B41" s="1" t="s">
        <v>51</v>
      </c>
      <c r="C41" s="11"/>
      <c r="D41" s="11"/>
      <c r="E41" s="11"/>
      <c r="F41" s="11"/>
      <c r="G41" s="11">
        <f t="shared" si="0"/>
        <v>0</v>
      </c>
      <c r="H41" s="17">
        <f t="shared" si="1"/>
        <v>0</v>
      </c>
      <c r="I41" s="16">
        <f t="shared" si="2"/>
        <v>0</v>
      </c>
      <c r="J41" s="16"/>
    </row>
    <row r="42" spans="1:10" x14ac:dyDescent="0.25">
      <c r="A42" s="21" t="s">
        <v>12</v>
      </c>
      <c r="B42" s="21"/>
      <c r="C42" s="12">
        <f t="shared" ref="C42:H42" si="3">SUM(C8:C41)</f>
        <v>83880</v>
      </c>
      <c r="D42" s="12">
        <f t="shared" si="3"/>
        <v>0</v>
      </c>
      <c r="E42" s="12">
        <f t="shared" si="3"/>
        <v>65232</v>
      </c>
      <c r="F42" s="12">
        <f t="shared" si="3"/>
        <v>0</v>
      </c>
      <c r="G42" s="12">
        <f t="shared" si="3"/>
        <v>149112</v>
      </c>
      <c r="H42" s="15">
        <f t="shared" si="3"/>
        <v>176.26</v>
      </c>
      <c r="I42" s="18"/>
      <c r="J42" s="18"/>
    </row>
    <row r="43" spans="1:10" x14ac:dyDescent="0.25">
      <c r="A43" s="21" t="s">
        <v>14</v>
      </c>
      <c r="B43" s="21"/>
      <c r="C43" s="13">
        <f>ROUND(C42/G42,2)</f>
        <v>0.56000000000000005</v>
      </c>
      <c r="D43" s="13">
        <f>ROUND(D42/G42,2)</f>
        <v>0</v>
      </c>
      <c r="E43" s="13">
        <f>ROUND(E42/G42,2)</f>
        <v>0.44</v>
      </c>
      <c r="F43" s="13">
        <f>ROUND(F42/G42,2)</f>
        <v>0</v>
      </c>
      <c r="G43" s="14"/>
      <c r="H43" s="14"/>
      <c r="I43" s="18"/>
      <c r="J43" s="18"/>
    </row>
    <row r="44" spans="1:10" x14ac:dyDescent="0.25">
      <c r="A44" s="2" t="s">
        <v>52</v>
      </c>
      <c r="B44" s="2"/>
      <c r="C44" s="14"/>
      <c r="D44" s="14"/>
      <c r="E44" s="14"/>
      <c r="F44" s="14"/>
      <c r="G44" s="14"/>
      <c r="H44" s="14"/>
      <c r="I44" s="18"/>
      <c r="J44" s="18"/>
    </row>
    <row r="45" spans="1:10" x14ac:dyDescent="0.25">
      <c r="C45" s="9"/>
      <c r="D45" s="9"/>
      <c r="E45" s="9"/>
      <c r="F45" s="9"/>
      <c r="G45" s="9"/>
      <c r="H45" s="9"/>
      <c r="I45" s="10"/>
      <c r="J45" s="10"/>
    </row>
    <row r="46" spans="1:10" x14ac:dyDescent="0.25">
      <c r="C46" s="9"/>
      <c r="D46" s="9"/>
      <c r="E46" s="9"/>
      <c r="F46" s="9"/>
      <c r="G46" s="9"/>
      <c r="H46" s="9"/>
      <c r="I46" s="10"/>
      <c r="J46" s="10"/>
    </row>
    <row r="47" spans="1:10" x14ac:dyDescent="0.25">
      <c r="C47" s="9"/>
      <c r="D47" s="9"/>
      <c r="E47" s="9"/>
      <c r="F47" s="9"/>
      <c r="G47" s="9"/>
      <c r="H47" s="9"/>
      <c r="I47" s="10"/>
      <c r="J47" s="10"/>
    </row>
    <row r="48" spans="1:10" x14ac:dyDescent="0.25">
      <c r="A48" s="21" t="s">
        <v>53</v>
      </c>
      <c r="B48" s="21"/>
      <c r="C48" s="12" t="s">
        <v>8</v>
      </c>
      <c r="D48" s="12" t="s">
        <v>9</v>
      </c>
      <c r="E48" s="12" t="s">
        <v>10</v>
      </c>
      <c r="F48" s="12" t="s">
        <v>11</v>
      </c>
      <c r="G48" s="12" t="s">
        <v>12</v>
      </c>
      <c r="H48" s="15" t="s">
        <v>13</v>
      </c>
      <c r="I48" s="18"/>
      <c r="J48" s="18"/>
    </row>
    <row r="49" spans="1:10" x14ac:dyDescent="0.25">
      <c r="A49" s="20" t="s">
        <v>54</v>
      </c>
      <c r="B49" s="20"/>
      <c r="C49" s="11">
        <v>55770</v>
      </c>
      <c r="D49" s="11">
        <v>0</v>
      </c>
      <c r="E49" s="11">
        <v>53178</v>
      </c>
      <c r="F49" s="11">
        <v>0</v>
      </c>
      <c r="G49" s="11">
        <f>SUM(C49:F49)</f>
        <v>108948</v>
      </c>
      <c r="H49" s="17">
        <f>ROUND(G49/846,2)</f>
        <v>128.78</v>
      </c>
      <c r="I49" s="10"/>
      <c r="J49" s="10"/>
    </row>
    <row r="50" spans="1:10" x14ac:dyDescent="0.25">
      <c r="A50" s="20" t="s">
        <v>55</v>
      </c>
      <c r="B50" s="20"/>
      <c r="C50" s="11">
        <v>28110</v>
      </c>
      <c r="D50" s="11">
        <v>0</v>
      </c>
      <c r="E50" s="11">
        <v>12054</v>
      </c>
      <c r="F50" s="11">
        <v>0</v>
      </c>
      <c r="G50" s="11">
        <f>SUM(C50:F50)</f>
        <v>40164</v>
      </c>
      <c r="H50" s="17">
        <f>ROUND(G50/846,2)</f>
        <v>47.48</v>
      </c>
      <c r="I50" s="10"/>
      <c r="J50" s="10"/>
    </row>
    <row r="51" spans="1:10" x14ac:dyDescent="0.25">
      <c r="A51" s="20" t="s">
        <v>56</v>
      </c>
      <c r="B51" s="20"/>
      <c r="C51" s="11">
        <v>0</v>
      </c>
      <c r="D51" s="11">
        <v>0</v>
      </c>
      <c r="E51" s="11">
        <v>0</v>
      </c>
      <c r="F51" s="11">
        <v>0</v>
      </c>
      <c r="G51" s="11">
        <f>SUM(C51:F51)</f>
        <v>0</v>
      </c>
      <c r="H51" s="17">
        <f>ROUND(G51/846,2)</f>
        <v>0</v>
      </c>
      <c r="I51" s="10"/>
      <c r="J51" s="10"/>
    </row>
    <row r="52" spans="1:10" x14ac:dyDescent="0.25">
      <c r="C52" s="9"/>
      <c r="D52" s="9"/>
      <c r="E52" s="9"/>
      <c r="F52" s="9"/>
      <c r="G52" s="9"/>
      <c r="H52" s="9"/>
      <c r="I52" s="10"/>
      <c r="J52" s="10"/>
    </row>
    <row r="53" spans="1:10" x14ac:dyDescent="0.25">
      <c r="C53" s="9"/>
      <c r="D53" s="9"/>
      <c r="E53" s="9"/>
      <c r="F53" s="9"/>
      <c r="G53" s="9"/>
      <c r="H53" s="9"/>
      <c r="I53" s="10"/>
      <c r="J53" s="10"/>
    </row>
    <row r="54" spans="1:10" x14ac:dyDescent="0.25">
      <c r="C54" s="9"/>
      <c r="D54" s="9"/>
      <c r="E54" s="9"/>
      <c r="F54" s="9"/>
      <c r="G54" s="9"/>
      <c r="H54" s="9"/>
      <c r="I54" s="10"/>
      <c r="J54" s="10"/>
    </row>
    <row r="55" spans="1:10" x14ac:dyDescent="0.25">
      <c r="C55" s="9"/>
      <c r="D55" s="9"/>
      <c r="E55" s="9"/>
      <c r="F55" s="9"/>
      <c r="G55" s="9"/>
      <c r="H55" s="9"/>
      <c r="I55" s="10"/>
      <c r="J55" s="10"/>
    </row>
    <row r="56" spans="1:10" x14ac:dyDescent="0.25">
      <c r="A56" s="21" t="s">
        <v>57</v>
      </c>
      <c r="B56" s="21"/>
      <c r="C56" s="15" t="s">
        <v>2</v>
      </c>
      <c r="D56" s="15">
        <v>2023</v>
      </c>
      <c r="E56" s="15" t="s">
        <v>59</v>
      </c>
      <c r="F56" s="14"/>
      <c r="G56" s="15" t="s">
        <v>60</v>
      </c>
      <c r="H56" s="15" t="s">
        <v>2</v>
      </c>
      <c r="I56" s="13" t="s">
        <v>61</v>
      </c>
      <c r="J56" s="13" t="s">
        <v>59</v>
      </c>
    </row>
    <row r="57" spans="1:10" x14ac:dyDescent="0.25">
      <c r="A57" s="20" t="s">
        <v>58</v>
      </c>
      <c r="B57" s="20"/>
      <c r="C57" s="16">
        <f>ROUND(0.7832, 4)</f>
        <v>0.78320000000000001</v>
      </c>
      <c r="D57" s="16">
        <f>ROUND(0.7315, 4)</f>
        <v>0.73150000000000004</v>
      </c>
      <c r="E57" s="16">
        <f>ROUND(0.777, 4)</f>
        <v>0.77700000000000002</v>
      </c>
      <c r="F57" s="9"/>
      <c r="G57" s="15" t="s">
        <v>62</v>
      </c>
      <c r="H57" s="22" t="s">
        <v>63</v>
      </c>
      <c r="I57" s="24" t="s">
        <v>64</v>
      </c>
      <c r="J57" s="24" t="s">
        <v>65</v>
      </c>
    </row>
    <row r="58" spans="1:10" x14ac:dyDescent="0.25">
      <c r="A58" s="20" t="s">
        <v>66</v>
      </c>
      <c r="B58" s="20"/>
      <c r="C58" s="16">
        <f>ROUND(0.7427, 4)</f>
        <v>0.74270000000000003</v>
      </c>
      <c r="D58" s="16">
        <f>ROUND(0.6866, 4)</f>
        <v>0.68659999999999999</v>
      </c>
      <c r="E58" s="16">
        <f>ROUND(0.7608, 4)</f>
        <v>0.76080000000000003</v>
      </c>
      <c r="F58" s="9"/>
      <c r="G58" s="15" t="s">
        <v>67</v>
      </c>
      <c r="H58" s="23"/>
      <c r="I58" s="25"/>
      <c r="J58" s="25"/>
    </row>
    <row r="59" spans="1:10" x14ac:dyDescent="0.25">
      <c r="C59" s="9"/>
      <c r="D59" s="9"/>
      <c r="E59" s="9"/>
      <c r="F59" s="9"/>
      <c r="G59" s="9"/>
      <c r="H59" s="9"/>
      <c r="I59" s="10"/>
      <c r="J59" s="10"/>
    </row>
    <row r="60" spans="1:10" x14ac:dyDescent="0.25">
      <c r="C60" s="9"/>
      <c r="D60" s="9"/>
      <c r="E60" s="9"/>
      <c r="F60" s="9"/>
      <c r="G60" s="9"/>
      <c r="H60" s="9"/>
      <c r="I60" s="10"/>
      <c r="J60" s="10"/>
    </row>
    <row r="61" spans="1:10" x14ac:dyDescent="0.25">
      <c r="C61" s="9"/>
      <c r="D61" s="9"/>
      <c r="E61" s="9"/>
      <c r="F61" s="9"/>
      <c r="G61" s="9"/>
      <c r="H61" s="9"/>
      <c r="I61" s="10"/>
      <c r="J61" s="10"/>
    </row>
    <row r="62" spans="1:10" x14ac:dyDescent="0.25">
      <c r="A62" s="21" t="s">
        <v>68</v>
      </c>
      <c r="B62" s="21"/>
      <c r="C62" s="15" t="s">
        <v>2</v>
      </c>
      <c r="D62" s="15" t="s">
        <v>69</v>
      </c>
      <c r="E62" s="15" t="s">
        <v>70</v>
      </c>
      <c r="F62" s="15" t="s">
        <v>71</v>
      </c>
      <c r="G62" s="15" t="s">
        <v>72</v>
      </c>
      <c r="H62" s="14"/>
      <c r="I62" s="18"/>
      <c r="J62" s="18"/>
    </row>
    <row r="63" spans="1:10" x14ac:dyDescent="0.25">
      <c r="A63" s="20" t="s">
        <v>73</v>
      </c>
      <c r="B63" s="20"/>
      <c r="C63" s="17">
        <v>33.229999999999997</v>
      </c>
      <c r="D63" s="17">
        <v>73.239999999999995</v>
      </c>
      <c r="E63" s="17">
        <v>81.84</v>
      </c>
      <c r="F63" s="17">
        <v>48</v>
      </c>
      <c r="G63" s="17">
        <f>12/4*C63</f>
        <v>99.69</v>
      </c>
      <c r="H63" s="9"/>
      <c r="I63" s="10"/>
      <c r="J63" s="10"/>
    </row>
    <row r="64" spans="1:10" x14ac:dyDescent="0.25">
      <c r="A64" s="20" t="s">
        <v>74</v>
      </c>
      <c r="B64" s="20"/>
      <c r="C64" s="17">
        <v>18.63</v>
      </c>
      <c r="D64" s="17">
        <v>44.91</v>
      </c>
      <c r="E64" s="17">
        <v>55.63</v>
      </c>
      <c r="F64" s="17">
        <v>55.33</v>
      </c>
      <c r="G64" s="17">
        <f>12/4*C64</f>
        <v>55.89</v>
      </c>
      <c r="H64" s="9"/>
      <c r="I64" s="10"/>
      <c r="J64" s="10"/>
    </row>
    <row r="65" spans="1:10" x14ac:dyDescent="0.25">
      <c r="A65" s="20" t="s">
        <v>75</v>
      </c>
      <c r="B65" s="20"/>
      <c r="C65" s="17">
        <v>128.78</v>
      </c>
      <c r="D65" s="17">
        <v>265.24</v>
      </c>
      <c r="E65" s="17">
        <v>257.88</v>
      </c>
      <c r="F65" s="17">
        <v>242.78</v>
      </c>
      <c r="G65" s="17">
        <f>12/4*C65</f>
        <v>386.34000000000003</v>
      </c>
      <c r="H65" s="9"/>
      <c r="I65" s="10"/>
      <c r="J65" s="10"/>
    </row>
    <row r="66" spans="1:10" x14ac:dyDescent="0.25">
      <c r="A66" s="20" t="s">
        <v>76</v>
      </c>
      <c r="B66" s="20"/>
      <c r="C66" s="17">
        <v>47.48</v>
      </c>
      <c r="D66" s="17">
        <v>92.63</v>
      </c>
      <c r="E66" s="17">
        <v>103.14</v>
      </c>
      <c r="F66" s="17">
        <v>68.31</v>
      </c>
      <c r="G66" s="17">
        <f>12/4*C66</f>
        <v>142.44</v>
      </c>
      <c r="H66" s="9"/>
      <c r="I66" s="10"/>
      <c r="J66" s="10"/>
    </row>
    <row r="67" spans="1:10" x14ac:dyDescent="0.25">
      <c r="C67" s="9"/>
      <c r="D67" s="9"/>
      <c r="E67" s="9"/>
      <c r="F67" s="9"/>
      <c r="G67" s="9"/>
      <c r="H67" s="9"/>
      <c r="I67" s="10"/>
      <c r="J67" s="10"/>
    </row>
    <row r="68" spans="1:10" x14ac:dyDescent="0.25">
      <c r="C68" s="9"/>
      <c r="D68" s="9"/>
      <c r="E68" s="9"/>
      <c r="F68" s="9"/>
      <c r="G68" s="9"/>
      <c r="H68" s="9"/>
      <c r="I68" s="10"/>
      <c r="J68" s="10"/>
    </row>
    <row r="69" spans="1:10" x14ac:dyDescent="0.25">
      <c r="A69" s="19" t="s">
        <v>60</v>
      </c>
      <c r="B69" s="26"/>
    </row>
    <row r="70" spans="1:10" x14ac:dyDescent="0.25">
      <c r="A70" s="3" t="s">
        <v>77</v>
      </c>
      <c r="B70" s="1" t="s">
        <v>78</v>
      </c>
    </row>
    <row r="71" spans="1:10" x14ac:dyDescent="0.25">
      <c r="A71" s="3" t="s">
        <v>70</v>
      </c>
      <c r="B71" s="1" t="s">
        <v>79</v>
      </c>
    </row>
    <row r="72" spans="1:10" x14ac:dyDescent="0.25">
      <c r="A72" s="3" t="s">
        <v>71</v>
      </c>
      <c r="B72" s="1" t="s">
        <v>80</v>
      </c>
    </row>
    <row r="73" spans="1:10" x14ac:dyDescent="0.25">
      <c r="A73" s="3" t="s">
        <v>72</v>
      </c>
      <c r="B73" s="1" t="s">
        <v>81</v>
      </c>
    </row>
  </sheetData>
  <mergeCells count="19">
    <mergeCell ref="A64:B64"/>
    <mergeCell ref="A65:B65"/>
    <mergeCell ref="A66:B66"/>
    <mergeCell ref="A69:B69"/>
    <mergeCell ref="I57:I58"/>
    <mergeCell ref="J57:J58"/>
    <mergeCell ref="A58:B58"/>
    <mergeCell ref="A62:B62"/>
    <mergeCell ref="A63:B63"/>
    <mergeCell ref="A50:B50"/>
    <mergeCell ref="A51:B51"/>
    <mergeCell ref="A56:B56"/>
    <mergeCell ref="A57:B57"/>
    <mergeCell ref="H57:H58"/>
    <mergeCell ref="C7:G7"/>
    <mergeCell ref="A42:B42"/>
    <mergeCell ref="A43:B43"/>
    <mergeCell ref="A48:B48"/>
    <mergeCell ref="A49:B49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J78"/>
  <sheetViews>
    <sheetView topLeftCell="A30" workbookViewId="0">
      <selection activeCell="C9" sqref="C9:J72"/>
    </sheetView>
  </sheetViews>
  <sheetFormatPr defaultRowHeight="15" x14ac:dyDescent="0.25"/>
  <cols>
    <col min="1" max="1" width="38.85546875" bestFit="1" customWidth="1"/>
    <col min="2" max="2" width="79" bestFit="1" customWidth="1"/>
    <col min="3" max="3" width="14" bestFit="1" customWidth="1"/>
    <col min="4" max="4" width="29.42578125" bestFit="1" customWidth="1"/>
    <col min="5" max="5" width="16.42578125" bestFit="1" customWidth="1"/>
    <col min="6" max="6" width="10.5703125" bestFit="1" customWidth="1"/>
    <col min="7" max="7" width="68.28515625" bestFit="1" customWidth="1"/>
    <col min="8" max="9" width="20" bestFit="1" customWidth="1"/>
    <col min="10" max="10" width="30.5703125" bestFit="1" customWidth="1"/>
  </cols>
  <sheetData>
    <row r="2" spans="1:10" ht="18.75" x14ac:dyDescent="0.3">
      <c r="A2" s="3" t="s">
        <v>0</v>
      </c>
      <c r="B2" s="4" t="s">
        <v>112</v>
      </c>
    </row>
    <row r="3" spans="1:10" x14ac:dyDescent="0.25">
      <c r="A3" s="3" t="s">
        <v>2</v>
      </c>
      <c r="B3" s="1" t="s">
        <v>3</v>
      </c>
    </row>
    <row r="4" spans="1:10" x14ac:dyDescent="0.25">
      <c r="A4" s="3" t="s">
        <v>4</v>
      </c>
      <c r="B4" s="1">
        <v>7869</v>
      </c>
    </row>
    <row r="7" spans="1:10" x14ac:dyDescent="0.25">
      <c r="C7" s="19" t="s">
        <v>5</v>
      </c>
      <c r="D7" s="20"/>
      <c r="E7" s="20"/>
      <c r="F7" s="20"/>
      <c r="G7" s="20"/>
    </row>
    <row r="8" spans="1:10" x14ac:dyDescent="0.25">
      <c r="A8" s="3" t="s">
        <v>6</v>
      </c>
      <c r="B8" s="3" t="s">
        <v>7</v>
      </c>
      <c r="C8" s="3" t="s">
        <v>8</v>
      </c>
      <c r="D8" s="3" t="s">
        <v>9</v>
      </c>
      <c r="E8" s="3" t="s">
        <v>10</v>
      </c>
      <c r="F8" s="3" t="s">
        <v>11</v>
      </c>
      <c r="G8" s="3" t="s">
        <v>12</v>
      </c>
      <c r="H8" s="3" t="s">
        <v>13</v>
      </c>
      <c r="I8" s="3" t="s">
        <v>14</v>
      </c>
      <c r="J8" s="3" t="s">
        <v>15</v>
      </c>
    </row>
    <row r="9" spans="1:10" x14ac:dyDescent="0.25">
      <c r="A9" s="1" t="s">
        <v>16</v>
      </c>
      <c r="B9" s="1" t="s">
        <v>17</v>
      </c>
      <c r="C9" s="11"/>
      <c r="D9" s="11"/>
      <c r="E9" s="11">
        <v>62</v>
      </c>
      <c r="F9" s="11"/>
      <c r="G9" s="11">
        <f t="shared" ref="G9:G46" si="0">SUM(C9:F9)</f>
        <v>62</v>
      </c>
      <c r="H9" s="17">
        <f t="shared" ref="H9:H46" si="1">ROUND(G9/7869,2)</f>
        <v>0.01</v>
      </c>
      <c r="I9" s="16">
        <f t="shared" ref="I9:I46" si="2">ROUND(G9/$G$47,3)</f>
        <v>0</v>
      </c>
      <c r="J9" s="16">
        <f>ROUND(G9/65-1,2)</f>
        <v>-0.05</v>
      </c>
    </row>
    <row r="10" spans="1:10" x14ac:dyDescent="0.25">
      <c r="A10" s="1" t="s">
        <v>16</v>
      </c>
      <c r="B10" s="1" t="s">
        <v>90</v>
      </c>
      <c r="C10" s="11"/>
      <c r="D10" s="11"/>
      <c r="E10" s="11"/>
      <c r="F10" s="11">
        <v>5980</v>
      </c>
      <c r="G10" s="11">
        <f t="shared" si="0"/>
        <v>5980</v>
      </c>
      <c r="H10" s="17">
        <f t="shared" si="1"/>
        <v>0.76</v>
      </c>
      <c r="I10" s="16">
        <f t="shared" si="2"/>
        <v>7.0000000000000001E-3</v>
      </c>
      <c r="J10" s="16">
        <f>ROUND(G10/7400-1,2)</f>
        <v>-0.19</v>
      </c>
    </row>
    <row r="11" spans="1:10" x14ac:dyDescent="0.25">
      <c r="A11" s="1" t="s">
        <v>16</v>
      </c>
      <c r="B11" s="1" t="s">
        <v>19</v>
      </c>
      <c r="C11" s="11">
        <v>76980</v>
      </c>
      <c r="D11" s="11"/>
      <c r="E11" s="11">
        <v>2380</v>
      </c>
      <c r="F11" s="11"/>
      <c r="G11" s="11">
        <f t="shared" si="0"/>
        <v>79360</v>
      </c>
      <c r="H11" s="17">
        <f t="shared" si="1"/>
        <v>10.09</v>
      </c>
      <c r="I11" s="16">
        <f t="shared" si="2"/>
        <v>8.7999999999999995E-2</v>
      </c>
      <c r="J11" s="16">
        <f>ROUND(G11/75920-1,2)</f>
        <v>0.05</v>
      </c>
    </row>
    <row r="12" spans="1:10" x14ac:dyDescent="0.25">
      <c r="A12" s="1" t="s">
        <v>16</v>
      </c>
      <c r="B12" s="1" t="s">
        <v>20</v>
      </c>
      <c r="C12" s="11">
        <v>86560</v>
      </c>
      <c r="D12" s="11"/>
      <c r="E12" s="11"/>
      <c r="F12" s="11"/>
      <c r="G12" s="11">
        <f t="shared" si="0"/>
        <v>86560</v>
      </c>
      <c r="H12" s="17">
        <f t="shared" si="1"/>
        <v>11</v>
      </c>
      <c r="I12" s="16">
        <f t="shared" si="2"/>
        <v>9.6000000000000002E-2</v>
      </c>
      <c r="J12" s="16">
        <f>ROUND(G12/83800-1,2)</f>
        <v>0.03</v>
      </c>
    </row>
    <row r="13" spans="1:10" x14ac:dyDescent="0.25">
      <c r="A13" s="1" t="s">
        <v>16</v>
      </c>
      <c r="B13" s="1" t="s">
        <v>21</v>
      </c>
      <c r="C13" s="11"/>
      <c r="D13" s="11"/>
      <c r="E13" s="11">
        <v>197</v>
      </c>
      <c r="F13" s="11"/>
      <c r="G13" s="11">
        <f t="shared" si="0"/>
        <v>197</v>
      </c>
      <c r="H13" s="17">
        <f t="shared" si="1"/>
        <v>0.03</v>
      </c>
      <c r="I13" s="16">
        <f t="shared" si="2"/>
        <v>0</v>
      </c>
      <c r="J13" s="16">
        <f>ROUND(G13/65-1,2)</f>
        <v>2.0299999999999998</v>
      </c>
    </row>
    <row r="14" spans="1:10" x14ac:dyDescent="0.25">
      <c r="A14" s="1" t="s">
        <v>16</v>
      </c>
      <c r="B14" s="1" t="s">
        <v>22</v>
      </c>
      <c r="C14" s="11"/>
      <c r="D14" s="11"/>
      <c r="E14" s="11">
        <v>800</v>
      </c>
      <c r="F14" s="11"/>
      <c r="G14" s="11">
        <f t="shared" si="0"/>
        <v>800</v>
      </c>
      <c r="H14" s="17">
        <f t="shared" si="1"/>
        <v>0.1</v>
      </c>
      <c r="I14" s="16">
        <f t="shared" si="2"/>
        <v>1E-3</v>
      </c>
      <c r="J14" s="16">
        <f>ROUND(G14/1200-1,2)</f>
        <v>-0.33</v>
      </c>
    </row>
    <row r="15" spans="1:10" x14ac:dyDescent="0.25">
      <c r="A15" s="1" t="s">
        <v>16</v>
      </c>
      <c r="B15" s="1" t="s">
        <v>23</v>
      </c>
      <c r="C15" s="11"/>
      <c r="D15" s="11"/>
      <c r="E15" s="11">
        <v>45100</v>
      </c>
      <c r="F15" s="11"/>
      <c r="G15" s="11">
        <f t="shared" si="0"/>
        <v>45100</v>
      </c>
      <c r="H15" s="17">
        <f t="shared" si="1"/>
        <v>5.73</v>
      </c>
      <c r="I15" s="16">
        <f t="shared" si="2"/>
        <v>0.05</v>
      </c>
      <c r="J15" s="16">
        <f>ROUND(G15/32780-1,2)</f>
        <v>0.38</v>
      </c>
    </row>
    <row r="16" spans="1:10" x14ac:dyDescent="0.25">
      <c r="A16" s="1" t="s">
        <v>16</v>
      </c>
      <c r="B16" s="1" t="s">
        <v>24</v>
      </c>
      <c r="C16" s="11">
        <v>127340</v>
      </c>
      <c r="D16" s="11"/>
      <c r="E16" s="11">
        <v>8720</v>
      </c>
      <c r="F16" s="11"/>
      <c r="G16" s="11">
        <f t="shared" si="0"/>
        <v>136060</v>
      </c>
      <c r="H16" s="17">
        <f t="shared" si="1"/>
        <v>17.29</v>
      </c>
      <c r="I16" s="16">
        <f t="shared" si="2"/>
        <v>0.151</v>
      </c>
      <c r="J16" s="16">
        <f>ROUND(G16/130560-1,2)</f>
        <v>0.04</v>
      </c>
    </row>
    <row r="17" spans="1:10" x14ac:dyDescent="0.25">
      <c r="A17" s="1" t="s">
        <v>16</v>
      </c>
      <c r="B17" s="1" t="s">
        <v>25</v>
      </c>
      <c r="C17" s="11"/>
      <c r="D17" s="11"/>
      <c r="E17" s="11">
        <v>3380</v>
      </c>
      <c r="F17" s="11"/>
      <c r="G17" s="11">
        <f t="shared" si="0"/>
        <v>3380</v>
      </c>
      <c r="H17" s="17">
        <f t="shared" si="1"/>
        <v>0.43</v>
      </c>
      <c r="I17" s="16">
        <f t="shared" si="2"/>
        <v>4.0000000000000001E-3</v>
      </c>
      <c r="J17" s="16">
        <f>ROUND(G17/2670-1,2)</f>
        <v>0.27</v>
      </c>
    </row>
    <row r="18" spans="1:10" x14ac:dyDescent="0.25">
      <c r="A18" s="1" t="s">
        <v>16</v>
      </c>
      <c r="B18" s="1" t="s">
        <v>26</v>
      </c>
      <c r="C18" s="11">
        <v>177920</v>
      </c>
      <c r="D18" s="11"/>
      <c r="E18" s="11"/>
      <c r="F18" s="11"/>
      <c r="G18" s="11">
        <f t="shared" si="0"/>
        <v>177920</v>
      </c>
      <c r="H18" s="17">
        <f t="shared" si="1"/>
        <v>22.61</v>
      </c>
      <c r="I18" s="16">
        <f t="shared" si="2"/>
        <v>0.19800000000000001</v>
      </c>
      <c r="J18" s="16">
        <f>ROUND(G18/178000-1,2)</f>
        <v>0</v>
      </c>
    </row>
    <row r="19" spans="1:10" x14ac:dyDescent="0.25">
      <c r="A19" s="1" t="s">
        <v>16</v>
      </c>
      <c r="B19" s="1" t="s">
        <v>27</v>
      </c>
      <c r="C19" s="11"/>
      <c r="D19" s="11"/>
      <c r="E19" s="11">
        <v>784</v>
      </c>
      <c r="F19" s="11"/>
      <c r="G19" s="11">
        <f t="shared" si="0"/>
        <v>784</v>
      </c>
      <c r="H19" s="17">
        <f t="shared" si="1"/>
        <v>0.1</v>
      </c>
      <c r="I19" s="16">
        <f t="shared" si="2"/>
        <v>1E-3</v>
      </c>
      <c r="J19" s="16">
        <f>ROUND(G19/681-1,2)</f>
        <v>0.15</v>
      </c>
    </row>
    <row r="20" spans="1:10" x14ac:dyDescent="0.25">
      <c r="A20" s="1" t="s">
        <v>16</v>
      </c>
      <c r="B20" s="1" t="s">
        <v>28</v>
      </c>
      <c r="C20" s="11"/>
      <c r="D20" s="11"/>
      <c r="E20" s="11">
        <v>767</v>
      </c>
      <c r="F20" s="11"/>
      <c r="G20" s="11">
        <f t="shared" si="0"/>
        <v>767</v>
      </c>
      <c r="H20" s="17">
        <f t="shared" si="1"/>
        <v>0.1</v>
      </c>
      <c r="I20" s="16">
        <f t="shared" si="2"/>
        <v>1E-3</v>
      </c>
      <c r="J20" s="16">
        <f>ROUND(G20/673-1,2)</f>
        <v>0.14000000000000001</v>
      </c>
    </row>
    <row r="21" spans="1:10" x14ac:dyDescent="0.25">
      <c r="A21" s="1" t="s">
        <v>16</v>
      </c>
      <c r="B21" s="1" t="s">
        <v>29</v>
      </c>
      <c r="C21" s="11"/>
      <c r="D21" s="11"/>
      <c r="E21" s="11">
        <v>960</v>
      </c>
      <c r="F21" s="11"/>
      <c r="G21" s="11">
        <f t="shared" si="0"/>
        <v>960</v>
      </c>
      <c r="H21" s="17">
        <f t="shared" si="1"/>
        <v>0.12</v>
      </c>
      <c r="I21" s="16">
        <f t="shared" si="2"/>
        <v>1E-3</v>
      </c>
      <c r="J21" s="16">
        <f>ROUND(G21/840-1,2)</f>
        <v>0.14000000000000001</v>
      </c>
    </row>
    <row r="22" spans="1:10" x14ac:dyDescent="0.25">
      <c r="A22" s="1" t="s">
        <v>16</v>
      </c>
      <c r="B22" s="1" t="s">
        <v>30</v>
      </c>
      <c r="C22" s="11"/>
      <c r="D22" s="11"/>
      <c r="E22" s="11">
        <v>320</v>
      </c>
      <c r="F22" s="11"/>
      <c r="G22" s="11">
        <f t="shared" si="0"/>
        <v>320</v>
      </c>
      <c r="H22" s="17">
        <f t="shared" si="1"/>
        <v>0.04</v>
      </c>
      <c r="I22" s="16">
        <f t="shared" si="2"/>
        <v>0</v>
      </c>
      <c r="J22" s="16">
        <f>ROUND(G22/170-1,2)</f>
        <v>0.88</v>
      </c>
    </row>
    <row r="23" spans="1:10" x14ac:dyDescent="0.25">
      <c r="A23" s="1" t="s">
        <v>16</v>
      </c>
      <c r="B23" s="1" t="s">
        <v>31</v>
      </c>
      <c r="C23" s="11"/>
      <c r="D23" s="11"/>
      <c r="E23" s="11">
        <v>345</v>
      </c>
      <c r="F23" s="11"/>
      <c r="G23" s="11">
        <f t="shared" si="0"/>
        <v>345</v>
      </c>
      <c r="H23" s="17">
        <f t="shared" si="1"/>
        <v>0.04</v>
      </c>
      <c r="I23" s="16">
        <f t="shared" si="2"/>
        <v>0</v>
      </c>
      <c r="J23" s="16">
        <f>ROUND(G23/605-1,2)</f>
        <v>-0.43</v>
      </c>
    </row>
    <row r="24" spans="1:10" x14ac:dyDescent="0.25">
      <c r="A24" s="1" t="s">
        <v>16</v>
      </c>
      <c r="B24" s="1" t="s">
        <v>32</v>
      </c>
      <c r="C24" s="11"/>
      <c r="D24" s="11">
        <v>258</v>
      </c>
      <c r="E24" s="11"/>
      <c r="F24" s="11"/>
      <c r="G24" s="11">
        <f t="shared" si="0"/>
        <v>258</v>
      </c>
      <c r="H24" s="17">
        <f t="shared" si="1"/>
        <v>0.03</v>
      </c>
      <c r="I24" s="16">
        <f t="shared" si="2"/>
        <v>0</v>
      </c>
      <c r="J24" s="16">
        <f>ROUND(G24/257-1,2)</f>
        <v>0</v>
      </c>
    </row>
    <row r="25" spans="1:10" x14ac:dyDescent="0.25">
      <c r="A25" s="1" t="s">
        <v>16</v>
      </c>
      <c r="B25" s="1" t="s">
        <v>33</v>
      </c>
      <c r="C25" s="11"/>
      <c r="D25" s="11"/>
      <c r="E25" s="11">
        <v>270</v>
      </c>
      <c r="F25" s="11"/>
      <c r="G25" s="11">
        <f t="shared" si="0"/>
        <v>270</v>
      </c>
      <c r="H25" s="17">
        <f t="shared" si="1"/>
        <v>0.03</v>
      </c>
      <c r="I25" s="16">
        <f t="shared" si="2"/>
        <v>0</v>
      </c>
      <c r="J25" s="16">
        <f>ROUND(G25/670-1,2)</f>
        <v>-0.6</v>
      </c>
    </row>
    <row r="26" spans="1:10" x14ac:dyDescent="0.25">
      <c r="A26" s="1" t="s">
        <v>16</v>
      </c>
      <c r="B26" s="1" t="s">
        <v>35</v>
      </c>
      <c r="C26" s="11"/>
      <c r="D26" s="11"/>
      <c r="E26" s="11">
        <v>50660</v>
      </c>
      <c r="F26" s="11"/>
      <c r="G26" s="11">
        <f t="shared" si="0"/>
        <v>50660</v>
      </c>
      <c r="H26" s="17">
        <f t="shared" si="1"/>
        <v>6.44</v>
      </c>
      <c r="I26" s="16">
        <f t="shared" si="2"/>
        <v>5.6000000000000001E-2</v>
      </c>
      <c r="J26" s="16">
        <f>ROUND(G26/40670-1,2)</f>
        <v>0.25</v>
      </c>
    </row>
    <row r="27" spans="1:10" x14ac:dyDescent="0.25">
      <c r="A27" s="1" t="s">
        <v>16</v>
      </c>
      <c r="B27" s="1" t="s">
        <v>36</v>
      </c>
      <c r="C27" s="11"/>
      <c r="D27" s="11"/>
      <c r="E27" s="11">
        <v>2340</v>
      </c>
      <c r="F27" s="11"/>
      <c r="G27" s="11">
        <f t="shared" si="0"/>
        <v>2340</v>
      </c>
      <c r="H27" s="17">
        <f t="shared" si="1"/>
        <v>0.3</v>
      </c>
      <c r="I27" s="16">
        <f t="shared" si="2"/>
        <v>3.0000000000000001E-3</v>
      </c>
      <c r="J27" s="16">
        <f>ROUND(G27/2345-1,2)</f>
        <v>0</v>
      </c>
    </row>
    <row r="28" spans="1:10" x14ac:dyDescent="0.25">
      <c r="A28" s="1" t="s">
        <v>16</v>
      </c>
      <c r="B28" s="1" t="s">
        <v>37</v>
      </c>
      <c r="C28" s="11"/>
      <c r="D28" s="11"/>
      <c r="E28" s="11">
        <v>9650</v>
      </c>
      <c r="F28" s="11"/>
      <c r="G28" s="11">
        <f t="shared" si="0"/>
        <v>9650</v>
      </c>
      <c r="H28" s="17">
        <f t="shared" si="1"/>
        <v>1.23</v>
      </c>
      <c r="I28" s="16">
        <f t="shared" si="2"/>
        <v>1.0999999999999999E-2</v>
      </c>
      <c r="J28" s="16">
        <f>ROUND(G28/9710-1,2)</f>
        <v>-0.01</v>
      </c>
    </row>
    <row r="29" spans="1:10" x14ac:dyDescent="0.25">
      <c r="A29" s="1" t="s">
        <v>16</v>
      </c>
      <c r="B29" s="1" t="s">
        <v>38</v>
      </c>
      <c r="C29" s="11"/>
      <c r="D29" s="11"/>
      <c r="E29" s="11">
        <v>121140</v>
      </c>
      <c r="F29" s="11">
        <v>360</v>
      </c>
      <c r="G29" s="11">
        <f t="shared" si="0"/>
        <v>121500</v>
      </c>
      <c r="H29" s="17">
        <f t="shared" si="1"/>
        <v>15.44</v>
      </c>
      <c r="I29" s="16">
        <f t="shared" si="2"/>
        <v>0.13500000000000001</v>
      </c>
      <c r="J29" s="16">
        <f>ROUND(G29/95620-1,2)</f>
        <v>0.27</v>
      </c>
    </row>
    <row r="30" spans="1:10" x14ac:dyDescent="0.25">
      <c r="A30" s="1" t="s">
        <v>16</v>
      </c>
      <c r="B30" s="1" t="s">
        <v>95</v>
      </c>
      <c r="C30" s="11"/>
      <c r="D30" s="11"/>
      <c r="E30" s="11"/>
      <c r="F30" s="11"/>
      <c r="G30" s="11">
        <f t="shared" si="0"/>
        <v>0</v>
      </c>
      <c r="H30" s="17">
        <f t="shared" si="1"/>
        <v>0</v>
      </c>
      <c r="I30" s="16">
        <f t="shared" si="2"/>
        <v>0</v>
      </c>
      <c r="J30" s="16">
        <f>ROUND(G30/160-1,2)</f>
        <v>-1</v>
      </c>
    </row>
    <row r="31" spans="1:10" x14ac:dyDescent="0.25">
      <c r="A31" s="1" t="s">
        <v>16</v>
      </c>
      <c r="B31" s="1" t="s">
        <v>39</v>
      </c>
      <c r="C31" s="11"/>
      <c r="D31" s="11"/>
      <c r="E31" s="11"/>
      <c r="F31" s="11"/>
      <c r="G31" s="11">
        <f t="shared" si="0"/>
        <v>0</v>
      </c>
      <c r="H31" s="17">
        <f t="shared" si="1"/>
        <v>0</v>
      </c>
      <c r="I31" s="16">
        <f t="shared" si="2"/>
        <v>0</v>
      </c>
      <c r="J31" s="16">
        <f>ROUND(G31/129-1,2)</f>
        <v>-1</v>
      </c>
    </row>
    <row r="32" spans="1:10" x14ac:dyDescent="0.25">
      <c r="A32" s="1" t="s">
        <v>16</v>
      </c>
      <c r="B32" s="1" t="s">
        <v>40</v>
      </c>
      <c r="C32" s="11"/>
      <c r="D32" s="11"/>
      <c r="E32" s="11"/>
      <c r="F32" s="11"/>
      <c r="G32" s="11">
        <f t="shared" si="0"/>
        <v>0</v>
      </c>
      <c r="H32" s="17">
        <f t="shared" si="1"/>
        <v>0</v>
      </c>
      <c r="I32" s="16">
        <f t="shared" si="2"/>
        <v>0</v>
      </c>
      <c r="J32" s="16">
        <f>ROUND(G32/2250-1,2)</f>
        <v>-1</v>
      </c>
    </row>
    <row r="33" spans="1:10" x14ac:dyDescent="0.25">
      <c r="A33" s="1" t="s">
        <v>16</v>
      </c>
      <c r="B33" s="1" t="s">
        <v>34</v>
      </c>
      <c r="C33" s="11"/>
      <c r="D33" s="11"/>
      <c r="E33" s="11"/>
      <c r="F33" s="11"/>
      <c r="G33" s="11">
        <f t="shared" si="0"/>
        <v>0</v>
      </c>
      <c r="H33" s="17">
        <f t="shared" si="1"/>
        <v>0</v>
      </c>
      <c r="I33" s="16">
        <f t="shared" si="2"/>
        <v>0</v>
      </c>
      <c r="J33" s="16">
        <f>ROUND(G33/601-1,2)</f>
        <v>-1</v>
      </c>
    </row>
    <row r="34" spans="1:10" x14ac:dyDescent="0.25">
      <c r="A34" s="1" t="s">
        <v>16</v>
      </c>
      <c r="B34" s="1" t="s">
        <v>41</v>
      </c>
      <c r="C34" s="11"/>
      <c r="D34" s="11"/>
      <c r="E34" s="11"/>
      <c r="F34" s="11"/>
      <c r="G34" s="11">
        <f t="shared" si="0"/>
        <v>0</v>
      </c>
      <c r="H34" s="17">
        <f t="shared" si="1"/>
        <v>0</v>
      </c>
      <c r="I34" s="16">
        <f t="shared" si="2"/>
        <v>0</v>
      </c>
      <c r="J34" s="16">
        <f>ROUND(G34/1490-1,2)</f>
        <v>-1</v>
      </c>
    </row>
    <row r="35" spans="1:10" x14ac:dyDescent="0.25">
      <c r="A35" s="1" t="s">
        <v>16</v>
      </c>
      <c r="B35" s="1" t="s">
        <v>42</v>
      </c>
      <c r="C35" s="11"/>
      <c r="D35" s="11"/>
      <c r="E35" s="11"/>
      <c r="F35" s="11"/>
      <c r="G35" s="11">
        <f t="shared" si="0"/>
        <v>0</v>
      </c>
      <c r="H35" s="17">
        <f t="shared" si="1"/>
        <v>0</v>
      </c>
      <c r="I35" s="16">
        <f t="shared" si="2"/>
        <v>0</v>
      </c>
      <c r="J35" s="16">
        <f>ROUND(G35/2720-1,2)</f>
        <v>-1</v>
      </c>
    </row>
    <row r="36" spans="1:10" x14ac:dyDescent="0.25">
      <c r="A36" s="1" t="s">
        <v>16</v>
      </c>
      <c r="B36" s="1" t="s">
        <v>43</v>
      </c>
      <c r="C36" s="11"/>
      <c r="D36" s="11"/>
      <c r="E36" s="11"/>
      <c r="F36" s="11"/>
      <c r="G36" s="11">
        <f t="shared" si="0"/>
        <v>0</v>
      </c>
      <c r="H36" s="17">
        <f t="shared" si="1"/>
        <v>0</v>
      </c>
      <c r="I36" s="16">
        <f t="shared" si="2"/>
        <v>0</v>
      </c>
      <c r="J36" s="16">
        <f>ROUND(G36/7967-1,2)</f>
        <v>-1</v>
      </c>
    </row>
    <row r="37" spans="1:10" x14ac:dyDescent="0.25">
      <c r="A37" s="1" t="s">
        <v>16</v>
      </c>
      <c r="B37" s="1" t="s">
        <v>94</v>
      </c>
      <c r="C37" s="11"/>
      <c r="D37" s="11"/>
      <c r="E37" s="11"/>
      <c r="F37" s="11"/>
      <c r="G37" s="11">
        <f t="shared" si="0"/>
        <v>0</v>
      </c>
      <c r="H37" s="17">
        <f t="shared" si="1"/>
        <v>0</v>
      </c>
      <c r="I37" s="16">
        <f t="shared" si="2"/>
        <v>0</v>
      </c>
      <c r="J37" s="16"/>
    </row>
    <row r="38" spans="1:10" x14ac:dyDescent="0.25">
      <c r="A38" s="1" t="s">
        <v>16</v>
      </c>
      <c r="B38" s="1" t="s">
        <v>113</v>
      </c>
      <c r="C38" s="11"/>
      <c r="D38" s="11"/>
      <c r="E38" s="11"/>
      <c r="F38" s="11"/>
      <c r="G38" s="11">
        <f t="shared" si="0"/>
        <v>0</v>
      </c>
      <c r="H38" s="17">
        <f t="shared" si="1"/>
        <v>0</v>
      </c>
      <c r="I38" s="16">
        <f t="shared" si="2"/>
        <v>0</v>
      </c>
      <c r="J38" s="16"/>
    </row>
    <row r="39" spans="1:10" x14ac:dyDescent="0.25">
      <c r="A39" s="1" t="s">
        <v>16</v>
      </c>
      <c r="B39" s="1" t="s">
        <v>114</v>
      </c>
      <c r="C39" s="11"/>
      <c r="D39" s="11"/>
      <c r="E39" s="11"/>
      <c r="F39" s="11"/>
      <c r="G39" s="11">
        <f t="shared" si="0"/>
        <v>0</v>
      </c>
      <c r="H39" s="17">
        <f t="shared" si="1"/>
        <v>0</v>
      </c>
      <c r="I39" s="16">
        <f t="shared" si="2"/>
        <v>0</v>
      </c>
      <c r="J39" s="16"/>
    </row>
    <row r="40" spans="1:10" x14ac:dyDescent="0.25">
      <c r="A40" s="1" t="s">
        <v>44</v>
      </c>
      <c r="B40" s="1" t="s">
        <v>45</v>
      </c>
      <c r="C40" s="11">
        <v>133550</v>
      </c>
      <c r="D40" s="11"/>
      <c r="E40" s="11"/>
      <c r="F40" s="11"/>
      <c r="G40" s="11">
        <f t="shared" si="0"/>
        <v>133550</v>
      </c>
      <c r="H40" s="17">
        <f t="shared" si="1"/>
        <v>16.97</v>
      </c>
      <c r="I40" s="16">
        <f t="shared" si="2"/>
        <v>0.14799999999999999</v>
      </c>
      <c r="J40" s="16">
        <f>ROUND(G40/129830-1,2)</f>
        <v>0.03</v>
      </c>
    </row>
    <row r="41" spans="1:10" x14ac:dyDescent="0.25">
      <c r="A41" s="1" t="s">
        <v>44</v>
      </c>
      <c r="B41" s="1" t="s">
        <v>47</v>
      </c>
      <c r="C41" s="11"/>
      <c r="D41" s="11"/>
      <c r="E41" s="11"/>
      <c r="F41" s="11">
        <v>16610</v>
      </c>
      <c r="G41" s="11">
        <f t="shared" si="0"/>
        <v>16610</v>
      </c>
      <c r="H41" s="17">
        <f t="shared" si="1"/>
        <v>2.11</v>
      </c>
      <c r="I41" s="16">
        <f t="shared" si="2"/>
        <v>1.7999999999999999E-2</v>
      </c>
      <c r="J41" s="16">
        <f>ROUND(G41/40255-1,2)</f>
        <v>-0.59</v>
      </c>
    </row>
    <row r="42" spans="1:10" x14ac:dyDescent="0.25">
      <c r="A42" s="1" t="s">
        <v>44</v>
      </c>
      <c r="B42" s="1" t="s">
        <v>46</v>
      </c>
      <c r="C42" s="11"/>
      <c r="D42" s="11"/>
      <c r="E42" s="11">
        <v>26990</v>
      </c>
      <c r="F42" s="11"/>
      <c r="G42" s="11">
        <f t="shared" si="0"/>
        <v>26990</v>
      </c>
      <c r="H42" s="17">
        <f t="shared" si="1"/>
        <v>3.43</v>
      </c>
      <c r="I42" s="16">
        <f t="shared" si="2"/>
        <v>0.03</v>
      </c>
      <c r="J42" s="16">
        <f>ROUND(G42/27680-1,2)</f>
        <v>-0.02</v>
      </c>
    </row>
    <row r="43" spans="1:10" x14ac:dyDescent="0.25">
      <c r="A43" s="1" t="s">
        <v>48</v>
      </c>
      <c r="B43" s="1" t="s">
        <v>51</v>
      </c>
      <c r="C43" s="11"/>
      <c r="D43" s="11"/>
      <c r="E43" s="11"/>
      <c r="F43" s="11"/>
      <c r="G43" s="11">
        <f t="shared" si="0"/>
        <v>0</v>
      </c>
      <c r="H43" s="17">
        <f t="shared" si="1"/>
        <v>0</v>
      </c>
      <c r="I43" s="16">
        <f t="shared" si="2"/>
        <v>0</v>
      </c>
      <c r="J43" s="16">
        <f>ROUND(G43/29-1,2)</f>
        <v>-1</v>
      </c>
    </row>
    <row r="44" spans="1:10" x14ac:dyDescent="0.25">
      <c r="A44" s="1" t="s">
        <v>48</v>
      </c>
      <c r="B44" s="1" t="s">
        <v>86</v>
      </c>
      <c r="C44" s="11"/>
      <c r="D44" s="11"/>
      <c r="E44" s="11"/>
      <c r="F44" s="11"/>
      <c r="G44" s="11">
        <f t="shared" si="0"/>
        <v>0</v>
      </c>
      <c r="H44" s="17">
        <f t="shared" si="1"/>
        <v>0</v>
      </c>
      <c r="I44" s="16">
        <f t="shared" si="2"/>
        <v>0</v>
      </c>
      <c r="J44" s="16"/>
    </row>
    <row r="45" spans="1:10" x14ac:dyDescent="0.25">
      <c r="A45" s="1" t="s">
        <v>48</v>
      </c>
      <c r="B45" s="1" t="s">
        <v>50</v>
      </c>
      <c r="C45" s="11"/>
      <c r="D45" s="11"/>
      <c r="E45" s="11"/>
      <c r="F45" s="11"/>
      <c r="G45" s="11">
        <f t="shared" si="0"/>
        <v>0</v>
      </c>
      <c r="H45" s="17">
        <f t="shared" si="1"/>
        <v>0</v>
      </c>
      <c r="I45" s="16">
        <f t="shared" si="2"/>
        <v>0</v>
      </c>
      <c r="J45" s="16">
        <f>ROUND(G45/1130-1,2)</f>
        <v>-1</v>
      </c>
    </row>
    <row r="46" spans="1:10" x14ac:dyDescent="0.25">
      <c r="A46" s="1" t="s">
        <v>48</v>
      </c>
      <c r="B46" s="1" t="s">
        <v>49</v>
      </c>
      <c r="C46" s="11"/>
      <c r="D46" s="11"/>
      <c r="E46" s="11"/>
      <c r="F46" s="11"/>
      <c r="G46" s="11">
        <f t="shared" si="0"/>
        <v>0</v>
      </c>
      <c r="H46" s="17">
        <f t="shared" si="1"/>
        <v>0</v>
      </c>
      <c r="I46" s="16">
        <f t="shared" si="2"/>
        <v>0</v>
      </c>
      <c r="J46" s="16">
        <f>ROUND(G46/20-1,2)</f>
        <v>-1</v>
      </c>
    </row>
    <row r="47" spans="1:10" x14ac:dyDescent="0.25">
      <c r="A47" s="21" t="s">
        <v>12</v>
      </c>
      <c r="B47" s="21"/>
      <c r="C47" s="12">
        <f t="shared" ref="C47:H47" si="3">SUM(C8:C46)</f>
        <v>602350</v>
      </c>
      <c r="D47" s="12">
        <f t="shared" si="3"/>
        <v>258</v>
      </c>
      <c r="E47" s="12">
        <f t="shared" si="3"/>
        <v>274865</v>
      </c>
      <c r="F47" s="12">
        <f t="shared" si="3"/>
        <v>22950</v>
      </c>
      <c r="G47" s="12">
        <f t="shared" si="3"/>
        <v>900423</v>
      </c>
      <c r="H47" s="15">
        <f t="shared" si="3"/>
        <v>114.43000000000002</v>
      </c>
      <c r="I47" s="18"/>
      <c r="J47" s="18"/>
    </row>
    <row r="48" spans="1:10" x14ac:dyDescent="0.25">
      <c r="A48" s="21" t="s">
        <v>14</v>
      </c>
      <c r="B48" s="21"/>
      <c r="C48" s="13">
        <f>ROUND(C47/G47,2)</f>
        <v>0.67</v>
      </c>
      <c r="D48" s="13">
        <f>ROUND(D47/G47,2)</f>
        <v>0</v>
      </c>
      <c r="E48" s="13">
        <f>ROUND(E47/G47,2)</f>
        <v>0.31</v>
      </c>
      <c r="F48" s="13">
        <f>ROUND(F47/G47,2)</f>
        <v>0.03</v>
      </c>
      <c r="G48" s="14"/>
      <c r="H48" s="14"/>
      <c r="I48" s="18"/>
      <c r="J48" s="18"/>
    </row>
    <row r="49" spans="1:10" x14ac:dyDescent="0.25">
      <c r="A49" s="2" t="s">
        <v>52</v>
      </c>
      <c r="B49" s="2"/>
      <c r="C49" s="14"/>
      <c r="D49" s="14"/>
      <c r="E49" s="14"/>
      <c r="F49" s="14"/>
      <c r="G49" s="14"/>
      <c r="H49" s="14"/>
      <c r="I49" s="18"/>
      <c r="J49" s="18"/>
    </row>
    <row r="50" spans="1:10" x14ac:dyDescent="0.25">
      <c r="C50" s="9"/>
      <c r="D50" s="9"/>
      <c r="E50" s="9"/>
      <c r="F50" s="9"/>
      <c r="G50" s="9"/>
      <c r="H50" s="9"/>
      <c r="I50" s="10"/>
      <c r="J50" s="10"/>
    </row>
    <row r="51" spans="1:10" x14ac:dyDescent="0.25">
      <c r="C51" s="9"/>
      <c r="D51" s="9"/>
      <c r="E51" s="9"/>
      <c r="F51" s="9"/>
      <c r="G51" s="9"/>
      <c r="H51" s="9"/>
      <c r="I51" s="10"/>
      <c r="J51" s="10"/>
    </row>
    <row r="52" spans="1:10" x14ac:dyDescent="0.25">
      <c r="C52" s="9"/>
      <c r="D52" s="9"/>
      <c r="E52" s="9"/>
      <c r="F52" s="9"/>
      <c r="G52" s="9"/>
      <c r="H52" s="9"/>
      <c r="I52" s="10"/>
      <c r="J52" s="10"/>
    </row>
    <row r="53" spans="1:10" x14ac:dyDescent="0.25">
      <c r="A53" s="21" t="s">
        <v>53</v>
      </c>
      <c r="B53" s="21"/>
      <c r="C53" s="12" t="s">
        <v>8</v>
      </c>
      <c r="D53" s="12" t="s">
        <v>9</v>
      </c>
      <c r="E53" s="12" t="s">
        <v>10</v>
      </c>
      <c r="F53" s="12" t="s">
        <v>11</v>
      </c>
      <c r="G53" s="12" t="s">
        <v>12</v>
      </c>
      <c r="H53" s="15" t="s">
        <v>13</v>
      </c>
      <c r="I53" s="18"/>
      <c r="J53" s="18"/>
    </row>
    <row r="54" spans="1:10" x14ac:dyDescent="0.25">
      <c r="A54" s="20" t="s">
        <v>54</v>
      </c>
      <c r="B54" s="20"/>
      <c r="C54" s="11">
        <v>468800</v>
      </c>
      <c r="D54" s="11">
        <v>258</v>
      </c>
      <c r="E54" s="11">
        <v>247875</v>
      </c>
      <c r="F54" s="11">
        <v>6340</v>
      </c>
      <c r="G54" s="11">
        <f>SUM(C54:F54)</f>
        <v>723273</v>
      </c>
      <c r="H54" s="17">
        <f>ROUND(G54/7869,2)</f>
        <v>91.91</v>
      </c>
      <c r="I54" s="10"/>
      <c r="J54" s="10"/>
    </row>
    <row r="55" spans="1:10" x14ac:dyDescent="0.25">
      <c r="A55" s="20" t="s">
        <v>55</v>
      </c>
      <c r="B55" s="20"/>
      <c r="C55" s="11">
        <v>133550</v>
      </c>
      <c r="D55" s="11">
        <v>0</v>
      </c>
      <c r="E55" s="11">
        <v>26990</v>
      </c>
      <c r="F55" s="11">
        <v>16610</v>
      </c>
      <c r="G55" s="11">
        <f>SUM(C55:F55)</f>
        <v>177150</v>
      </c>
      <c r="H55" s="17">
        <f>ROUND(G55/7869,2)</f>
        <v>22.51</v>
      </c>
      <c r="I55" s="10"/>
      <c r="J55" s="10"/>
    </row>
    <row r="56" spans="1:10" x14ac:dyDescent="0.25">
      <c r="A56" s="20" t="s">
        <v>56</v>
      </c>
      <c r="B56" s="20"/>
      <c r="C56" s="11">
        <v>0</v>
      </c>
      <c r="D56" s="11">
        <v>0</v>
      </c>
      <c r="E56" s="11">
        <v>0</v>
      </c>
      <c r="F56" s="11">
        <v>0</v>
      </c>
      <c r="G56" s="11">
        <f>SUM(C56:F56)</f>
        <v>0</v>
      </c>
      <c r="H56" s="17">
        <f>ROUND(G56/7869,2)</f>
        <v>0</v>
      </c>
      <c r="I56" s="10"/>
      <c r="J56" s="10"/>
    </row>
    <row r="57" spans="1:10" x14ac:dyDescent="0.25">
      <c r="C57" s="9"/>
      <c r="D57" s="9"/>
      <c r="E57" s="9"/>
      <c r="F57" s="9"/>
      <c r="G57" s="9"/>
      <c r="H57" s="9"/>
      <c r="I57" s="10"/>
      <c r="J57" s="10"/>
    </row>
    <row r="58" spans="1:10" x14ac:dyDescent="0.25">
      <c r="C58" s="9"/>
      <c r="D58" s="9"/>
      <c r="E58" s="9"/>
      <c r="F58" s="9"/>
      <c r="G58" s="9"/>
      <c r="H58" s="9"/>
      <c r="I58" s="10"/>
      <c r="J58" s="10"/>
    </row>
    <row r="59" spans="1:10" x14ac:dyDescent="0.25">
      <c r="C59" s="9"/>
      <c r="D59" s="9"/>
      <c r="E59" s="9"/>
      <c r="F59" s="9"/>
      <c r="G59" s="9"/>
      <c r="H59" s="9"/>
      <c r="I59" s="10"/>
      <c r="J59" s="10"/>
    </row>
    <row r="60" spans="1:10" x14ac:dyDescent="0.25">
      <c r="C60" s="9"/>
      <c r="D60" s="9"/>
      <c r="E60" s="9"/>
      <c r="F60" s="9"/>
      <c r="G60" s="9"/>
      <c r="H60" s="9"/>
      <c r="I60" s="10"/>
      <c r="J60" s="10"/>
    </row>
    <row r="61" spans="1:10" x14ac:dyDescent="0.25">
      <c r="A61" s="21" t="s">
        <v>57</v>
      </c>
      <c r="B61" s="21"/>
      <c r="C61" s="15" t="s">
        <v>2</v>
      </c>
      <c r="D61" s="15">
        <v>2023</v>
      </c>
      <c r="E61" s="15" t="s">
        <v>59</v>
      </c>
      <c r="F61" s="14"/>
      <c r="G61" s="15" t="s">
        <v>60</v>
      </c>
      <c r="H61" s="15" t="s">
        <v>2</v>
      </c>
      <c r="I61" s="13" t="s">
        <v>61</v>
      </c>
      <c r="J61" s="13" t="s">
        <v>59</v>
      </c>
    </row>
    <row r="62" spans="1:10" x14ac:dyDescent="0.25">
      <c r="A62" s="20" t="s">
        <v>58</v>
      </c>
      <c r="B62" s="20"/>
      <c r="C62" s="16">
        <f>ROUND(0.8375, 4)</f>
        <v>0.83750000000000002</v>
      </c>
      <c r="D62" s="16">
        <f>ROUND(0.8445, 4)</f>
        <v>0.84450000000000003</v>
      </c>
      <c r="E62" s="16">
        <f>ROUND(0.777, 4)</f>
        <v>0.77700000000000002</v>
      </c>
      <c r="F62" s="9"/>
      <c r="G62" s="15" t="s">
        <v>62</v>
      </c>
      <c r="H62" s="22" t="s">
        <v>63</v>
      </c>
      <c r="I62" s="24" t="s">
        <v>64</v>
      </c>
      <c r="J62" s="24" t="s">
        <v>65</v>
      </c>
    </row>
    <row r="63" spans="1:10" x14ac:dyDescent="0.25">
      <c r="A63" s="20" t="s">
        <v>66</v>
      </c>
      <c r="B63" s="20"/>
      <c r="C63" s="16">
        <f>ROUND(0.8255, 4)</f>
        <v>0.82550000000000001</v>
      </c>
      <c r="D63" s="16">
        <f>ROUND(0.8321, 4)</f>
        <v>0.83209999999999995</v>
      </c>
      <c r="E63" s="16">
        <f>ROUND(0.7608, 4)</f>
        <v>0.76080000000000003</v>
      </c>
      <c r="F63" s="9"/>
      <c r="G63" s="15" t="s">
        <v>67</v>
      </c>
      <c r="H63" s="23"/>
      <c r="I63" s="25"/>
      <c r="J63" s="25"/>
    </row>
    <row r="64" spans="1:10" x14ac:dyDescent="0.25">
      <c r="C64" s="9"/>
      <c r="D64" s="9"/>
      <c r="E64" s="9"/>
      <c r="F64" s="9"/>
      <c r="G64" s="9"/>
      <c r="H64" s="9"/>
      <c r="I64" s="10"/>
      <c r="J64" s="10"/>
    </row>
    <row r="65" spans="1:10" x14ac:dyDescent="0.25">
      <c r="C65" s="9"/>
      <c r="D65" s="9"/>
      <c r="E65" s="9"/>
      <c r="F65" s="9"/>
      <c r="G65" s="9"/>
      <c r="H65" s="9"/>
      <c r="I65" s="10"/>
      <c r="J65" s="10"/>
    </row>
    <row r="66" spans="1:10" x14ac:dyDescent="0.25">
      <c r="C66" s="9"/>
      <c r="D66" s="9"/>
      <c r="E66" s="9"/>
      <c r="F66" s="9"/>
      <c r="G66" s="9"/>
      <c r="H66" s="9"/>
      <c r="I66" s="10"/>
      <c r="J66" s="10"/>
    </row>
    <row r="67" spans="1:10" x14ac:dyDescent="0.25">
      <c r="A67" s="21" t="s">
        <v>68</v>
      </c>
      <c r="B67" s="21"/>
      <c r="C67" s="15" t="s">
        <v>2</v>
      </c>
      <c r="D67" s="15" t="s">
        <v>115</v>
      </c>
      <c r="E67" s="15" t="s">
        <v>70</v>
      </c>
      <c r="F67" s="15" t="s">
        <v>71</v>
      </c>
      <c r="G67" s="15" t="s">
        <v>72</v>
      </c>
      <c r="H67" s="14"/>
      <c r="I67" s="18"/>
      <c r="J67" s="18"/>
    </row>
    <row r="68" spans="1:10" x14ac:dyDescent="0.25">
      <c r="A68" s="20" t="s">
        <v>73</v>
      </c>
      <c r="B68" s="20"/>
      <c r="C68" s="17">
        <v>16.97</v>
      </c>
      <c r="D68" s="17">
        <v>43.81</v>
      </c>
      <c r="E68" s="17">
        <v>81.84</v>
      </c>
      <c r="F68" s="17">
        <v>48</v>
      </c>
      <c r="G68" s="17">
        <f>12/4*C68</f>
        <v>50.91</v>
      </c>
      <c r="H68" s="9"/>
      <c r="I68" s="10"/>
      <c r="J68" s="10"/>
    </row>
    <row r="69" spans="1:10" x14ac:dyDescent="0.25">
      <c r="A69" s="20" t="s">
        <v>74</v>
      </c>
      <c r="B69" s="20"/>
      <c r="C69" s="17">
        <v>22.61</v>
      </c>
      <c r="D69" s="17">
        <v>59.21</v>
      </c>
      <c r="E69" s="17">
        <v>55.63</v>
      </c>
      <c r="F69" s="17">
        <v>55.33</v>
      </c>
      <c r="G69" s="17">
        <f>12/4*C69</f>
        <v>67.83</v>
      </c>
      <c r="H69" s="9"/>
      <c r="I69" s="10"/>
      <c r="J69" s="10"/>
    </row>
    <row r="70" spans="1:10" x14ac:dyDescent="0.25">
      <c r="A70" s="20" t="s">
        <v>75</v>
      </c>
      <c r="B70" s="20"/>
      <c r="C70" s="17">
        <v>91.91</v>
      </c>
      <c r="D70" s="17">
        <v>228.86</v>
      </c>
      <c r="E70" s="17">
        <v>257.88</v>
      </c>
      <c r="F70" s="17">
        <v>242.78</v>
      </c>
      <c r="G70" s="17">
        <f>12/4*C70</f>
        <v>275.73</v>
      </c>
      <c r="H70" s="9"/>
      <c r="I70" s="10"/>
      <c r="J70" s="10"/>
    </row>
    <row r="71" spans="1:10" x14ac:dyDescent="0.25">
      <c r="A71" s="20" t="s">
        <v>76</v>
      </c>
      <c r="B71" s="20"/>
      <c r="C71" s="17">
        <v>22.51</v>
      </c>
      <c r="D71" s="17">
        <v>60.44</v>
      </c>
      <c r="E71" s="17">
        <v>103.14</v>
      </c>
      <c r="F71" s="17">
        <v>68.31</v>
      </c>
      <c r="G71" s="17">
        <f>12/4*C71</f>
        <v>67.53</v>
      </c>
      <c r="H71" s="9"/>
      <c r="I71" s="10"/>
      <c r="J71" s="10"/>
    </row>
    <row r="72" spans="1:10" x14ac:dyDescent="0.25">
      <c r="C72" s="9"/>
      <c r="D72" s="9"/>
      <c r="E72" s="9"/>
      <c r="F72" s="9"/>
      <c r="G72" s="9"/>
      <c r="H72" s="9"/>
      <c r="I72" s="10"/>
      <c r="J72" s="10"/>
    </row>
    <row r="74" spans="1:10" x14ac:dyDescent="0.25">
      <c r="A74" s="19" t="s">
        <v>60</v>
      </c>
      <c r="B74" s="26"/>
    </row>
    <row r="75" spans="1:10" x14ac:dyDescent="0.25">
      <c r="A75" s="3" t="s">
        <v>77</v>
      </c>
      <c r="B75" s="1" t="s">
        <v>116</v>
      </c>
    </row>
    <row r="76" spans="1:10" x14ac:dyDescent="0.25">
      <c r="A76" s="3" t="s">
        <v>70</v>
      </c>
      <c r="B76" s="1" t="s">
        <v>79</v>
      </c>
    </row>
    <row r="77" spans="1:10" x14ac:dyDescent="0.25">
      <c r="A77" s="3" t="s">
        <v>71</v>
      </c>
      <c r="B77" s="1" t="s">
        <v>80</v>
      </c>
    </row>
    <row r="78" spans="1:10" x14ac:dyDescent="0.25">
      <c r="A78" s="3" t="s">
        <v>72</v>
      </c>
      <c r="B78" s="1" t="s">
        <v>81</v>
      </c>
    </row>
  </sheetData>
  <mergeCells count="19">
    <mergeCell ref="A69:B69"/>
    <mergeCell ref="A70:B70"/>
    <mergeCell ref="A71:B71"/>
    <mergeCell ref="A74:B74"/>
    <mergeCell ref="I62:I63"/>
    <mergeCell ref="J62:J63"/>
    <mergeCell ref="A63:B63"/>
    <mergeCell ref="A67:B67"/>
    <mergeCell ref="A68:B68"/>
    <mergeCell ref="A55:B55"/>
    <mergeCell ref="A56:B56"/>
    <mergeCell ref="A61:B61"/>
    <mergeCell ref="A62:B62"/>
    <mergeCell ref="H62:H63"/>
    <mergeCell ref="C7:G7"/>
    <mergeCell ref="A47:B47"/>
    <mergeCell ref="A48:B48"/>
    <mergeCell ref="A53:B53"/>
    <mergeCell ref="A54:B5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J72"/>
  <sheetViews>
    <sheetView workbookViewId="0">
      <selection activeCell="C9" sqref="C9:J69"/>
    </sheetView>
  </sheetViews>
  <sheetFormatPr defaultRowHeight="15" x14ac:dyDescent="0.25"/>
  <cols>
    <col min="1" max="1" width="38.85546875" bestFit="1" customWidth="1"/>
    <col min="2" max="2" width="79" bestFit="1" customWidth="1"/>
    <col min="3" max="3" width="14" bestFit="1" customWidth="1"/>
    <col min="4" max="4" width="33" bestFit="1" customWidth="1"/>
    <col min="5" max="5" width="16.42578125" bestFit="1" customWidth="1"/>
    <col min="6" max="6" width="10.5703125" bestFit="1" customWidth="1"/>
    <col min="7" max="7" width="68.28515625" bestFit="1" customWidth="1"/>
    <col min="8" max="9" width="20" bestFit="1" customWidth="1"/>
    <col min="10" max="10" width="30.5703125" bestFit="1" customWidth="1"/>
  </cols>
  <sheetData>
    <row r="2" spans="1:10" ht="18.75" x14ac:dyDescent="0.3">
      <c r="A2" s="3" t="s">
        <v>0</v>
      </c>
      <c r="B2" s="4" t="s">
        <v>117</v>
      </c>
    </row>
    <row r="3" spans="1:10" x14ac:dyDescent="0.25">
      <c r="A3" s="3" t="s">
        <v>2</v>
      </c>
      <c r="B3" s="1" t="s">
        <v>3</v>
      </c>
    </row>
    <row r="4" spans="1:10" x14ac:dyDescent="0.25">
      <c r="A4" s="3" t="s">
        <v>4</v>
      </c>
      <c r="B4" s="1">
        <v>955</v>
      </c>
    </row>
    <row r="7" spans="1:10" x14ac:dyDescent="0.25">
      <c r="C7" s="19" t="s">
        <v>5</v>
      </c>
      <c r="D7" s="20"/>
      <c r="E7" s="20"/>
      <c r="F7" s="20"/>
      <c r="G7" s="20"/>
    </row>
    <row r="8" spans="1:10" x14ac:dyDescent="0.25">
      <c r="A8" s="3" t="s">
        <v>6</v>
      </c>
      <c r="B8" s="3" t="s">
        <v>7</v>
      </c>
      <c r="C8" s="3" t="s">
        <v>8</v>
      </c>
      <c r="D8" s="3" t="s">
        <v>9</v>
      </c>
      <c r="E8" s="3" t="s">
        <v>10</v>
      </c>
      <c r="F8" s="3" t="s">
        <v>11</v>
      </c>
      <c r="G8" s="3" t="s">
        <v>12</v>
      </c>
      <c r="H8" s="3" t="s">
        <v>13</v>
      </c>
      <c r="I8" s="3" t="s">
        <v>14</v>
      </c>
      <c r="J8" s="3" t="s">
        <v>15</v>
      </c>
    </row>
    <row r="9" spans="1:10" x14ac:dyDescent="0.25">
      <c r="A9" s="1" t="s">
        <v>16</v>
      </c>
      <c r="B9" s="1" t="s">
        <v>17</v>
      </c>
      <c r="C9" s="11"/>
      <c r="D9" s="11"/>
      <c r="E9" s="11">
        <v>22</v>
      </c>
      <c r="F9" s="11"/>
      <c r="G9" s="11">
        <f t="shared" ref="G9:G40" si="0">SUM(C9:F9)</f>
        <v>22</v>
      </c>
      <c r="H9" s="17">
        <f t="shared" ref="H9:H40" si="1">ROUND(G9/955,2)</f>
        <v>0.02</v>
      </c>
      <c r="I9" s="16">
        <f t="shared" ref="I9:I40" si="2">ROUND(G9/$G$41,3)</f>
        <v>0</v>
      </c>
      <c r="J9" s="16"/>
    </row>
    <row r="10" spans="1:10" x14ac:dyDescent="0.25">
      <c r="A10" s="1" t="s">
        <v>16</v>
      </c>
      <c r="B10" s="1" t="s">
        <v>18</v>
      </c>
      <c r="C10" s="11"/>
      <c r="D10" s="11"/>
      <c r="E10" s="11">
        <v>1243</v>
      </c>
      <c r="F10" s="11"/>
      <c r="G10" s="11">
        <f t="shared" si="0"/>
        <v>1243</v>
      </c>
      <c r="H10" s="17">
        <f t="shared" si="1"/>
        <v>1.3</v>
      </c>
      <c r="I10" s="16">
        <f t="shared" si="2"/>
        <v>8.9999999999999993E-3</v>
      </c>
      <c r="J10" s="16"/>
    </row>
    <row r="11" spans="1:10" x14ac:dyDescent="0.25">
      <c r="A11" s="1" t="s">
        <v>16</v>
      </c>
      <c r="B11" s="1" t="s">
        <v>19</v>
      </c>
      <c r="C11" s="11">
        <v>9500</v>
      </c>
      <c r="D11" s="11"/>
      <c r="E11" s="11">
        <v>2335</v>
      </c>
      <c r="F11" s="11"/>
      <c r="G11" s="11">
        <f t="shared" si="0"/>
        <v>11835</v>
      </c>
      <c r="H11" s="17">
        <f t="shared" si="1"/>
        <v>12.39</v>
      </c>
      <c r="I11" s="16">
        <f t="shared" si="2"/>
        <v>0.09</v>
      </c>
      <c r="J11" s="16">
        <f>ROUND(G11/9597.06-1,2)</f>
        <v>0.23</v>
      </c>
    </row>
    <row r="12" spans="1:10" x14ac:dyDescent="0.25">
      <c r="A12" s="1" t="s">
        <v>16</v>
      </c>
      <c r="B12" s="1" t="s">
        <v>20</v>
      </c>
      <c r="C12" s="11">
        <v>12835</v>
      </c>
      <c r="D12" s="11"/>
      <c r="E12" s="11"/>
      <c r="F12" s="11"/>
      <c r="G12" s="11">
        <f t="shared" si="0"/>
        <v>12835</v>
      </c>
      <c r="H12" s="17">
        <f t="shared" si="1"/>
        <v>13.44</v>
      </c>
      <c r="I12" s="16">
        <f t="shared" si="2"/>
        <v>9.8000000000000004E-2</v>
      </c>
      <c r="J12" s="16">
        <f>ROUND(G12/16416.11-1,2)</f>
        <v>-0.22</v>
      </c>
    </row>
    <row r="13" spans="1:10" x14ac:dyDescent="0.25">
      <c r="A13" s="1" t="s">
        <v>16</v>
      </c>
      <c r="B13" s="1" t="s">
        <v>21</v>
      </c>
      <c r="C13" s="11"/>
      <c r="D13" s="11"/>
      <c r="E13" s="11">
        <v>12</v>
      </c>
      <c r="F13" s="11"/>
      <c r="G13" s="11">
        <f t="shared" si="0"/>
        <v>12</v>
      </c>
      <c r="H13" s="17">
        <f t="shared" si="1"/>
        <v>0.01</v>
      </c>
      <c r="I13" s="16">
        <f t="shared" si="2"/>
        <v>0</v>
      </c>
      <c r="J13" s="16"/>
    </row>
    <row r="14" spans="1:10" x14ac:dyDescent="0.25">
      <c r="A14" s="1" t="s">
        <v>16</v>
      </c>
      <c r="B14" s="1" t="s">
        <v>22</v>
      </c>
      <c r="C14" s="11"/>
      <c r="D14" s="11"/>
      <c r="E14" s="11">
        <v>78</v>
      </c>
      <c r="F14" s="11"/>
      <c r="G14" s="11">
        <f t="shared" si="0"/>
        <v>78</v>
      </c>
      <c r="H14" s="17">
        <f t="shared" si="1"/>
        <v>0.08</v>
      </c>
      <c r="I14" s="16">
        <f t="shared" si="2"/>
        <v>1E-3</v>
      </c>
      <c r="J14" s="16">
        <f>ROUND(G14/156.25-1,2)</f>
        <v>-0.5</v>
      </c>
    </row>
    <row r="15" spans="1:10" x14ac:dyDescent="0.25">
      <c r="A15" s="1" t="s">
        <v>16</v>
      </c>
      <c r="B15" s="1" t="s">
        <v>23</v>
      </c>
      <c r="C15" s="11"/>
      <c r="D15" s="11"/>
      <c r="E15" s="11">
        <v>10545</v>
      </c>
      <c r="F15" s="11"/>
      <c r="G15" s="11">
        <f t="shared" si="0"/>
        <v>10545</v>
      </c>
      <c r="H15" s="17">
        <f t="shared" si="1"/>
        <v>11.04</v>
      </c>
      <c r="I15" s="16">
        <f t="shared" si="2"/>
        <v>8.1000000000000003E-2</v>
      </c>
      <c r="J15" s="16">
        <f>ROUND(G15/8302.56-1,2)</f>
        <v>0.27</v>
      </c>
    </row>
    <row r="16" spans="1:10" x14ac:dyDescent="0.25">
      <c r="A16" s="1" t="s">
        <v>16</v>
      </c>
      <c r="B16" s="1" t="s">
        <v>24</v>
      </c>
      <c r="C16" s="11">
        <v>10320</v>
      </c>
      <c r="D16" s="11"/>
      <c r="E16" s="11">
        <v>5486</v>
      </c>
      <c r="F16" s="11"/>
      <c r="G16" s="11">
        <f t="shared" si="0"/>
        <v>15806</v>
      </c>
      <c r="H16" s="17">
        <f t="shared" si="1"/>
        <v>16.55</v>
      </c>
      <c r="I16" s="16">
        <f t="shared" si="2"/>
        <v>0.121</v>
      </c>
      <c r="J16" s="16">
        <f>ROUND(G16/12959.83-1,2)</f>
        <v>0.22</v>
      </c>
    </row>
    <row r="17" spans="1:10" x14ac:dyDescent="0.25">
      <c r="A17" s="1" t="s">
        <v>16</v>
      </c>
      <c r="B17" s="1" t="s">
        <v>25</v>
      </c>
      <c r="C17" s="11"/>
      <c r="D17" s="11"/>
      <c r="E17" s="11">
        <v>905</v>
      </c>
      <c r="F17" s="11"/>
      <c r="G17" s="11">
        <f t="shared" si="0"/>
        <v>905</v>
      </c>
      <c r="H17" s="17">
        <f t="shared" si="1"/>
        <v>0.95</v>
      </c>
      <c r="I17" s="16">
        <f t="shared" si="2"/>
        <v>7.0000000000000001E-3</v>
      </c>
      <c r="J17" s="16"/>
    </row>
    <row r="18" spans="1:10" x14ac:dyDescent="0.25">
      <c r="A18" s="1" t="s">
        <v>16</v>
      </c>
      <c r="B18" s="1" t="s">
        <v>26</v>
      </c>
      <c r="C18" s="11">
        <v>14480</v>
      </c>
      <c r="D18" s="11"/>
      <c r="E18" s="11"/>
      <c r="F18" s="11"/>
      <c r="G18" s="11">
        <f t="shared" si="0"/>
        <v>14480</v>
      </c>
      <c r="H18" s="17">
        <f t="shared" si="1"/>
        <v>15.16</v>
      </c>
      <c r="I18" s="16">
        <f t="shared" si="2"/>
        <v>0.111</v>
      </c>
      <c r="J18" s="16">
        <f>ROUND(G18/12480-1,2)</f>
        <v>0.16</v>
      </c>
    </row>
    <row r="19" spans="1:10" x14ac:dyDescent="0.25">
      <c r="A19" s="1" t="s">
        <v>16</v>
      </c>
      <c r="B19" s="1" t="s">
        <v>27</v>
      </c>
      <c r="C19" s="11"/>
      <c r="D19" s="11"/>
      <c r="E19" s="11">
        <v>69</v>
      </c>
      <c r="F19" s="11"/>
      <c r="G19" s="11">
        <f t="shared" si="0"/>
        <v>69</v>
      </c>
      <c r="H19" s="17">
        <f t="shared" si="1"/>
        <v>7.0000000000000007E-2</v>
      </c>
      <c r="I19" s="16">
        <f t="shared" si="2"/>
        <v>1E-3</v>
      </c>
      <c r="J19" s="16"/>
    </row>
    <row r="20" spans="1:10" x14ac:dyDescent="0.25">
      <c r="A20" s="1" t="s">
        <v>16</v>
      </c>
      <c r="B20" s="1" t="s">
        <v>28</v>
      </c>
      <c r="C20" s="11"/>
      <c r="D20" s="11"/>
      <c r="E20" s="11">
        <v>27</v>
      </c>
      <c r="F20" s="11"/>
      <c r="G20" s="11">
        <f t="shared" si="0"/>
        <v>27</v>
      </c>
      <c r="H20" s="17">
        <f t="shared" si="1"/>
        <v>0.03</v>
      </c>
      <c r="I20" s="16">
        <f t="shared" si="2"/>
        <v>0</v>
      </c>
      <c r="J20" s="16"/>
    </row>
    <row r="21" spans="1:10" x14ac:dyDescent="0.25">
      <c r="A21" s="1" t="s">
        <v>16</v>
      </c>
      <c r="B21" s="1" t="s">
        <v>29</v>
      </c>
      <c r="C21" s="11"/>
      <c r="D21" s="11"/>
      <c r="E21" s="11">
        <v>149</v>
      </c>
      <c r="F21" s="11"/>
      <c r="G21" s="11">
        <f t="shared" si="0"/>
        <v>149</v>
      </c>
      <c r="H21" s="17">
        <f t="shared" si="1"/>
        <v>0.16</v>
      </c>
      <c r="I21" s="16">
        <f t="shared" si="2"/>
        <v>1E-3</v>
      </c>
      <c r="J21" s="16">
        <f>ROUND(G21/82.74-1,2)</f>
        <v>0.8</v>
      </c>
    </row>
    <row r="22" spans="1:10" x14ac:dyDescent="0.25">
      <c r="A22" s="1" t="s">
        <v>16</v>
      </c>
      <c r="B22" s="1" t="s">
        <v>30</v>
      </c>
      <c r="C22" s="11"/>
      <c r="D22" s="11"/>
      <c r="E22" s="11">
        <v>36</v>
      </c>
      <c r="F22" s="11"/>
      <c r="G22" s="11">
        <f t="shared" si="0"/>
        <v>36</v>
      </c>
      <c r="H22" s="17">
        <f t="shared" si="1"/>
        <v>0.04</v>
      </c>
      <c r="I22" s="16">
        <f t="shared" si="2"/>
        <v>0</v>
      </c>
      <c r="J22" s="16">
        <f>ROUND(G22/16.48-1,2)</f>
        <v>1.18</v>
      </c>
    </row>
    <row r="23" spans="1:10" x14ac:dyDescent="0.25">
      <c r="A23" s="1" t="s">
        <v>16</v>
      </c>
      <c r="B23" s="1" t="s">
        <v>31</v>
      </c>
      <c r="C23" s="11"/>
      <c r="D23" s="11"/>
      <c r="E23" s="11">
        <v>204</v>
      </c>
      <c r="F23" s="11"/>
      <c r="G23" s="11">
        <f t="shared" si="0"/>
        <v>204</v>
      </c>
      <c r="H23" s="17">
        <f t="shared" si="1"/>
        <v>0.21</v>
      </c>
      <c r="I23" s="16">
        <f t="shared" si="2"/>
        <v>2E-3</v>
      </c>
      <c r="J23" s="16">
        <f>ROUND(G23/742.88-1,2)</f>
        <v>-0.73</v>
      </c>
    </row>
    <row r="24" spans="1:10" x14ac:dyDescent="0.25">
      <c r="A24" s="1" t="s">
        <v>16</v>
      </c>
      <c r="B24" s="1" t="s">
        <v>32</v>
      </c>
      <c r="C24" s="11"/>
      <c r="D24" s="11"/>
      <c r="E24" s="11">
        <v>87</v>
      </c>
      <c r="F24" s="11"/>
      <c r="G24" s="11">
        <f t="shared" si="0"/>
        <v>87</v>
      </c>
      <c r="H24" s="17">
        <f t="shared" si="1"/>
        <v>0.09</v>
      </c>
      <c r="I24" s="16">
        <f t="shared" si="2"/>
        <v>1E-3</v>
      </c>
      <c r="J24" s="16"/>
    </row>
    <row r="25" spans="1:10" x14ac:dyDescent="0.25">
      <c r="A25" s="1" t="s">
        <v>16</v>
      </c>
      <c r="B25" s="1" t="s">
        <v>33</v>
      </c>
      <c r="C25" s="11"/>
      <c r="D25" s="11"/>
      <c r="E25" s="11">
        <v>86</v>
      </c>
      <c r="F25" s="11"/>
      <c r="G25" s="11">
        <f t="shared" si="0"/>
        <v>86</v>
      </c>
      <c r="H25" s="17">
        <f t="shared" si="1"/>
        <v>0.09</v>
      </c>
      <c r="I25" s="16">
        <f t="shared" si="2"/>
        <v>1E-3</v>
      </c>
      <c r="J25" s="16"/>
    </row>
    <row r="26" spans="1:10" x14ac:dyDescent="0.25">
      <c r="A26" s="1" t="s">
        <v>16</v>
      </c>
      <c r="B26" s="1" t="s">
        <v>34</v>
      </c>
      <c r="C26" s="11"/>
      <c r="D26" s="11"/>
      <c r="E26" s="11">
        <v>297</v>
      </c>
      <c r="F26" s="11"/>
      <c r="G26" s="11">
        <f t="shared" si="0"/>
        <v>297</v>
      </c>
      <c r="H26" s="17">
        <f t="shared" si="1"/>
        <v>0.31</v>
      </c>
      <c r="I26" s="16">
        <f t="shared" si="2"/>
        <v>2E-3</v>
      </c>
      <c r="J26" s="16"/>
    </row>
    <row r="27" spans="1:10" x14ac:dyDescent="0.25">
      <c r="A27" s="1" t="s">
        <v>16</v>
      </c>
      <c r="B27" s="1" t="s">
        <v>35</v>
      </c>
      <c r="C27" s="11"/>
      <c r="D27" s="11"/>
      <c r="E27" s="11">
        <v>12542</v>
      </c>
      <c r="F27" s="11"/>
      <c r="G27" s="11">
        <f t="shared" si="0"/>
        <v>12542</v>
      </c>
      <c r="H27" s="17">
        <f t="shared" si="1"/>
        <v>13.13</v>
      </c>
      <c r="I27" s="16">
        <f t="shared" si="2"/>
        <v>9.6000000000000002E-2</v>
      </c>
      <c r="J27" s="16">
        <f>ROUND(G27/4678.98-1,2)</f>
        <v>1.68</v>
      </c>
    </row>
    <row r="28" spans="1:10" x14ac:dyDescent="0.25">
      <c r="A28" s="1" t="s">
        <v>16</v>
      </c>
      <c r="B28" s="1" t="s">
        <v>36</v>
      </c>
      <c r="C28" s="11"/>
      <c r="D28" s="11"/>
      <c r="E28" s="11">
        <v>1144</v>
      </c>
      <c r="F28" s="11"/>
      <c r="G28" s="11">
        <f t="shared" si="0"/>
        <v>1144</v>
      </c>
      <c r="H28" s="17">
        <f t="shared" si="1"/>
        <v>1.2</v>
      </c>
      <c r="I28" s="16">
        <f t="shared" si="2"/>
        <v>8.9999999999999993E-3</v>
      </c>
      <c r="J28" s="16">
        <f>ROUND(G28/610.11-1,2)</f>
        <v>0.88</v>
      </c>
    </row>
    <row r="29" spans="1:10" x14ac:dyDescent="0.25">
      <c r="A29" s="1" t="s">
        <v>16</v>
      </c>
      <c r="B29" s="1" t="s">
        <v>37</v>
      </c>
      <c r="C29" s="11"/>
      <c r="D29" s="11"/>
      <c r="E29" s="11">
        <v>4193</v>
      </c>
      <c r="F29" s="11"/>
      <c r="G29" s="11">
        <f t="shared" si="0"/>
        <v>4193</v>
      </c>
      <c r="H29" s="17">
        <f t="shared" si="1"/>
        <v>4.3899999999999997</v>
      </c>
      <c r="I29" s="16">
        <f t="shared" si="2"/>
        <v>3.2000000000000001E-2</v>
      </c>
      <c r="J29" s="16">
        <f>ROUND(G29/2664.36-1,2)</f>
        <v>0.56999999999999995</v>
      </c>
    </row>
    <row r="30" spans="1:10" x14ac:dyDescent="0.25">
      <c r="A30" s="1" t="s">
        <v>16</v>
      </c>
      <c r="B30" s="1" t="s">
        <v>38</v>
      </c>
      <c r="C30" s="11"/>
      <c r="D30" s="11"/>
      <c r="E30" s="11">
        <v>6510</v>
      </c>
      <c r="F30" s="11"/>
      <c r="G30" s="11">
        <f t="shared" si="0"/>
        <v>6510</v>
      </c>
      <c r="H30" s="17">
        <f t="shared" si="1"/>
        <v>6.82</v>
      </c>
      <c r="I30" s="16">
        <f t="shared" si="2"/>
        <v>0.05</v>
      </c>
      <c r="J30" s="16">
        <f>ROUND(G30/4485.17-1,2)</f>
        <v>0.45</v>
      </c>
    </row>
    <row r="31" spans="1:10" x14ac:dyDescent="0.25">
      <c r="A31" s="1" t="s">
        <v>16</v>
      </c>
      <c r="B31" s="1" t="s">
        <v>41</v>
      </c>
      <c r="C31" s="11"/>
      <c r="D31" s="11"/>
      <c r="E31" s="11"/>
      <c r="F31" s="11"/>
      <c r="G31" s="11">
        <f t="shared" si="0"/>
        <v>0</v>
      </c>
      <c r="H31" s="17">
        <f t="shared" si="1"/>
        <v>0</v>
      </c>
      <c r="I31" s="16">
        <f t="shared" si="2"/>
        <v>0</v>
      </c>
      <c r="J31" s="16">
        <f>ROUND(G31/566.03-1,2)</f>
        <v>-1</v>
      </c>
    </row>
    <row r="32" spans="1:10" x14ac:dyDescent="0.25">
      <c r="A32" s="1" t="s">
        <v>16</v>
      </c>
      <c r="B32" s="1" t="s">
        <v>42</v>
      </c>
      <c r="C32" s="11"/>
      <c r="D32" s="11"/>
      <c r="E32" s="11"/>
      <c r="F32" s="11"/>
      <c r="G32" s="11">
        <f t="shared" si="0"/>
        <v>0</v>
      </c>
      <c r="H32" s="17">
        <f t="shared" si="1"/>
        <v>0</v>
      </c>
      <c r="I32" s="16">
        <f t="shared" si="2"/>
        <v>0</v>
      </c>
      <c r="J32" s="16">
        <f>ROUND(G32/572.79-1,2)</f>
        <v>-1</v>
      </c>
    </row>
    <row r="33" spans="1:10" x14ac:dyDescent="0.25">
      <c r="A33" s="1" t="s">
        <v>16</v>
      </c>
      <c r="B33" s="1" t="s">
        <v>39</v>
      </c>
      <c r="C33" s="11"/>
      <c r="D33" s="11"/>
      <c r="E33" s="11"/>
      <c r="F33" s="11"/>
      <c r="G33" s="11">
        <f t="shared" si="0"/>
        <v>0</v>
      </c>
      <c r="H33" s="17">
        <f t="shared" si="1"/>
        <v>0</v>
      </c>
      <c r="I33" s="16">
        <f t="shared" si="2"/>
        <v>0</v>
      </c>
      <c r="J33" s="16">
        <f>ROUND(G33/25.87-1,2)</f>
        <v>-1</v>
      </c>
    </row>
    <row r="34" spans="1:10" x14ac:dyDescent="0.25">
      <c r="A34" s="1" t="s">
        <v>16</v>
      </c>
      <c r="B34" s="1" t="s">
        <v>40</v>
      </c>
      <c r="C34" s="11"/>
      <c r="D34" s="11"/>
      <c r="E34" s="11"/>
      <c r="F34" s="11"/>
      <c r="G34" s="11">
        <f t="shared" si="0"/>
        <v>0</v>
      </c>
      <c r="H34" s="17">
        <f t="shared" si="1"/>
        <v>0</v>
      </c>
      <c r="I34" s="16">
        <f t="shared" si="2"/>
        <v>0</v>
      </c>
      <c r="J34" s="16"/>
    </row>
    <row r="35" spans="1:10" x14ac:dyDescent="0.25">
      <c r="A35" s="1" t="s">
        <v>16</v>
      </c>
      <c r="B35" s="1" t="s">
        <v>118</v>
      </c>
      <c r="C35" s="11"/>
      <c r="D35" s="11"/>
      <c r="E35" s="11"/>
      <c r="F35" s="11"/>
      <c r="G35" s="11">
        <f t="shared" si="0"/>
        <v>0</v>
      </c>
      <c r="H35" s="17">
        <f t="shared" si="1"/>
        <v>0</v>
      </c>
      <c r="I35" s="16">
        <f t="shared" si="2"/>
        <v>0</v>
      </c>
      <c r="J35" s="16"/>
    </row>
    <row r="36" spans="1:10" x14ac:dyDescent="0.25">
      <c r="A36" s="1" t="s">
        <v>44</v>
      </c>
      <c r="B36" s="1" t="s">
        <v>45</v>
      </c>
      <c r="C36" s="11">
        <v>28350</v>
      </c>
      <c r="D36" s="11"/>
      <c r="E36" s="11"/>
      <c r="F36" s="11"/>
      <c r="G36" s="11">
        <f t="shared" si="0"/>
        <v>28350</v>
      </c>
      <c r="H36" s="17">
        <f t="shared" si="1"/>
        <v>29.69</v>
      </c>
      <c r="I36" s="16">
        <f t="shared" si="2"/>
        <v>0.217</v>
      </c>
      <c r="J36" s="16">
        <f>ROUND(G36/24230-1,2)</f>
        <v>0.17</v>
      </c>
    </row>
    <row r="37" spans="1:10" x14ac:dyDescent="0.25">
      <c r="A37" s="1" t="s">
        <v>44</v>
      </c>
      <c r="B37" s="1" t="s">
        <v>46</v>
      </c>
      <c r="C37" s="11"/>
      <c r="D37" s="11"/>
      <c r="E37" s="11">
        <v>9474</v>
      </c>
      <c r="F37" s="11"/>
      <c r="G37" s="11">
        <f t="shared" si="0"/>
        <v>9474</v>
      </c>
      <c r="H37" s="17">
        <f t="shared" si="1"/>
        <v>9.92</v>
      </c>
      <c r="I37" s="16">
        <f t="shared" si="2"/>
        <v>7.1999999999999995E-2</v>
      </c>
      <c r="J37" s="16">
        <f>ROUND(G37/6725.17-1,2)</f>
        <v>0.41</v>
      </c>
    </row>
    <row r="38" spans="1:10" x14ac:dyDescent="0.25">
      <c r="A38" s="1" t="s">
        <v>44</v>
      </c>
      <c r="B38" s="1" t="s">
        <v>47</v>
      </c>
      <c r="C38" s="11"/>
      <c r="D38" s="11"/>
      <c r="E38" s="11"/>
      <c r="F38" s="11"/>
      <c r="G38" s="11">
        <f t="shared" si="0"/>
        <v>0</v>
      </c>
      <c r="H38" s="17">
        <f t="shared" si="1"/>
        <v>0</v>
      </c>
      <c r="I38" s="16">
        <f t="shared" si="2"/>
        <v>0</v>
      </c>
      <c r="J38" s="16"/>
    </row>
    <row r="39" spans="1:10" x14ac:dyDescent="0.25">
      <c r="A39" s="1" t="s">
        <v>48</v>
      </c>
      <c r="B39" s="1" t="s">
        <v>86</v>
      </c>
      <c r="C39" s="11"/>
      <c r="D39" s="11"/>
      <c r="E39" s="11"/>
      <c r="F39" s="11"/>
      <c r="G39" s="11">
        <f t="shared" si="0"/>
        <v>0</v>
      </c>
      <c r="H39" s="17">
        <f t="shared" si="1"/>
        <v>0</v>
      </c>
      <c r="I39" s="16">
        <f t="shared" si="2"/>
        <v>0</v>
      </c>
      <c r="J39" s="16"/>
    </row>
    <row r="40" spans="1:10" x14ac:dyDescent="0.25">
      <c r="A40" s="1" t="s">
        <v>48</v>
      </c>
      <c r="B40" s="1" t="s">
        <v>51</v>
      </c>
      <c r="C40" s="11"/>
      <c r="D40" s="11"/>
      <c r="E40" s="11"/>
      <c r="F40" s="11"/>
      <c r="G40" s="11">
        <f t="shared" si="0"/>
        <v>0</v>
      </c>
      <c r="H40" s="17">
        <f t="shared" si="1"/>
        <v>0</v>
      </c>
      <c r="I40" s="16">
        <f t="shared" si="2"/>
        <v>0</v>
      </c>
      <c r="J40" s="16"/>
    </row>
    <row r="41" spans="1:10" x14ac:dyDescent="0.25">
      <c r="A41" s="21" t="s">
        <v>12</v>
      </c>
      <c r="B41" s="21"/>
      <c r="C41" s="12">
        <f t="shared" ref="C41:H41" si="3">SUM(C8:C40)</f>
        <v>75485</v>
      </c>
      <c r="D41" s="12">
        <f t="shared" si="3"/>
        <v>0</v>
      </c>
      <c r="E41" s="12">
        <f t="shared" si="3"/>
        <v>55444</v>
      </c>
      <c r="F41" s="12">
        <f t="shared" si="3"/>
        <v>0</v>
      </c>
      <c r="G41" s="12">
        <f t="shared" si="3"/>
        <v>130929</v>
      </c>
      <c r="H41" s="15">
        <f t="shared" si="3"/>
        <v>137.08999999999997</v>
      </c>
      <c r="I41" s="18"/>
      <c r="J41" s="18"/>
    </row>
    <row r="42" spans="1:10" x14ac:dyDescent="0.25">
      <c r="A42" s="21" t="s">
        <v>14</v>
      </c>
      <c r="B42" s="21"/>
      <c r="C42" s="13">
        <f>ROUND(C41/G41,2)</f>
        <v>0.57999999999999996</v>
      </c>
      <c r="D42" s="13">
        <f>ROUND(D41/G41,2)</f>
        <v>0</v>
      </c>
      <c r="E42" s="13">
        <f>ROUND(E41/G41,2)</f>
        <v>0.42</v>
      </c>
      <c r="F42" s="13">
        <f>ROUND(F41/G41,2)</f>
        <v>0</v>
      </c>
      <c r="G42" s="14"/>
      <c r="H42" s="14"/>
      <c r="I42" s="18"/>
      <c r="J42" s="18"/>
    </row>
    <row r="43" spans="1:10" x14ac:dyDescent="0.25">
      <c r="A43" s="2" t="s">
        <v>52</v>
      </c>
      <c r="B43" s="2"/>
      <c r="C43" s="14"/>
      <c r="D43" s="14"/>
      <c r="E43" s="14"/>
      <c r="F43" s="14"/>
      <c r="G43" s="14"/>
      <c r="H43" s="14"/>
      <c r="I43" s="18"/>
      <c r="J43" s="18"/>
    </row>
    <row r="44" spans="1:10" x14ac:dyDescent="0.25">
      <c r="C44" s="9"/>
      <c r="D44" s="9"/>
      <c r="E44" s="9"/>
      <c r="F44" s="9"/>
      <c r="G44" s="9"/>
      <c r="H44" s="9"/>
      <c r="I44" s="10"/>
      <c r="J44" s="10"/>
    </row>
    <row r="45" spans="1:10" x14ac:dyDescent="0.25">
      <c r="C45" s="9"/>
      <c r="D45" s="9"/>
      <c r="E45" s="9"/>
      <c r="F45" s="9"/>
      <c r="G45" s="9"/>
      <c r="H45" s="9"/>
      <c r="I45" s="10"/>
      <c r="J45" s="10"/>
    </row>
    <row r="46" spans="1:10" x14ac:dyDescent="0.25">
      <c r="C46" s="9"/>
      <c r="D46" s="9"/>
      <c r="E46" s="9"/>
      <c r="F46" s="9"/>
      <c r="G46" s="9"/>
      <c r="H46" s="9"/>
      <c r="I46" s="10"/>
      <c r="J46" s="10"/>
    </row>
    <row r="47" spans="1:10" x14ac:dyDescent="0.25">
      <c r="A47" s="21" t="s">
        <v>53</v>
      </c>
      <c r="B47" s="21"/>
      <c r="C47" s="12" t="s">
        <v>8</v>
      </c>
      <c r="D47" s="12" t="s">
        <v>9</v>
      </c>
      <c r="E47" s="12" t="s">
        <v>10</v>
      </c>
      <c r="F47" s="12" t="s">
        <v>11</v>
      </c>
      <c r="G47" s="12" t="s">
        <v>12</v>
      </c>
      <c r="H47" s="15" t="s">
        <v>13</v>
      </c>
      <c r="I47" s="18"/>
      <c r="J47" s="18"/>
    </row>
    <row r="48" spans="1:10" x14ac:dyDescent="0.25">
      <c r="A48" s="20" t="s">
        <v>54</v>
      </c>
      <c r="B48" s="20"/>
      <c r="C48" s="11">
        <v>47135</v>
      </c>
      <c r="D48" s="11">
        <v>0</v>
      </c>
      <c r="E48" s="11">
        <v>45970</v>
      </c>
      <c r="F48" s="11">
        <v>0</v>
      </c>
      <c r="G48" s="11">
        <f>SUM(C48:F48)</f>
        <v>93105</v>
      </c>
      <c r="H48" s="17">
        <f>ROUND(G48/955,2)</f>
        <v>97.49</v>
      </c>
      <c r="I48" s="10"/>
      <c r="J48" s="10"/>
    </row>
    <row r="49" spans="1:10" x14ac:dyDescent="0.25">
      <c r="A49" s="20" t="s">
        <v>55</v>
      </c>
      <c r="B49" s="20"/>
      <c r="C49" s="11">
        <v>28350</v>
      </c>
      <c r="D49" s="11">
        <v>0</v>
      </c>
      <c r="E49" s="11">
        <v>9474</v>
      </c>
      <c r="F49" s="11">
        <v>0</v>
      </c>
      <c r="G49" s="11">
        <f>SUM(C49:F49)</f>
        <v>37824</v>
      </c>
      <c r="H49" s="17">
        <f>ROUND(G49/955,2)</f>
        <v>39.61</v>
      </c>
      <c r="I49" s="10"/>
      <c r="J49" s="10"/>
    </row>
    <row r="50" spans="1:10" x14ac:dyDescent="0.25">
      <c r="A50" s="20" t="s">
        <v>56</v>
      </c>
      <c r="B50" s="20"/>
      <c r="C50" s="11">
        <v>0</v>
      </c>
      <c r="D50" s="11">
        <v>0</v>
      </c>
      <c r="E50" s="11">
        <v>0</v>
      </c>
      <c r="F50" s="11">
        <v>0</v>
      </c>
      <c r="G50" s="11">
        <f>SUM(C50:F50)</f>
        <v>0</v>
      </c>
      <c r="H50" s="17">
        <f>ROUND(G50/955,2)</f>
        <v>0</v>
      </c>
      <c r="I50" s="10"/>
      <c r="J50" s="10"/>
    </row>
    <row r="51" spans="1:10" x14ac:dyDescent="0.25">
      <c r="C51" s="9"/>
      <c r="D51" s="9"/>
      <c r="E51" s="9"/>
      <c r="F51" s="9"/>
      <c r="G51" s="9"/>
      <c r="H51" s="9"/>
      <c r="I51" s="10"/>
      <c r="J51" s="10"/>
    </row>
    <row r="52" spans="1:10" x14ac:dyDescent="0.25">
      <c r="C52" s="9"/>
      <c r="D52" s="9"/>
      <c r="E52" s="9"/>
      <c r="F52" s="9"/>
      <c r="G52" s="9"/>
      <c r="H52" s="9"/>
      <c r="I52" s="10"/>
      <c r="J52" s="10"/>
    </row>
    <row r="53" spans="1:10" x14ac:dyDescent="0.25">
      <c r="C53" s="9"/>
      <c r="D53" s="9"/>
      <c r="E53" s="9"/>
      <c r="F53" s="9"/>
      <c r="G53" s="9"/>
      <c r="H53" s="9"/>
      <c r="I53" s="10"/>
      <c r="J53" s="10"/>
    </row>
    <row r="54" spans="1:10" x14ac:dyDescent="0.25">
      <c r="C54" s="9"/>
      <c r="D54" s="9"/>
      <c r="E54" s="9"/>
      <c r="F54" s="9"/>
      <c r="G54" s="9"/>
      <c r="H54" s="9"/>
      <c r="I54" s="10"/>
      <c r="J54" s="10"/>
    </row>
    <row r="55" spans="1:10" x14ac:dyDescent="0.25">
      <c r="A55" s="21" t="s">
        <v>57</v>
      </c>
      <c r="B55" s="21"/>
      <c r="C55" s="15" t="s">
        <v>2</v>
      </c>
      <c r="D55" s="15">
        <v>2023</v>
      </c>
      <c r="E55" s="15" t="s">
        <v>59</v>
      </c>
      <c r="F55" s="14"/>
      <c r="G55" s="15" t="s">
        <v>60</v>
      </c>
      <c r="H55" s="15" t="s">
        <v>2</v>
      </c>
      <c r="I55" s="13" t="s">
        <v>61</v>
      </c>
      <c r="J55" s="13" t="s">
        <v>59</v>
      </c>
    </row>
    <row r="56" spans="1:10" x14ac:dyDescent="0.25">
      <c r="A56" s="20" t="s">
        <v>58</v>
      </c>
      <c r="B56" s="20"/>
      <c r="C56" s="16">
        <f>ROUND(0.7559, 4)</f>
        <v>0.75590000000000002</v>
      </c>
      <c r="D56" s="16">
        <f>ROUND(0.7195, 4)</f>
        <v>0.71950000000000003</v>
      </c>
      <c r="E56" s="16">
        <f>ROUND(0.777, 4)</f>
        <v>0.77700000000000002</v>
      </c>
      <c r="F56" s="9"/>
      <c r="G56" s="15" t="s">
        <v>62</v>
      </c>
      <c r="H56" s="22" t="s">
        <v>63</v>
      </c>
      <c r="I56" s="24" t="s">
        <v>64</v>
      </c>
      <c r="J56" s="24" t="s">
        <v>65</v>
      </c>
    </row>
    <row r="57" spans="1:10" x14ac:dyDescent="0.25">
      <c r="A57" s="20" t="s">
        <v>66</v>
      </c>
      <c r="B57" s="20"/>
      <c r="C57" s="16">
        <f>ROUND(0.7193, 4)</f>
        <v>0.71930000000000005</v>
      </c>
      <c r="D57" s="16">
        <f>ROUND(0.6757, 4)</f>
        <v>0.67569999999999997</v>
      </c>
      <c r="E57" s="16">
        <f>ROUND(0.7608, 4)</f>
        <v>0.76080000000000003</v>
      </c>
      <c r="F57" s="9"/>
      <c r="G57" s="15" t="s">
        <v>67</v>
      </c>
      <c r="H57" s="23"/>
      <c r="I57" s="25"/>
      <c r="J57" s="25"/>
    </row>
    <row r="58" spans="1:10" x14ac:dyDescent="0.25">
      <c r="C58" s="9"/>
      <c r="D58" s="9"/>
      <c r="E58" s="9"/>
      <c r="F58" s="9"/>
      <c r="G58" s="9"/>
      <c r="H58" s="9"/>
      <c r="I58" s="10"/>
      <c r="J58" s="10"/>
    </row>
    <row r="59" spans="1:10" x14ac:dyDescent="0.25">
      <c r="C59" s="9"/>
      <c r="D59" s="9"/>
      <c r="E59" s="9"/>
      <c r="F59" s="9"/>
      <c r="G59" s="9"/>
      <c r="H59" s="9"/>
      <c r="I59" s="10"/>
      <c r="J59" s="10"/>
    </row>
    <row r="60" spans="1:10" x14ac:dyDescent="0.25">
      <c r="C60" s="9"/>
      <c r="D60" s="9"/>
      <c r="E60" s="9"/>
      <c r="F60" s="9"/>
      <c r="G60" s="9"/>
      <c r="H60" s="9"/>
      <c r="I60" s="10"/>
      <c r="J60" s="10"/>
    </row>
    <row r="61" spans="1:10" x14ac:dyDescent="0.25">
      <c r="A61" s="21" t="s">
        <v>68</v>
      </c>
      <c r="B61" s="21"/>
      <c r="C61" s="15" t="s">
        <v>2</v>
      </c>
      <c r="D61" s="15" t="s">
        <v>119</v>
      </c>
      <c r="E61" s="15" t="s">
        <v>70</v>
      </c>
      <c r="F61" s="15" t="s">
        <v>71</v>
      </c>
      <c r="G61" s="15" t="s">
        <v>72</v>
      </c>
      <c r="H61" s="14"/>
      <c r="I61" s="18"/>
      <c r="J61" s="18"/>
    </row>
    <row r="62" spans="1:10" x14ac:dyDescent="0.25">
      <c r="A62" s="20" t="s">
        <v>73</v>
      </c>
      <c r="B62" s="20"/>
      <c r="C62" s="17">
        <v>29.69</v>
      </c>
      <c r="D62" s="17">
        <v>70.36</v>
      </c>
      <c r="E62" s="17">
        <v>81.84</v>
      </c>
      <c r="F62" s="17">
        <v>48</v>
      </c>
      <c r="G62" s="17">
        <f>12/4*C62</f>
        <v>89.070000000000007</v>
      </c>
      <c r="H62" s="9"/>
      <c r="I62" s="10"/>
      <c r="J62" s="10"/>
    </row>
    <row r="63" spans="1:10" x14ac:dyDescent="0.25">
      <c r="A63" s="20" t="s">
        <v>74</v>
      </c>
      <c r="B63" s="20"/>
      <c r="C63" s="17">
        <v>15.16</v>
      </c>
      <c r="D63" s="17">
        <v>41.34</v>
      </c>
      <c r="E63" s="17">
        <v>55.63</v>
      </c>
      <c r="F63" s="17">
        <v>55.33</v>
      </c>
      <c r="G63" s="17">
        <f>12/4*C63</f>
        <v>45.480000000000004</v>
      </c>
      <c r="H63" s="9"/>
      <c r="I63" s="10"/>
      <c r="J63" s="10"/>
    </row>
    <row r="64" spans="1:10" x14ac:dyDescent="0.25">
      <c r="A64" s="20" t="s">
        <v>75</v>
      </c>
      <c r="B64" s="20"/>
      <c r="C64" s="17">
        <v>97.49</v>
      </c>
      <c r="D64" s="17">
        <v>221.98</v>
      </c>
      <c r="E64" s="17">
        <v>257.88</v>
      </c>
      <c r="F64" s="17">
        <v>242.78</v>
      </c>
      <c r="G64" s="17">
        <f>12/4*C64</f>
        <v>292.46999999999997</v>
      </c>
      <c r="H64" s="9"/>
      <c r="I64" s="10"/>
      <c r="J64" s="10"/>
    </row>
    <row r="65" spans="1:10" x14ac:dyDescent="0.25">
      <c r="A65" s="20" t="s">
        <v>76</v>
      </c>
      <c r="B65" s="20"/>
      <c r="C65" s="17">
        <v>39.61</v>
      </c>
      <c r="D65" s="17">
        <v>87.65</v>
      </c>
      <c r="E65" s="17">
        <v>103.14</v>
      </c>
      <c r="F65" s="17">
        <v>68.31</v>
      </c>
      <c r="G65" s="17">
        <f>12/4*C65</f>
        <v>118.83</v>
      </c>
      <c r="H65" s="9"/>
      <c r="I65" s="10"/>
      <c r="J65" s="10"/>
    </row>
    <row r="66" spans="1:10" x14ac:dyDescent="0.25">
      <c r="C66" s="9"/>
      <c r="D66" s="9"/>
      <c r="E66" s="9"/>
      <c r="F66" s="9"/>
      <c r="G66" s="9"/>
      <c r="H66" s="9"/>
      <c r="I66" s="10"/>
      <c r="J66" s="10"/>
    </row>
    <row r="67" spans="1:10" x14ac:dyDescent="0.25">
      <c r="C67" s="9"/>
      <c r="D67" s="9"/>
      <c r="E67" s="9"/>
      <c r="F67" s="9"/>
      <c r="G67" s="9"/>
      <c r="H67" s="9"/>
      <c r="I67" s="10"/>
      <c r="J67" s="10"/>
    </row>
    <row r="68" spans="1:10" x14ac:dyDescent="0.25">
      <c r="A68" s="19" t="s">
        <v>60</v>
      </c>
      <c r="B68" s="26"/>
      <c r="C68" s="9"/>
      <c r="D68" s="9"/>
      <c r="E68" s="9"/>
      <c r="F68" s="9"/>
      <c r="G68" s="9"/>
      <c r="H68" s="9"/>
      <c r="I68" s="10"/>
      <c r="J68" s="10"/>
    </row>
    <row r="69" spans="1:10" x14ac:dyDescent="0.25">
      <c r="A69" s="3" t="s">
        <v>77</v>
      </c>
      <c r="B69" s="1" t="s">
        <v>120</v>
      </c>
      <c r="C69" s="9"/>
      <c r="D69" s="9"/>
      <c r="E69" s="9"/>
      <c r="F69" s="9"/>
      <c r="G69" s="9"/>
      <c r="H69" s="9"/>
      <c r="I69" s="10"/>
      <c r="J69" s="10"/>
    </row>
    <row r="70" spans="1:10" x14ac:dyDescent="0.25">
      <c r="A70" s="3" t="s">
        <v>70</v>
      </c>
      <c r="B70" s="1" t="s">
        <v>79</v>
      </c>
    </row>
    <row r="71" spans="1:10" x14ac:dyDescent="0.25">
      <c r="A71" s="3" t="s">
        <v>71</v>
      </c>
      <c r="B71" s="1" t="s">
        <v>80</v>
      </c>
    </row>
    <row r="72" spans="1:10" x14ac:dyDescent="0.25">
      <c r="A72" s="3" t="s">
        <v>72</v>
      </c>
      <c r="B72" s="1" t="s">
        <v>81</v>
      </c>
    </row>
  </sheetData>
  <mergeCells count="19">
    <mergeCell ref="A63:B63"/>
    <mergeCell ref="A64:B64"/>
    <mergeCell ref="A65:B65"/>
    <mergeCell ref="A68:B68"/>
    <mergeCell ref="I56:I57"/>
    <mergeCell ref="J56:J57"/>
    <mergeCell ref="A57:B57"/>
    <mergeCell ref="A61:B61"/>
    <mergeCell ref="A62:B62"/>
    <mergeCell ref="A49:B49"/>
    <mergeCell ref="A50:B50"/>
    <mergeCell ref="A55:B55"/>
    <mergeCell ref="A56:B56"/>
    <mergeCell ref="H56:H57"/>
    <mergeCell ref="C7:G7"/>
    <mergeCell ref="A41:B41"/>
    <mergeCell ref="A42:B42"/>
    <mergeCell ref="A47:B47"/>
    <mergeCell ref="A48:B4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J80"/>
  <sheetViews>
    <sheetView workbookViewId="0">
      <selection activeCell="C9" sqref="C9:J80"/>
    </sheetView>
  </sheetViews>
  <sheetFormatPr defaultRowHeight="15" x14ac:dyDescent="0.25"/>
  <cols>
    <col min="1" max="1" width="38.85546875" bestFit="1" customWidth="1"/>
    <col min="2" max="2" width="79" bestFit="1" customWidth="1"/>
    <col min="3" max="3" width="14" bestFit="1" customWidth="1"/>
    <col min="4" max="4" width="27" bestFit="1" customWidth="1"/>
    <col min="5" max="5" width="16.42578125" bestFit="1" customWidth="1"/>
    <col min="6" max="6" width="10.5703125" bestFit="1" customWidth="1"/>
    <col min="7" max="7" width="68.28515625" bestFit="1" customWidth="1"/>
    <col min="8" max="9" width="20" bestFit="1" customWidth="1"/>
    <col min="10" max="10" width="30.5703125" bestFit="1" customWidth="1"/>
  </cols>
  <sheetData>
    <row r="2" spans="1:10" ht="18.75" x14ac:dyDescent="0.3">
      <c r="A2" s="3" t="s">
        <v>0</v>
      </c>
      <c r="B2" s="4" t="s">
        <v>121</v>
      </c>
    </row>
    <row r="3" spans="1:10" x14ac:dyDescent="0.25">
      <c r="A3" s="3" t="s">
        <v>2</v>
      </c>
      <c r="B3" s="1" t="s">
        <v>3</v>
      </c>
    </row>
    <row r="4" spans="1:10" x14ac:dyDescent="0.25">
      <c r="A4" s="3" t="s">
        <v>4</v>
      </c>
      <c r="B4" s="1">
        <v>640</v>
      </c>
    </row>
    <row r="7" spans="1:10" x14ac:dyDescent="0.25">
      <c r="C7" s="19" t="s">
        <v>5</v>
      </c>
      <c r="D7" s="20"/>
      <c r="E7" s="20"/>
      <c r="F7" s="20"/>
      <c r="G7" s="20"/>
    </row>
    <row r="8" spans="1:10" x14ac:dyDescent="0.25">
      <c r="A8" s="3" t="s">
        <v>6</v>
      </c>
      <c r="B8" s="3" t="s">
        <v>7</v>
      </c>
      <c r="C8" s="3" t="s">
        <v>8</v>
      </c>
      <c r="D8" s="3" t="s">
        <v>9</v>
      </c>
      <c r="E8" s="3" t="s">
        <v>10</v>
      </c>
      <c r="F8" s="3" t="s">
        <v>11</v>
      </c>
      <c r="G8" s="3" t="s">
        <v>12</v>
      </c>
      <c r="H8" s="3" t="s">
        <v>13</v>
      </c>
      <c r="I8" s="3" t="s">
        <v>14</v>
      </c>
      <c r="J8" s="3" t="s">
        <v>15</v>
      </c>
    </row>
    <row r="9" spans="1:10" x14ac:dyDescent="0.25">
      <c r="A9" s="1" t="s">
        <v>16</v>
      </c>
      <c r="B9" s="1" t="s">
        <v>17</v>
      </c>
      <c r="C9" s="11"/>
      <c r="D9" s="11"/>
      <c r="E9" s="11">
        <v>5</v>
      </c>
      <c r="F9" s="11"/>
      <c r="G9" s="11">
        <f t="shared" ref="G9:G37" si="0">SUM(C9:F9)</f>
        <v>5</v>
      </c>
      <c r="H9" s="17">
        <f t="shared" ref="H9:H37" si="1">ROUND(G9/640,2)</f>
        <v>0.01</v>
      </c>
      <c r="I9" s="16">
        <f t="shared" ref="I9:I37" si="2">ROUND(G9/$G$38,3)</f>
        <v>0</v>
      </c>
      <c r="J9" s="16"/>
    </row>
    <row r="10" spans="1:10" x14ac:dyDescent="0.25">
      <c r="A10" s="1" t="s">
        <v>16</v>
      </c>
      <c r="B10" s="1" t="s">
        <v>19</v>
      </c>
      <c r="C10" s="11">
        <v>4280</v>
      </c>
      <c r="D10" s="11"/>
      <c r="E10" s="11">
        <v>715</v>
      </c>
      <c r="F10" s="11"/>
      <c r="G10" s="11">
        <f t="shared" si="0"/>
        <v>4995</v>
      </c>
      <c r="H10" s="17">
        <f t="shared" si="1"/>
        <v>7.8</v>
      </c>
      <c r="I10" s="16">
        <f t="shared" si="2"/>
        <v>8.1000000000000003E-2</v>
      </c>
      <c r="J10" s="16">
        <f>ROUND(G10/6120.78-1,2)</f>
        <v>-0.18</v>
      </c>
    </row>
    <row r="11" spans="1:10" x14ac:dyDescent="0.25">
      <c r="A11" s="1" t="s">
        <v>16</v>
      </c>
      <c r="B11" s="1" t="s">
        <v>20</v>
      </c>
      <c r="C11" s="11">
        <v>8585</v>
      </c>
      <c r="D11" s="11"/>
      <c r="E11" s="11"/>
      <c r="F11" s="11"/>
      <c r="G11" s="11">
        <f t="shared" si="0"/>
        <v>8585</v>
      </c>
      <c r="H11" s="17">
        <f t="shared" si="1"/>
        <v>13.41</v>
      </c>
      <c r="I11" s="16">
        <f t="shared" si="2"/>
        <v>0.13900000000000001</v>
      </c>
      <c r="J11" s="16">
        <f>ROUND(G11/4855-1,2)</f>
        <v>0.77</v>
      </c>
    </row>
    <row r="12" spans="1:10" x14ac:dyDescent="0.25">
      <c r="A12" s="1" t="s">
        <v>16</v>
      </c>
      <c r="B12" s="1" t="s">
        <v>21</v>
      </c>
      <c r="C12" s="11"/>
      <c r="D12" s="11"/>
      <c r="E12" s="11">
        <v>18</v>
      </c>
      <c r="F12" s="11"/>
      <c r="G12" s="11">
        <f t="shared" si="0"/>
        <v>18</v>
      </c>
      <c r="H12" s="17">
        <f t="shared" si="1"/>
        <v>0.03</v>
      </c>
      <c r="I12" s="16">
        <f t="shared" si="2"/>
        <v>0</v>
      </c>
      <c r="J12" s="16">
        <f>ROUND(G12/23.29-1,2)</f>
        <v>-0.23</v>
      </c>
    </row>
    <row r="13" spans="1:10" x14ac:dyDescent="0.25">
      <c r="A13" s="1" t="s">
        <v>16</v>
      </c>
      <c r="B13" s="1" t="s">
        <v>22</v>
      </c>
      <c r="C13" s="11"/>
      <c r="D13" s="11"/>
      <c r="E13" s="11">
        <v>103</v>
      </c>
      <c r="F13" s="11"/>
      <c r="G13" s="11">
        <f t="shared" si="0"/>
        <v>103</v>
      </c>
      <c r="H13" s="17">
        <f t="shared" si="1"/>
        <v>0.16</v>
      </c>
      <c r="I13" s="16">
        <f t="shared" si="2"/>
        <v>2E-3</v>
      </c>
      <c r="J13" s="16"/>
    </row>
    <row r="14" spans="1:10" x14ac:dyDescent="0.25">
      <c r="A14" s="1" t="s">
        <v>16</v>
      </c>
      <c r="B14" s="1" t="s">
        <v>23</v>
      </c>
      <c r="C14" s="11"/>
      <c r="D14" s="11"/>
      <c r="E14" s="11">
        <v>4933</v>
      </c>
      <c r="F14" s="11"/>
      <c r="G14" s="11">
        <f t="shared" si="0"/>
        <v>4933</v>
      </c>
      <c r="H14" s="17">
        <f t="shared" si="1"/>
        <v>7.71</v>
      </c>
      <c r="I14" s="16">
        <f t="shared" si="2"/>
        <v>0.08</v>
      </c>
      <c r="J14" s="16">
        <f>ROUND(G14/8963.06-1,2)</f>
        <v>-0.45</v>
      </c>
    </row>
    <row r="15" spans="1:10" x14ac:dyDescent="0.25">
      <c r="A15" s="1" t="s">
        <v>16</v>
      </c>
      <c r="B15" s="1" t="s">
        <v>24</v>
      </c>
      <c r="C15" s="11">
        <v>4710</v>
      </c>
      <c r="D15" s="11"/>
      <c r="E15" s="11">
        <v>2336</v>
      </c>
      <c r="F15" s="11"/>
      <c r="G15" s="11">
        <f t="shared" si="0"/>
        <v>7046</v>
      </c>
      <c r="H15" s="17">
        <f t="shared" si="1"/>
        <v>11.01</v>
      </c>
      <c r="I15" s="16">
        <f t="shared" si="2"/>
        <v>0.114</v>
      </c>
      <c r="J15" s="16">
        <f>ROUND(G15/6869.08-1,2)</f>
        <v>0.03</v>
      </c>
    </row>
    <row r="16" spans="1:10" x14ac:dyDescent="0.25">
      <c r="A16" s="1" t="s">
        <v>16</v>
      </c>
      <c r="B16" s="1" t="s">
        <v>25</v>
      </c>
      <c r="C16" s="11"/>
      <c r="D16" s="11"/>
      <c r="E16" s="11">
        <v>531</v>
      </c>
      <c r="F16" s="11"/>
      <c r="G16" s="11">
        <f t="shared" si="0"/>
        <v>531</v>
      </c>
      <c r="H16" s="17">
        <f t="shared" si="1"/>
        <v>0.83</v>
      </c>
      <c r="I16" s="16">
        <f t="shared" si="2"/>
        <v>8.9999999999999993E-3</v>
      </c>
      <c r="J16" s="16"/>
    </row>
    <row r="17" spans="1:10" x14ac:dyDescent="0.25">
      <c r="A17" s="1" t="s">
        <v>16</v>
      </c>
      <c r="B17" s="1" t="s">
        <v>26</v>
      </c>
      <c r="C17" s="11">
        <v>2620</v>
      </c>
      <c r="D17" s="11"/>
      <c r="E17" s="11"/>
      <c r="F17" s="11"/>
      <c r="G17" s="11">
        <f t="shared" si="0"/>
        <v>2620</v>
      </c>
      <c r="H17" s="17">
        <f t="shared" si="1"/>
        <v>4.09</v>
      </c>
      <c r="I17" s="16">
        <f t="shared" si="2"/>
        <v>4.2000000000000003E-2</v>
      </c>
      <c r="J17" s="16">
        <f>ROUND(G17/7650-1,2)</f>
        <v>-0.66</v>
      </c>
    </row>
    <row r="18" spans="1:10" x14ac:dyDescent="0.25">
      <c r="A18" s="1" t="s">
        <v>16</v>
      </c>
      <c r="B18" s="1" t="s">
        <v>27</v>
      </c>
      <c r="C18" s="11"/>
      <c r="D18" s="11"/>
      <c r="E18" s="11">
        <v>68</v>
      </c>
      <c r="F18" s="11"/>
      <c r="G18" s="11">
        <f t="shared" si="0"/>
        <v>68</v>
      </c>
      <c r="H18" s="17">
        <f t="shared" si="1"/>
        <v>0.11</v>
      </c>
      <c r="I18" s="16">
        <f t="shared" si="2"/>
        <v>1E-3</v>
      </c>
      <c r="J18" s="16"/>
    </row>
    <row r="19" spans="1:10" x14ac:dyDescent="0.25">
      <c r="A19" s="1" t="s">
        <v>16</v>
      </c>
      <c r="B19" s="1" t="s">
        <v>28</v>
      </c>
      <c r="C19" s="11"/>
      <c r="D19" s="11"/>
      <c r="E19" s="11">
        <v>33</v>
      </c>
      <c r="F19" s="11"/>
      <c r="G19" s="11">
        <f t="shared" si="0"/>
        <v>33</v>
      </c>
      <c r="H19" s="17">
        <f t="shared" si="1"/>
        <v>0.05</v>
      </c>
      <c r="I19" s="16">
        <f t="shared" si="2"/>
        <v>1E-3</v>
      </c>
      <c r="J19" s="16"/>
    </row>
    <row r="20" spans="1:10" x14ac:dyDescent="0.25">
      <c r="A20" s="1" t="s">
        <v>16</v>
      </c>
      <c r="B20" s="1" t="s">
        <v>29</v>
      </c>
      <c r="C20" s="11"/>
      <c r="D20" s="11"/>
      <c r="E20" s="11">
        <v>26</v>
      </c>
      <c r="F20" s="11"/>
      <c r="G20" s="11">
        <f t="shared" si="0"/>
        <v>26</v>
      </c>
      <c r="H20" s="17">
        <f t="shared" si="1"/>
        <v>0.04</v>
      </c>
      <c r="I20" s="16">
        <f t="shared" si="2"/>
        <v>0</v>
      </c>
      <c r="J20" s="16">
        <f>ROUND(G20/92.11-1,2)</f>
        <v>-0.72</v>
      </c>
    </row>
    <row r="21" spans="1:10" x14ac:dyDescent="0.25">
      <c r="A21" s="1" t="s">
        <v>16</v>
      </c>
      <c r="B21" s="1" t="s">
        <v>31</v>
      </c>
      <c r="C21" s="11"/>
      <c r="D21" s="11"/>
      <c r="E21" s="11">
        <v>74</v>
      </c>
      <c r="F21" s="11"/>
      <c r="G21" s="11">
        <f t="shared" si="0"/>
        <v>74</v>
      </c>
      <c r="H21" s="17">
        <f t="shared" si="1"/>
        <v>0.12</v>
      </c>
      <c r="I21" s="16">
        <f t="shared" si="2"/>
        <v>1E-3</v>
      </c>
      <c r="J21" s="16">
        <f>ROUND(G21/249.56-1,2)</f>
        <v>-0.7</v>
      </c>
    </row>
    <row r="22" spans="1:10" x14ac:dyDescent="0.25">
      <c r="A22" s="1" t="s">
        <v>16</v>
      </c>
      <c r="B22" s="1" t="s">
        <v>32</v>
      </c>
      <c r="C22" s="11"/>
      <c r="D22" s="11"/>
      <c r="E22" s="11">
        <v>13</v>
      </c>
      <c r="F22" s="11"/>
      <c r="G22" s="11">
        <f t="shared" si="0"/>
        <v>13</v>
      </c>
      <c r="H22" s="17">
        <f t="shared" si="1"/>
        <v>0.02</v>
      </c>
      <c r="I22" s="16">
        <f t="shared" si="2"/>
        <v>0</v>
      </c>
      <c r="J22" s="16"/>
    </row>
    <row r="23" spans="1:10" x14ac:dyDescent="0.25">
      <c r="A23" s="1" t="s">
        <v>16</v>
      </c>
      <c r="B23" s="1" t="s">
        <v>34</v>
      </c>
      <c r="C23" s="11"/>
      <c r="D23" s="11"/>
      <c r="E23" s="11">
        <v>54</v>
      </c>
      <c r="F23" s="11"/>
      <c r="G23" s="11">
        <f t="shared" si="0"/>
        <v>54</v>
      </c>
      <c r="H23" s="17">
        <f t="shared" si="1"/>
        <v>0.08</v>
      </c>
      <c r="I23" s="16">
        <f t="shared" si="2"/>
        <v>1E-3</v>
      </c>
      <c r="J23" s="16"/>
    </row>
    <row r="24" spans="1:10" x14ac:dyDescent="0.25">
      <c r="A24" s="1" t="s">
        <v>16</v>
      </c>
      <c r="B24" s="1" t="s">
        <v>35</v>
      </c>
      <c r="C24" s="11"/>
      <c r="D24" s="11"/>
      <c r="E24" s="11">
        <v>4907</v>
      </c>
      <c r="F24" s="11"/>
      <c r="G24" s="11">
        <f t="shared" si="0"/>
        <v>4907</v>
      </c>
      <c r="H24" s="17">
        <f t="shared" si="1"/>
        <v>7.67</v>
      </c>
      <c r="I24" s="16">
        <f t="shared" si="2"/>
        <v>7.9000000000000001E-2</v>
      </c>
      <c r="J24" s="16">
        <f>ROUND(G24/5846.41-1,2)</f>
        <v>-0.16</v>
      </c>
    </row>
    <row r="25" spans="1:10" x14ac:dyDescent="0.25">
      <c r="A25" s="1" t="s">
        <v>16</v>
      </c>
      <c r="B25" s="1" t="s">
        <v>36</v>
      </c>
      <c r="C25" s="11"/>
      <c r="D25" s="11"/>
      <c r="E25" s="11">
        <v>326</v>
      </c>
      <c r="F25" s="11"/>
      <c r="G25" s="11">
        <f t="shared" si="0"/>
        <v>326</v>
      </c>
      <c r="H25" s="17">
        <f t="shared" si="1"/>
        <v>0.51</v>
      </c>
      <c r="I25" s="16">
        <f t="shared" si="2"/>
        <v>5.0000000000000001E-3</v>
      </c>
      <c r="J25" s="16">
        <f>ROUND(G25/403.7-1,2)</f>
        <v>-0.19</v>
      </c>
    </row>
    <row r="26" spans="1:10" x14ac:dyDescent="0.25">
      <c r="A26" s="1" t="s">
        <v>16</v>
      </c>
      <c r="B26" s="1" t="s">
        <v>37</v>
      </c>
      <c r="C26" s="11"/>
      <c r="D26" s="11"/>
      <c r="E26" s="11">
        <v>1407</v>
      </c>
      <c r="F26" s="11"/>
      <c r="G26" s="11">
        <f t="shared" si="0"/>
        <v>1407</v>
      </c>
      <c r="H26" s="17">
        <f t="shared" si="1"/>
        <v>2.2000000000000002</v>
      </c>
      <c r="I26" s="16">
        <f t="shared" si="2"/>
        <v>2.3E-2</v>
      </c>
      <c r="J26" s="16">
        <f>ROUND(G26/2131.45-1,2)</f>
        <v>-0.34</v>
      </c>
    </row>
    <row r="27" spans="1:10" x14ac:dyDescent="0.25">
      <c r="A27" s="1" t="s">
        <v>16</v>
      </c>
      <c r="B27" s="1" t="s">
        <v>38</v>
      </c>
      <c r="C27" s="11"/>
      <c r="D27" s="11"/>
      <c r="E27" s="11">
        <v>1562</v>
      </c>
      <c r="F27" s="11"/>
      <c r="G27" s="11">
        <f t="shared" si="0"/>
        <v>1562</v>
      </c>
      <c r="H27" s="17">
        <f t="shared" si="1"/>
        <v>2.44</v>
      </c>
      <c r="I27" s="16">
        <f t="shared" si="2"/>
        <v>2.5000000000000001E-2</v>
      </c>
      <c r="J27" s="16">
        <f>ROUND(G27/1444.76-1,2)</f>
        <v>0.08</v>
      </c>
    </row>
    <row r="28" spans="1:10" x14ac:dyDescent="0.25">
      <c r="A28" s="1" t="s">
        <v>16</v>
      </c>
      <c r="B28" s="1" t="s">
        <v>40</v>
      </c>
      <c r="C28" s="11"/>
      <c r="D28" s="11"/>
      <c r="E28" s="11"/>
      <c r="F28" s="11"/>
      <c r="G28" s="11">
        <f t="shared" si="0"/>
        <v>0</v>
      </c>
      <c r="H28" s="17">
        <f t="shared" si="1"/>
        <v>0</v>
      </c>
      <c r="I28" s="16">
        <f t="shared" si="2"/>
        <v>0</v>
      </c>
      <c r="J28" s="16">
        <f>ROUND(G28/334.29-1,2)</f>
        <v>-1</v>
      </c>
    </row>
    <row r="29" spans="1:10" x14ac:dyDescent="0.25">
      <c r="A29" s="1" t="s">
        <v>16</v>
      </c>
      <c r="B29" s="1" t="s">
        <v>42</v>
      </c>
      <c r="C29" s="11"/>
      <c r="D29" s="11"/>
      <c r="E29" s="11"/>
      <c r="F29" s="11"/>
      <c r="G29" s="11">
        <f t="shared" si="0"/>
        <v>0</v>
      </c>
      <c r="H29" s="17">
        <f t="shared" si="1"/>
        <v>0</v>
      </c>
      <c r="I29" s="16">
        <f t="shared" si="2"/>
        <v>0</v>
      </c>
      <c r="J29" s="16">
        <f>ROUND(G29/694.63-1,2)</f>
        <v>-1</v>
      </c>
    </row>
    <row r="30" spans="1:10" x14ac:dyDescent="0.25">
      <c r="A30" s="1" t="s">
        <v>16</v>
      </c>
      <c r="B30" s="1" t="s">
        <v>41</v>
      </c>
      <c r="C30" s="11"/>
      <c r="D30" s="11"/>
      <c r="E30" s="11"/>
      <c r="F30" s="11"/>
      <c r="G30" s="11">
        <f t="shared" si="0"/>
        <v>0</v>
      </c>
      <c r="H30" s="17">
        <f t="shared" si="1"/>
        <v>0</v>
      </c>
      <c r="I30" s="16">
        <f t="shared" si="2"/>
        <v>0</v>
      </c>
      <c r="J30" s="16">
        <f>ROUND(G30/246.45-1,2)</f>
        <v>-1</v>
      </c>
    </row>
    <row r="31" spans="1:10" x14ac:dyDescent="0.25">
      <c r="A31" s="1" t="s">
        <v>16</v>
      </c>
      <c r="B31" s="1" t="s">
        <v>118</v>
      </c>
      <c r="C31" s="11"/>
      <c r="D31" s="11"/>
      <c r="E31" s="11"/>
      <c r="F31" s="11"/>
      <c r="G31" s="11">
        <f t="shared" si="0"/>
        <v>0</v>
      </c>
      <c r="H31" s="17">
        <f t="shared" si="1"/>
        <v>0</v>
      </c>
      <c r="I31" s="16">
        <f t="shared" si="2"/>
        <v>0</v>
      </c>
      <c r="J31" s="16"/>
    </row>
    <row r="32" spans="1:10" x14ac:dyDescent="0.25">
      <c r="A32" s="1" t="s">
        <v>16</v>
      </c>
      <c r="B32" s="1" t="s">
        <v>39</v>
      </c>
      <c r="C32" s="11"/>
      <c r="D32" s="11"/>
      <c r="E32" s="11"/>
      <c r="F32" s="11"/>
      <c r="G32" s="11">
        <f t="shared" si="0"/>
        <v>0</v>
      </c>
      <c r="H32" s="17">
        <f t="shared" si="1"/>
        <v>0</v>
      </c>
      <c r="I32" s="16">
        <f t="shared" si="2"/>
        <v>0</v>
      </c>
      <c r="J32" s="16"/>
    </row>
    <row r="33" spans="1:10" x14ac:dyDescent="0.25">
      <c r="A33" s="1" t="s">
        <v>16</v>
      </c>
      <c r="B33" s="1" t="s">
        <v>30</v>
      </c>
      <c r="C33" s="11"/>
      <c r="D33" s="11"/>
      <c r="E33" s="11"/>
      <c r="F33" s="11"/>
      <c r="G33" s="11">
        <f t="shared" si="0"/>
        <v>0</v>
      </c>
      <c r="H33" s="17">
        <f t="shared" si="1"/>
        <v>0</v>
      </c>
      <c r="I33" s="16">
        <f t="shared" si="2"/>
        <v>0</v>
      </c>
      <c r="J33" s="16"/>
    </row>
    <row r="34" spans="1:10" x14ac:dyDescent="0.25">
      <c r="A34" s="1" t="s">
        <v>44</v>
      </c>
      <c r="B34" s="1" t="s">
        <v>45</v>
      </c>
      <c r="C34" s="11">
        <v>21760</v>
      </c>
      <c r="D34" s="11"/>
      <c r="E34" s="11"/>
      <c r="F34" s="11"/>
      <c r="G34" s="11">
        <f t="shared" si="0"/>
        <v>21760</v>
      </c>
      <c r="H34" s="17">
        <f t="shared" si="1"/>
        <v>34</v>
      </c>
      <c r="I34" s="16">
        <f t="shared" si="2"/>
        <v>0.35199999999999998</v>
      </c>
      <c r="J34" s="16">
        <f>ROUND(G34/22860-1,2)</f>
        <v>-0.05</v>
      </c>
    </row>
    <row r="35" spans="1:10" x14ac:dyDescent="0.25">
      <c r="A35" s="1" t="s">
        <v>44</v>
      </c>
      <c r="B35" s="1" t="s">
        <v>46</v>
      </c>
      <c r="C35" s="11"/>
      <c r="D35" s="11"/>
      <c r="E35" s="11">
        <v>2836</v>
      </c>
      <c r="F35" s="11"/>
      <c r="G35" s="11">
        <f t="shared" si="0"/>
        <v>2836</v>
      </c>
      <c r="H35" s="17">
        <f t="shared" si="1"/>
        <v>4.43</v>
      </c>
      <c r="I35" s="16">
        <f t="shared" si="2"/>
        <v>4.5999999999999999E-2</v>
      </c>
      <c r="J35" s="16">
        <f>ROUND(G35/3674.33-1,2)</f>
        <v>-0.23</v>
      </c>
    </row>
    <row r="36" spans="1:10" x14ac:dyDescent="0.25">
      <c r="A36" s="1" t="s">
        <v>44</v>
      </c>
      <c r="B36" s="1" t="s">
        <v>47</v>
      </c>
      <c r="C36" s="11"/>
      <c r="D36" s="11"/>
      <c r="E36" s="11"/>
      <c r="F36" s="11"/>
      <c r="G36" s="11">
        <f t="shared" si="0"/>
        <v>0</v>
      </c>
      <c r="H36" s="17">
        <f t="shared" si="1"/>
        <v>0</v>
      </c>
      <c r="I36" s="16">
        <f t="shared" si="2"/>
        <v>0</v>
      </c>
      <c r="J36" s="16"/>
    </row>
    <row r="37" spans="1:10" x14ac:dyDescent="0.25">
      <c r="A37" s="1" t="s">
        <v>48</v>
      </c>
      <c r="B37" s="1" t="s">
        <v>51</v>
      </c>
      <c r="C37" s="11"/>
      <c r="D37" s="11"/>
      <c r="E37" s="11"/>
      <c r="F37" s="11"/>
      <c r="G37" s="11">
        <f t="shared" si="0"/>
        <v>0</v>
      </c>
      <c r="H37" s="17">
        <f t="shared" si="1"/>
        <v>0</v>
      </c>
      <c r="I37" s="16">
        <f t="shared" si="2"/>
        <v>0</v>
      </c>
      <c r="J37" s="16"/>
    </row>
    <row r="38" spans="1:10" x14ac:dyDescent="0.25">
      <c r="A38" s="21" t="s">
        <v>12</v>
      </c>
      <c r="B38" s="21"/>
      <c r="C38" s="12">
        <f t="shared" ref="C38:H38" si="3">SUM(C8:C37)</f>
        <v>41955</v>
      </c>
      <c r="D38" s="12">
        <f t="shared" si="3"/>
        <v>0</v>
      </c>
      <c r="E38" s="12">
        <f t="shared" si="3"/>
        <v>19947</v>
      </c>
      <c r="F38" s="12">
        <f t="shared" si="3"/>
        <v>0</v>
      </c>
      <c r="G38" s="12">
        <f t="shared" si="3"/>
        <v>61902</v>
      </c>
      <c r="H38" s="15">
        <f t="shared" si="3"/>
        <v>96.72</v>
      </c>
      <c r="I38" s="18"/>
      <c r="J38" s="18"/>
    </row>
    <row r="39" spans="1:10" x14ac:dyDescent="0.25">
      <c r="A39" s="21" t="s">
        <v>14</v>
      </c>
      <c r="B39" s="21"/>
      <c r="C39" s="13">
        <f>ROUND(C38/G38,2)</f>
        <v>0.68</v>
      </c>
      <c r="D39" s="13">
        <f>ROUND(D38/G38,2)</f>
        <v>0</v>
      </c>
      <c r="E39" s="13">
        <f>ROUND(E38/G38,2)</f>
        <v>0.32</v>
      </c>
      <c r="F39" s="13">
        <f>ROUND(F38/G38,2)</f>
        <v>0</v>
      </c>
      <c r="G39" s="14"/>
      <c r="H39" s="14"/>
      <c r="I39" s="18"/>
      <c r="J39" s="18"/>
    </row>
    <row r="40" spans="1:10" x14ac:dyDescent="0.25">
      <c r="A40" s="2" t="s">
        <v>52</v>
      </c>
      <c r="B40" s="2"/>
      <c r="C40" s="14"/>
      <c r="D40" s="14"/>
      <c r="E40" s="14"/>
      <c r="F40" s="14"/>
      <c r="G40" s="14"/>
      <c r="H40" s="14"/>
      <c r="I40" s="18"/>
      <c r="J40" s="18"/>
    </row>
    <row r="41" spans="1:10" x14ac:dyDescent="0.25">
      <c r="C41" s="9"/>
      <c r="D41" s="9"/>
      <c r="E41" s="9"/>
      <c r="F41" s="9"/>
      <c r="G41" s="9"/>
      <c r="H41" s="9"/>
      <c r="I41" s="10"/>
      <c r="J41" s="10"/>
    </row>
    <row r="42" spans="1:10" x14ac:dyDescent="0.25">
      <c r="C42" s="9"/>
      <c r="D42" s="9"/>
      <c r="E42" s="9"/>
      <c r="F42" s="9"/>
      <c r="G42" s="9"/>
      <c r="H42" s="9"/>
      <c r="I42" s="10"/>
      <c r="J42" s="10"/>
    </row>
    <row r="43" spans="1:10" x14ac:dyDescent="0.25">
      <c r="C43" s="9"/>
      <c r="D43" s="9"/>
      <c r="E43" s="9"/>
      <c r="F43" s="9"/>
      <c r="G43" s="9"/>
      <c r="H43" s="9"/>
      <c r="I43" s="10"/>
      <c r="J43" s="10"/>
    </row>
    <row r="44" spans="1:10" x14ac:dyDescent="0.25">
      <c r="A44" s="21" t="s">
        <v>53</v>
      </c>
      <c r="B44" s="21"/>
      <c r="C44" s="12" t="s">
        <v>8</v>
      </c>
      <c r="D44" s="12" t="s">
        <v>9</v>
      </c>
      <c r="E44" s="12" t="s">
        <v>10</v>
      </c>
      <c r="F44" s="12" t="s">
        <v>11</v>
      </c>
      <c r="G44" s="12" t="s">
        <v>12</v>
      </c>
      <c r="H44" s="15" t="s">
        <v>13</v>
      </c>
      <c r="I44" s="18"/>
      <c r="J44" s="18"/>
    </row>
    <row r="45" spans="1:10" x14ac:dyDescent="0.25">
      <c r="A45" s="20" t="s">
        <v>54</v>
      </c>
      <c r="B45" s="20"/>
      <c r="C45" s="11">
        <v>20195</v>
      </c>
      <c r="D45" s="11">
        <v>0</v>
      </c>
      <c r="E45" s="11">
        <v>17111</v>
      </c>
      <c r="F45" s="11">
        <v>0</v>
      </c>
      <c r="G45" s="11">
        <f>SUM(C45:F45)</f>
        <v>37306</v>
      </c>
      <c r="H45" s="17">
        <f>ROUND(G45/640,2)</f>
        <v>58.29</v>
      </c>
      <c r="I45" s="10"/>
      <c r="J45" s="10"/>
    </row>
    <row r="46" spans="1:10" x14ac:dyDescent="0.25">
      <c r="A46" s="20" t="s">
        <v>55</v>
      </c>
      <c r="B46" s="20"/>
      <c r="C46" s="11">
        <v>21760</v>
      </c>
      <c r="D46" s="11">
        <v>0</v>
      </c>
      <c r="E46" s="11">
        <v>2836</v>
      </c>
      <c r="F46" s="11">
        <v>0</v>
      </c>
      <c r="G46" s="11">
        <f>SUM(C46:F46)</f>
        <v>24596</v>
      </c>
      <c r="H46" s="17">
        <f>ROUND(G46/640,2)</f>
        <v>38.43</v>
      </c>
      <c r="I46" s="10"/>
      <c r="J46" s="10"/>
    </row>
    <row r="47" spans="1:10" x14ac:dyDescent="0.25">
      <c r="A47" s="20" t="s">
        <v>56</v>
      </c>
      <c r="B47" s="20"/>
      <c r="C47" s="11">
        <v>0</v>
      </c>
      <c r="D47" s="11">
        <v>0</v>
      </c>
      <c r="E47" s="11">
        <v>0</v>
      </c>
      <c r="F47" s="11">
        <v>0</v>
      </c>
      <c r="G47" s="11">
        <f>SUM(C47:F47)</f>
        <v>0</v>
      </c>
      <c r="H47" s="17">
        <f>ROUND(G47/640,2)</f>
        <v>0</v>
      </c>
      <c r="I47" s="10"/>
      <c r="J47" s="10"/>
    </row>
    <row r="48" spans="1:10" x14ac:dyDescent="0.25">
      <c r="C48" s="9"/>
      <c r="D48" s="9"/>
      <c r="E48" s="9"/>
      <c r="F48" s="9"/>
      <c r="G48" s="9"/>
      <c r="H48" s="9"/>
      <c r="I48" s="10"/>
      <c r="J48" s="10"/>
    </row>
    <row r="49" spans="1:10" x14ac:dyDescent="0.25">
      <c r="C49" s="9"/>
      <c r="D49" s="9"/>
      <c r="E49" s="9"/>
      <c r="F49" s="9"/>
      <c r="G49" s="9"/>
      <c r="H49" s="9"/>
      <c r="I49" s="10"/>
      <c r="J49" s="10"/>
    </row>
    <row r="50" spans="1:10" x14ac:dyDescent="0.25">
      <c r="C50" s="9"/>
      <c r="D50" s="9"/>
      <c r="E50" s="9"/>
      <c r="F50" s="9"/>
      <c r="G50" s="9"/>
      <c r="H50" s="9"/>
      <c r="I50" s="10"/>
      <c r="J50" s="10"/>
    </row>
    <row r="51" spans="1:10" x14ac:dyDescent="0.25">
      <c r="C51" s="9"/>
      <c r="D51" s="9"/>
      <c r="E51" s="9"/>
      <c r="F51" s="9"/>
      <c r="G51" s="9"/>
      <c r="H51" s="9"/>
      <c r="I51" s="10"/>
      <c r="J51" s="10"/>
    </row>
    <row r="52" spans="1:10" x14ac:dyDescent="0.25">
      <c r="A52" s="21" t="s">
        <v>57</v>
      </c>
      <c r="B52" s="21"/>
      <c r="C52" s="15" t="s">
        <v>2</v>
      </c>
      <c r="D52" s="15">
        <v>2023</v>
      </c>
      <c r="E52" s="15" t="s">
        <v>59</v>
      </c>
      <c r="F52" s="14"/>
      <c r="G52" s="15" t="s">
        <v>60</v>
      </c>
      <c r="H52" s="15" t="s">
        <v>2</v>
      </c>
      <c r="I52" s="13" t="s">
        <v>61</v>
      </c>
      <c r="J52" s="13" t="s">
        <v>59</v>
      </c>
    </row>
    <row r="53" spans="1:10" x14ac:dyDescent="0.25">
      <c r="A53" s="20" t="s">
        <v>58</v>
      </c>
      <c r="B53" s="20"/>
      <c r="C53" s="16">
        <f>ROUND(0.6174, 4)</f>
        <v>0.61739999999999995</v>
      </c>
      <c r="D53" s="16">
        <f>ROUND(0.6018, 4)</f>
        <v>0.6018</v>
      </c>
      <c r="E53" s="16">
        <f>ROUND(0.777, 4)</f>
        <v>0.77700000000000002</v>
      </c>
      <c r="F53" s="9"/>
      <c r="G53" s="15" t="s">
        <v>62</v>
      </c>
      <c r="H53" s="22" t="s">
        <v>63</v>
      </c>
      <c r="I53" s="24" t="s">
        <v>64</v>
      </c>
      <c r="J53" s="24" t="s">
        <v>65</v>
      </c>
    </row>
    <row r="54" spans="1:10" x14ac:dyDescent="0.25">
      <c r="A54" s="20" t="s">
        <v>66</v>
      </c>
      <c r="B54" s="20"/>
      <c r="C54" s="16">
        <f>ROUND(0.5847, 4)</f>
        <v>0.5847</v>
      </c>
      <c r="D54" s="16">
        <f>ROUND(0.5671, 4)</f>
        <v>0.56710000000000005</v>
      </c>
      <c r="E54" s="16">
        <f>ROUND(0.7608, 4)</f>
        <v>0.76080000000000003</v>
      </c>
      <c r="F54" s="9"/>
      <c r="G54" s="15" t="s">
        <v>67</v>
      </c>
      <c r="H54" s="23"/>
      <c r="I54" s="25"/>
      <c r="J54" s="25"/>
    </row>
    <row r="55" spans="1:10" x14ac:dyDescent="0.25">
      <c r="C55" s="9"/>
      <c r="D55" s="9"/>
      <c r="E55" s="9"/>
      <c r="F55" s="9"/>
      <c r="G55" s="9"/>
      <c r="H55" s="9"/>
      <c r="I55" s="10"/>
      <c r="J55" s="10"/>
    </row>
    <row r="56" spans="1:10" x14ac:dyDescent="0.25">
      <c r="C56" s="9"/>
      <c r="D56" s="9"/>
      <c r="E56" s="9"/>
      <c r="F56" s="9"/>
      <c r="G56" s="9"/>
      <c r="H56" s="9"/>
      <c r="I56" s="10"/>
      <c r="J56" s="10"/>
    </row>
    <row r="57" spans="1:10" x14ac:dyDescent="0.25">
      <c r="C57" s="9"/>
      <c r="D57" s="9"/>
      <c r="E57" s="9"/>
      <c r="F57" s="9"/>
      <c r="G57" s="9"/>
      <c r="H57" s="9"/>
      <c r="I57" s="10"/>
      <c r="J57" s="10"/>
    </row>
    <row r="58" spans="1:10" x14ac:dyDescent="0.25">
      <c r="A58" s="21" t="s">
        <v>68</v>
      </c>
      <c r="B58" s="21"/>
      <c r="C58" s="15" t="s">
        <v>2</v>
      </c>
      <c r="D58" s="15" t="s">
        <v>122</v>
      </c>
      <c r="E58" s="15" t="s">
        <v>70</v>
      </c>
      <c r="F58" s="15" t="s">
        <v>71</v>
      </c>
      <c r="G58" s="15" t="s">
        <v>72</v>
      </c>
      <c r="H58" s="14"/>
      <c r="I58" s="18"/>
      <c r="J58" s="18"/>
    </row>
    <row r="59" spans="1:10" x14ac:dyDescent="0.25">
      <c r="A59" s="20" t="s">
        <v>73</v>
      </c>
      <c r="B59" s="20"/>
      <c r="C59" s="17">
        <v>34</v>
      </c>
      <c r="D59" s="17">
        <v>62.56</v>
      </c>
      <c r="E59" s="17">
        <v>81.84</v>
      </c>
      <c r="F59" s="17">
        <v>48</v>
      </c>
      <c r="G59" s="17">
        <f>12/4*C59</f>
        <v>102</v>
      </c>
      <c r="H59" s="9"/>
      <c r="I59" s="10"/>
      <c r="J59" s="10"/>
    </row>
    <row r="60" spans="1:10" x14ac:dyDescent="0.25">
      <c r="A60" s="20" t="s">
        <v>74</v>
      </c>
      <c r="B60" s="20"/>
      <c r="C60" s="17">
        <v>4.09</v>
      </c>
      <c r="D60" s="17">
        <v>30.27</v>
      </c>
      <c r="E60" s="17">
        <v>55.63</v>
      </c>
      <c r="F60" s="17">
        <v>55.33</v>
      </c>
      <c r="G60" s="17">
        <f>12/4*C60</f>
        <v>12.27</v>
      </c>
      <c r="H60" s="9"/>
      <c r="I60" s="10"/>
      <c r="J60" s="10"/>
    </row>
    <row r="61" spans="1:10" x14ac:dyDescent="0.25">
      <c r="A61" s="20" t="s">
        <v>75</v>
      </c>
      <c r="B61" s="20"/>
      <c r="C61" s="17">
        <v>58.29</v>
      </c>
      <c r="D61" s="17">
        <v>177.79</v>
      </c>
      <c r="E61" s="17">
        <v>257.88</v>
      </c>
      <c r="F61" s="17">
        <v>242.78</v>
      </c>
      <c r="G61" s="17">
        <f>12/4*C61</f>
        <v>174.87</v>
      </c>
      <c r="H61" s="9"/>
      <c r="I61" s="10"/>
      <c r="J61" s="10"/>
    </row>
    <row r="62" spans="1:10" x14ac:dyDescent="0.25">
      <c r="A62" s="20" t="s">
        <v>76</v>
      </c>
      <c r="B62" s="20"/>
      <c r="C62" s="17">
        <v>38.43</v>
      </c>
      <c r="D62" s="17">
        <v>77.400000000000006</v>
      </c>
      <c r="E62" s="17">
        <v>103.14</v>
      </c>
      <c r="F62" s="17">
        <v>68.31</v>
      </c>
      <c r="G62" s="17">
        <f>12/4*C62</f>
        <v>115.28999999999999</v>
      </c>
      <c r="H62" s="9"/>
      <c r="I62" s="10"/>
      <c r="J62" s="10"/>
    </row>
    <row r="63" spans="1:10" x14ac:dyDescent="0.25">
      <c r="C63" s="9"/>
      <c r="D63" s="9"/>
      <c r="E63" s="9"/>
      <c r="F63" s="9"/>
      <c r="G63" s="9"/>
      <c r="H63" s="9"/>
      <c r="I63" s="10"/>
      <c r="J63" s="10"/>
    </row>
    <row r="64" spans="1:10" x14ac:dyDescent="0.25">
      <c r="C64" s="9"/>
      <c r="D64" s="9"/>
      <c r="E64" s="9"/>
      <c r="F64" s="9"/>
      <c r="G64" s="9"/>
      <c r="H64" s="9"/>
      <c r="I64" s="10"/>
      <c r="J64" s="10"/>
    </row>
    <row r="65" spans="1:10" x14ac:dyDescent="0.25">
      <c r="A65" s="19" t="s">
        <v>60</v>
      </c>
      <c r="B65" s="26"/>
      <c r="C65" s="9"/>
      <c r="D65" s="9"/>
      <c r="E65" s="9"/>
      <c r="F65" s="9"/>
      <c r="G65" s="9"/>
      <c r="H65" s="9"/>
      <c r="I65" s="10"/>
      <c r="J65" s="10"/>
    </row>
    <row r="66" spans="1:10" x14ac:dyDescent="0.25">
      <c r="A66" s="3" t="s">
        <v>77</v>
      </c>
      <c r="B66" s="1" t="s">
        <v>123</v>
      </c>
      <c r="C66" s="9"/>
      <c r="D66" s="9"/>
      <c r="E66" s="9"/>
      <c r="F66" s="9"/>
      <c r="G66" s="9"/>
      <c r="H66" s="9"/>
      <c r="I66" s="10"/>
      <c r="J66" s="10"/>
    </row>
    <row r="67" spans="1:10" x14ac:dyDescent="0.25">
      <c r="A67" s="3" t="s">
        <v>70</v>
      </c>
      <c r="B67" s="1" t="s">
        <v>79</v>
      </c>
      <c r="C67" s="9"/>
      <c r="D67" s="9"/>
      <c r="E67" s="9"/>
      <c r="F67" s="9"/>
      <c r="G67" s="9"/>
      <c r="H67" s="9"/>
      <c r="I67" s="10"/>
      <c r="J67" s="10"/>
    </row>
    <row r="68" spans="1:10" x14ac:dyDescent="0.25">
      <c r="A68" s="3" t="s">
        <v>71</v>
      </c>
      <c r="B68" s="1" t="s">
        <v>80</v>
      </c>
      <c r="C68" s="9"/>
      <c r="D68" s="9"/>
      <c r="E68" s="9"/>
      <c r="F68" s="9"/>
      <c r="G68" s="9"/>
      <c r="H68" s="9"/>
      <c r="I68" s="10"/>
      <c r="J68" s="10"/>
    </row>
    <row r="69" spans="1:10" x14ac:dyDescent="0.25">
      <c r="A69" s="3" t="s">
        <v>72</v>
      </c>
      <c r="B69" s="1" t="s">
        <v>81</v>
      </c>
      <c r="C69" s="9"/>
      <c r="D69" s="9"/>
      <c r="E69" s="9"/>
      <c r="F69" s="9"/>
      <c r="G69" s="9"/>
      <c r="H69" s="9"/>
      <c r="I69" s="10"/>
      <c r="J69" s="10"/>
    </row>
    <row r="70" spans="1:10" x14ac:dyDescent="0.25">
      <c r="C70" s="9"/>
      <c r="D70" s="9"/>
      <c r="E70" s="9"/>
      <c r="F70" s="9"/>
      <c r="G70" s="9"/>
      <c r="H70" s="9"/>
      <c r="I70" s="10"/>
      <c r="J70" s="10"/>
    </row>
    <row r="71" spans="1:10" x14ac:dyDescent="0.25">
      <c r="C71" s="9"/>
      <c r="D71" s="9"/>
      <c r="E71" s="9"/>
      <c r="F71" s="9"/>
      <c r="G71" s="9"/>
      <c r="H71" s="9"/>
      <c r="I71" s="10"/>
      <c r="J71" s="10"/>
    </row>
    <row r="72" spans="1:10" x14ac:dyDescent="0.25">
      <c r="C72" s="9"/>
      <c r="D72" s="9"/>
      <c r="E72" s="9"/>
      <c r="F72" s="9"/>
      <c r="G72" s="9"/>
      <c r="H72" s="9"/>
      <c r="I72" s="10"/>
      <c r="J72" s="10"/>
    </row>
    <row r="73" spans="1:10" x14ac:dyDescent="0.25">
      <c r="C73" s="9"/>
      <c r="D73" s="9"/>
      <c r="E73" s="9"/>
      <c r="F73" s="9"/>
      <c r="G73" s="9"/>
      <c r="H73" s="9"/>
      <c r="I73" s="10"/>
      <c r="J73" s="10"/>
    </row>
    <row r="74" spans="1:10" x14ac:dyDescent="0.25">
      <c r="C74" s="9"/>
      <c r="D74" s="9"/>
      <c r="E74" s="9"/>
      <c r="F74" s="9"/>
      <c r="G74" s="9"/>
      <c r="H74" s="9"/>
      <c r="I74" s="10"/>
      <c r="J74" s="10"/>
    </row>
    <row r="75" spans="1:10" x14ac:dyDescent="0.25">
      <c r="C75" s="9"/>
      <c r="D75" s="9"/>
      <c r="E75" s="9"/>
      <c r="F75" s="9"/>
      <c r="G75" s="9"/>
      <c r="H75" s="9"/>
      <c r="I75" s="10"/>
      <c r="J75" s="10"/>
    </row>
    <row r="76" spans="1:10" x14ac:dyDescent="0.25">
      <c r="C76" s="9"/>
      <c r="D76" s="9"/>
      <c r="E76" s="9"/>
      <c r="F76" s="9"/>
      <c r="G76" s="9"/>
      <c r="H76" s="9"/>
      <c r="I76" s="10"/>
      <c r="J76" s="10"/>
    </row>
    <row r="77" spans="1:10" x14ac:dyDescent="0.25">
      <c r="C77" s="9"/>
      <c r="D77" s="9"/>
      <c r="E77" s="9"/>
      <c r="F77" s="9"/>
      <c r="G77" s="9"/>
      <c r="H77" s="9"/>
      <c r="I77" s="10"/>
      <c r="J77" s="10"/>
    </row>
    <row r="78" spans="1:10" x14ac:dyDescent="0.25">
      <c r="C78" s="9"/>
      <c r="D78" s="9"/>
      <c r="E78" s="9"/>
      <c r="F78" s="9"/>
      <c r="G78" s="9"/>
      <c r="H78" s="9"/>
      <c r="I78" s="10"/>
      <c r="J78" s="10"/>
    </row>
    <row r="79" spans="1:10" x14ac:dyDescent="0.25">
      <c r="C79" s="9"/>
      <c r="D79" s="9"/>
      <c r="E79" s="9"/>
      <c r="F79" s="9"/>
      <c r="G79" s="9"/>
      <c r="H79" s="9"/>
      <c r="I79" s="10"/>
      <c r="J79" s="10"/>
    </row>
    <row r="80" spans="1:10" x14ac:dyDescent="0.25">
      <c r="C80" s="9"/>
      <c r="D80" s="9"/>
      <c r="E80" s="9"/>
      <c r="F80" s="9"/>
      <c r="G80" s="9"/>
      <c r="H80" s="9"/>
      <c r="I80" s="10"/>
      <c r="J80" s="10"/>
    </row>
  </sheetData>
  <mergeCells count="19">
    <mergeCell ref="A60:B60"/>
    <mergeCell ref="A61:B61"/>
    <mergeCell ref="A62:B62"/>
    <mergeCell ref="A65:B65"/>
    <mergeCell ref="I53:I54"/>
    <mergeCell ref="J53:J54"/>
    <mergeCell ref="A54:B54"/>
    <mergeCell ref="A58:B58"/>
    <mergeCell ref="A59:B59"/>
    <mergeCell ref="A46:B46"/>
    <mergeCell ref="A47:B47"/>
    <mergeCell ref="A52:B52"/>
    <mergeCell ref="A53:B53"/>
    <mergeCell ref="H53:H54"/>
    <mergeCell ref="C7:G7"/>
    <mergeCell ref="A38:B38"/>
    <mergeCell ref="A39:B39"/>
    <mergeCell ref="A44:B44"/>
    <mergeCell ref="A45:B4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J80"/>
  <sheetViews>
    <sheetView topLeftCell="A33" workbookViewId="0">
      <selection activeCell="C9" sqref="C9:J66"/>
    </sheetView>
  </sheetViews>
  <sheetFormatPr defaultRowHeight="15" x14ac:dyDescent="0.25"/>
  <cols>
    <col min="1" max="1" width="38.85546875" bestFit="1" customWidth="1"/>
    <col min="2" max="2" width="79" bestFit="1" customWidth="1"/>
    <col min="3" max="3" width="14" bestFit="1" customWidth="1"/>
    <col min="4" max="4" width="24.7109375" bestFit="1" customWidth="1"/>
    <col min="5" max="5" width="16.42578125" bestFit="1" customWidth="1"/>
    <col min="6" max="6" width="10.5703125" bestFit="1" customWidth="1"/>
    <col min="7" max="7" width="68.28515625" bestFit="1" customWidth="1"/>
    <col min="8" max="9" width="20" bestFit="1" customWidth="1"/>
    <col min="10" max="10" width="30.5703125" bestFit="1" customWidth="1"/>
  </cols>
  <sheetData>
    <row r="2" spans="1:10" ht="18.75" x14ac:dyDescent="0.3">
      <c r="A2" s="3" t="s">
        <v>0</v>
      </c>
      <c r="B2" s="4" t="s">
        <v>124</v>
      </c>
    </row>
    <row r="3" spans="1:10" x14ac:dyDescent="0.25">
      <c r="A3" s="3" t="s">
        <v>2</v>
      </c>
      <c r="B3" s="1" t="s">
        <v>3</v>
      </c>
    </row>
    <row r="4" spans="1:10" x14ac:dyDescent="0.25">
      <c r="A4" s="3" t="s">
        <v>4</v>
      </c>
      <c r="B4" s="1">
        <v>15906</v>
      </c>
    </row>
    <row r="7" spans="1:10" x14ac:dyDescent="0.25">
      <c r="C7" s="19" t="s">
        <v>5</v>
      </c>
      <c r="D7" s="20"/>
      <c r="E7" s="20"/>
      <c r="F7" s="20"/>
      <c r="G7" s="20"/>
    </row>
    <row r="8" spans="1:10" x14ac:dyDescent="0.25">
      <c r="A8" s="3" t="s">
        <v>6</v>
      </c>
      <c r="B8" s="3" t="s">
        <v>7</v>
      </c>
      <c r="C8" s="3" t="s">
        <v>8</v>
      </c>
      <c r="D8" s="3" t="s">
        <v>9</v>
      </c>
      <c r="E8" s="3" t="s">
        <v>10</v>
      </c>
      <c r="F8" s="3" t="s">
        <v>11</v>
      </c>
      <c r="G8" s="3" t="s">
        <v>12</v>
      </c>
      <c r="H8" s="3" t="s">
        <v>13</v>
      </c>
      <c r="I8" s="3" t="s">
        <v>14</v>
      </c>
      <c r="J8" s="3" t="s">
        <v>15</v>
      </c>
    </row>
    <row r="9" spans="1:10" x14ac:dyDescent="0.25">
      <c r="A9" s="1" t="s">
        <v>16</v>
      </c>
      <c r="B9" s="1" t="s">
        <v>17</v>
      </c>
      <c r="C9" s="11"/>
      <c r="D9" s="11"/>
      <c r="E9" s="11">
        <v>108</v>
      </c>
      <c r="F9" s="11"/>
      <c r="G9" s="11">
        <f t="shared" ref="G9:G48" si="0">SUM(C9:F9)</f>
        <v>108</v>
      </c>
      <c r="H9" s="17">
        <f t="shared" ref="H9:H48" si="1">ROUND(G9/15906,2)</f>
        <v>0.01</v>
      </c>
      <c r="I9" s="16">
        <f t="shared" ref="I9:I48" si="2">ROUND(G9/$G$49,3)</f>
        <v>0</v>
      </c>
      <c r="J9" s="16">
        <f>ROUND(G9/152-1,2)</f>
        <v>-0.28999999999999998</v>
      </c>
    </row>
    <row r="10" spans="1:10" x14ac:dyDescent="0.25">
      <c r="A10" s="1" t="s">
        <v>16</v>
      </c>
      <c r="B10" s="1" t="s">
        <v>19</v>
      </c>
      <c r="C10" s="11">
        <v>168610</v>
      </c>
      <c r="D10" s="11"/>
      <c r="E10" s="11">
        <v>9740</v>
      </c>
      <c r="F10" s="11">
        <v>1580</v>
      </c>
      <c r="G10" s="11">
        <f t="shared" si="0"/>
        <v>179930</v>
      </c>
      <c r="H10" s="17">
        <f t="shared" si="1"/>
        <v>11.31</v>
      </c>
      <c r="I10" s="16">
        <f t="shared" si="2"/>
        <v>7.4999999999999997E-2</v>
      </c>
      <c r="J10" s="16">
        <f>ROUND(G10/152020-1,2)</f>
        <v>0.18</v>
      </c>
    </row>
    <row r="11" spans="1:10" x14ac:dyDescent="0.25">
      <c r="A11" s="1" t="s">
        <v>16</v>
      </c>
      <c r="B11" s="1" t="s">
        <v>20</v>
      </c>
      <c r="C11" s="11">
        <v>229760</v>
      </c>
      <c r="D11" s="11"/>
      <c r="E11" s="11"/>
      <c r="F11" s="11"/>
      <c r="G11" s="11">
        <f t="shared" si="0"/>
        <v>229760</v>
      </c>
      <c r="H11" s="17">
        <f t="shared" si="1"/>
        <v>14.44</v>
      </c>
      <c r="I11" s="16">
        <f t="shared" si="2"/>
        <v>9.6000000000000002E-2</v>
      </c>
      <c r="J11" s="16">
        <f>ROUND(G11/208670-1,2)</f>
        <v>0.1</v>
      </c>
    </row>
    <row r="12" spans="1:10" x14ac:dyDescent="0.25">
      <c r="A12" s="1" t="s">
        <v>16</v>
      </c>
      <c r="B12" s="1" t="s">
        <v>94</v>
      </c>
      <c r="C12" s="11"/>
      <c r="D12" s="11"/>
      <c r="E12" s="11">
        <v>178</v>
      </c>
      <c r="F12" s="11"/>
      <c r="G12" s="11">
        <f t="shared" si="0"/>
        <v>178</v>
      </c>
      <c r="H12" s="17">
        <f t="shared" si="1"/>
        <v>0.01</v>
      </c>
      <c r="I12" s="16">
        <f t="shared" si="2"/>
        <v>0</v>
      </c>
      <c r="J12" s="16">
        <f>ROUND(G12/144-1,2)</f>
        <v>0.24</v>
      </c>
    </row>
    <row r="13" spans="1:10" x14ac:dyDescent="0.25">
      <c r="A13" s="1" t="s">
        <v>16</v>
      </c>
      <c r="B13" s="1" t="s">
        <v>21</v>
      </c>
      <c r="C13" s="11"/>
      <c r="D13" s="11"/>
      <c r="E13" s="11">
        <v>321</v>
      </c>
      <c r="F13" s="11"/>
      <c r="G13" s="11">
        <f t="shared" si="0"/>
        <v>321</v>
      </c>
      <c r="H13" s="17">
        <f t="shared" si="1"/>
        <v>0.02</v>
      </c>
      <c r="I13" s="16">
        <f t="shared" si="2"/>
        <v>0</v>
      </c>
      <c r="J13" s="16">
        <f>ROUND(G13/222-1,2)</f>
        <v>0.45</v>
      </c>
    </row>
    <row r="14" spans="1:10" x14ac:dyDescent="0.25">
      <c r="A14" s="1" t="s">
        <v>16</v>
      </c>
      <c r="B14" s="1" t="s">
        <v>22</v>
      </c>
      <c r="C14" s="11"/>
      <c r="D14" s="11"/>
      <c r="E14" s="11">
        <v>1500</v>
      </c>
      <c r="F14" s="11"/>
      <c r="G14" s="11">
        <f t="shared" si="0"/>
        <v>1500</v>
      </c>
      <c r="H14" s="17">
        <f t="shared" si="1"/>
        <v>0.09</v>
      </c>
      <c r="I14" s="16">
        <f t="shared" si="2"/>
        <v>1E-3</v>
      </c>
      <c r="J14" s="16"/>
    </row>
    <row r="15" spans="1:10" x14ac:dyDescent="0.25">
      <c r="A15" s="1" t="s">
        <v>16</v>
      </c>
      <c r="B15" s="1" t="s">
        <v>23</v>
      </c>
      <c r="C15" s="11"/>
      <c r="D15" s="11"/>
      <c r="E15" s="11">
        <v>119080</v>
      </c>
      <c r="F15" s="11"/>
      <c r="G15" s="11">
        <f t="shared" si="0"/>
        <v>119080</v>
      </c>
      <c r="H15" s="17">
        <f t="shared" si="1"/>
        <v>7.49</v>
      </c>
      <c r="I15" s="16">
        <f t="shared" si="2"/>
        <v>0.05</v>
      </c>
      <c r="J15" s="16">
        <f>ROUND(G15/79320-1,2)</f>
        <v>0.5</v>
      </c>
    </row>
    <row r="16" spans="1:10" x14ac:dyDescent="0.25">
      <c r="A16" s="1" t="s">
        <v>16</v>
      </c>
      <c r="B16" s="1" t="s">
        <v>24</v>
      </c>
      <c r="C16" s="11">
        <v>264940</v>
      </c>
      <c r="D16" s="11"/>
      <c r="E16" s="11">
        <v>39180</v>
      </c>
      <c r="F16" s="11">
        <v>10450</v>
      </c>
      <c r="G16" s="11">
        <f t="shared" si="0"/>
        <v>314570</v>
      </c>
      <c r="H16" s="17">
        <f t="shared" si="1"/>
        <v>19.78</v>
      </c>
      <c r="I16" s="16">
        <f t="shared" si="2"/>
        <v>0.13200000000000001</v>
      </c>
      <c r="J16" s="16">
        <f>ROUND(G16/295250-1,2)</f>
        <v>7.0000000000000007E-2</v>
      </c>
    </row>
    <row r="17" spans="1:10" x14ac:dyDescent="0.25">
      <c r="A17" s="1" t="s">
        <v>16</v>
      </c>
      <c r="B17" s="1" t="s">
        <v>25</v>
      </c>
      <c r="C17" s="11"/>
      <c r="D17" s="11"/>
      <c r="E17" s="11">
        <v>8190</v>
      </c>
      <c r="F17" s="11"/>
      <c r="G17" s="11">
        <f t="shared" si="0"/>
        <v>8190</v>
      </c>
      <c r="H17" s="17">
        <f t="shared" si="1"/>
        <v>0.51</v>
      </c>
      <c r="I17" s="16">
        <f t="shared" si="2"/>
        <v>3.0000000000000001E-3</v>
      </c>
      <c r="J17" s="16">
        <f>ROUND(G17/7880-1,2)</f>
        <v>0.04</v>
      </c>
    </row>
    <row r="18" spans="1:10" x14ac:dyDescent="0.25">
      <c r="A18" s="1" t="s">
        <v>16</v>
      </c>
      <c r="B18" s="1" t="s">
        <v>26</v>
      </c>
      <c r="C18" s="11">
        <v>370950</v>
      </c>
      <c r="D18" s="11"/>
      <c r="E18" s="11"/>
      <c r="F18" s="11">
        <v>510</v>
      </c>
      <c r="G18" s="11">
        <f t="shared" si="0"/>
        <v>371460</v>
      </c>
      <c r="H18" s="17">
        <f t="shared" si="1"/>
        <v>23.35</v>
      </c>
      <c r="I18" s="16">
        <f t="shared" si="2"/>
        <v>0.155</v>
      </c>
      <c r="J18" s="16">
        <f>ROUND(G18/374790-1,2)</f>
        <v>-0.01</v>
      </c>
    </row>
    <row r="19" spans="1:10" x14ac:dyDescent="0.25">
      <c r="A19" s="1" t="s">
        <v>16</v>
      </c>
      <c r="B19" s="1" t="s">
        <v>27</v>
      </c>
      <c r="C19" s="11"/>
      <c r="D19" s="11"/>
      <c r="E19" s="11">
        <v>1483</v>
      </c>
      <c r="F19" s="11"/>
      <c r="G19" s="11">
        <f t="shared" si="0"/>
        <v>1483</v>
      </c>
      <c r="H19" s="17">
        <f t="shared" si="1"/>
        <v>0.09</v>
      </c>
      <c r="I19" s="16">
        <f t="shared" si="2"/>
        <v>1E-3</v>
      </c>
      <c r="J19" s="16">
        <f>ROUND(G19/1386-1,2)</f>
        <v>7.0000000000000007E-2</v>
      </c>
    </row>
    <row r="20" spans="1:10" x14ac:dyDescent="0.25">
      <c r="A20" s="1" t="s">
        <v>16</v>
      </c>
      <c r="B20" s="1" t="s">
        <v>28</v>
      </c>
      <c r="C20" s="11"/>
      <c r="D20" s="11"/>
      <c r="E20" s="11">
        <v>1070</v>
      </c>
      <c r="F20" s="11"/>
      <c r="G20" s="11">
        <f t="shared" si="0"/>
        <v>1070</v>
      </c>
      <c r="H20" s="17">
        <f t="shared" si="1"/>
        <v>7.0000000000000007E-2</v>
      </c>
      <c r="I20" s="16">
        <f t="shared" si="2"/>
        <v>0</v>
      </c>
      <c r="J20" s="16">
        <f>ROUND(G20/979-1,2)</f>
        <v>0.09</v>
      </c>
    </row>
    <row r="21" spans="1:10" x14ac:dyDescent="0.25">
      <c r="A21" s="1" t="s">
        <v>16</v>
      </c>
      <c r="B21" s="1" t="s">
        <v>29</v>
      </c>
      <c r="C21" s="11"/>
      <c r="D21" s="11"/>
      <c r="E21" s="11">
        <v>1980</v>
      </c>
      <c r="F21" s="11"/>
      <c r="G21" s="11">
        <f t="shared" si="0"/>
        <v>1980</v>
      </c>
      <c r="H21" s="17">
        <f t="shared" si="1"/>
        <v>0.12</v>
      </c>
      <c r="I21" s="16">
        <f t="shared" si="2"/>
        <v>1E-3</v>
      </c>
      <c r="J21" s="16">
        <f>ROUND(G21/2210-1,2)</f>
        <v>-0.1</v>
      </c>
    </row>
    <row r="22" spans="1:10" x14ac:dyDescent="0.25">
      <c r="A22" s="1" t="s">
        <v>16</v>
      </c>
      <c r="B22" s="1" t="s">
        <v>30</v>
      </c>
      <c r="C22" s="11"/>
      <c r="D22" s="11"/>
      <c r="E22" s="11">
        <v>1000</v>
      </c>
      <c r="F22" s="11"/>
      <c r="G22" s="11">
        <f t="shared" si="0"/>
        <v>1000</v>
      </c>
      <c r="H22" s="17">
        <f t="shared" si="1"/>
        <v>0.06</v>
      </c>
      <c r="I22" s="16">
        <f t="shared" si="2"/>
        <v>0</v>
      </c>
      <c r="J22" s="16">
        <f>ROUND(G22/820-1,2)</f>
        <v>0.22</v>
      </c>
    </row>
    <row r="23" spans="1:10" x14ac:dyDescent="0.25">
      <c r="A23" s="1" t="s">
        <v>16</v>
      </c>
      <c r="B23" s="1" t="s">
        <v>31</v>
      </c>
      <c r="C23" s="11"/>
      <c r="D23" s="11"/>
      <c r="E23" s="11">
        <v>3960</v>
      </c>
      <c r="F23" s="11"/>
      <c r="G23" s="11">
        <f t="shared" si="0"/>
        <v>3960</v>
      </c>
      <c r="H23" s="17">
        <f t="shared" si="1"/>
        <v>0.25</v>
      </c>
      <c r="I23" s="16">
        <f t="shared" si="2"/>
        <v>2E-3</v>
      </c>
      <c r="J23" s="16">
        <f>ROUND(G23/3290-1,2)</f>
        <v>0.2</v>
      </c>
    </row>
    <row r="24" spans="1:10" x14ac:dyDescent="0.25">
      <c r="A24" s="1" t="s">
        <v>16</v>
      </c>
      <c r="B24" s="1" t="s">
        <v>32</v>
      </c>
      <c r="C24" s="11"/>
      <c r="D24" s="11">
        <v>542</v>
      </c>
      <c r="E24" s="11"/>
      <c r="F24" s="11"/>
      <c r="G24" s="11">
        <f t="shared" si="0"/>
        <v>542</v>
      </c>
      <c r="H24" s="17">
        <f t="shared" si="1"/>
        <v>0.03</v>
      </c>
      <c r="I24" s="16">
        <f t="shared" si="2"/>
        <v>0</v>
      </c>
      <c r="J24" s="16">
        <f>ROUND(G24/544-1,2)</f>
        <v>0</v>
      </c>
    </row>
    <row r="25" spans="1:10" x14ac:dyDescent="0.25">
      <c r="A25" s="1" t="s">
        <v>16</v>
      </c>
      <c r="B25" s="1" t="s">
        <v>34</v>
      </c>
      <c r="C25" s="11"/>
      <c r="D25" s="11"/>
      <c r="E25" s="11">
        <v>1410</v>
      </c>
      <c r="F25" s="11"/>
      <c r="G25" s="11">
        <f t="shared" si="0"/>
        <v>1410</v>
      </c>
      <c r="H25" s="17">
        <f t="shared" si="1"/>
        <v>0.09</v>
      </c>
      <c r="I25" s="16">
        <f t="shared" si="2"/>
        <v>1E-3</v>
      </c>
      <c r="J25" s="16">
        <f>ROUND(G25/1458-1,2)</f>
        <v>-0.03</v>
      </c>
    </row>
    <row r="26" spans="1:10" x14ac:dyDescent="0.25">
      <c r="A26" s="1" t="s">
        <v>16</v>
      </c>
      <c r="B26" s="1" t="s">
        <v>33</v>
      </c>
      <c r="C26" s="11"/>
      <c r="D26" s="11"/>
      <c r="E26" s="11">
        <v>2050</v>
      </c>
      <c r="F26" s="11"/>
      <c r="G26" s="11">
        <f t="shared" si="0"/>
        <v>2050</v>
      </c>
      <c r="H26" s="17">
        <f t="shared" si="1"/>
        <v>0.13</v>
      </c>
      <c r="I26" s="16">
        <f t="shared" si="2"/>
        <v>1E-3</v>
      </c>
      <c r="J26" s="16">
        <f>ROUND(G26/1500-1,2)</f>
        <v>0.37</v>
      </c>
    </row>
    <row r="27" spans="1:10" x14ac:dyDescent="0.25">
      <c r="A27" s="1" t="s">
        <v>16</v>
      </c>
      <c r="B27" s="1" t="s">
        <v>35</v>
      </c>
      <c r="C27" s="11"/>
      <c r="D27" s="11"/>
      <c r="E27" s="11">
        <v>151730</v>
      </c>
      <c r="F27" s="11"/>
      <c r="G27" s="11">
        <f t="shared" si="0"/>
        <v>151730</v>
      </c>
      <c r="H27" s="17">
        <f t="shared" si="1"/>
        <v>9.5399999999999991</v>
      </c>
      <c r="I27" s="16">
        <f t="shared" si="2"/>
        <v>6.3E-2</v>
      </c>
      <c r="J27" s="16">
        <f>ROUND(G27/128780-1,2)</f>
        <v>0.18</v>
      </c>
    </row>
    <row r="28" spans="1:10" x14ac:dyDescent="0.25">
      <c r="A28" s="1" t="s">
        <v>16</v>
      </c>
      <c r="B28" s="1" t="s">
        <v>36</v>
      </c>
      <c r="C28" s="11"/>
      <c r="D28" s="11"/>
      <c r="E28" s="11">
        <v>9860</v>
      </c>
      <c r="F28" s="11"/>
      <c r="G28" s="11">
        <f t="shared" si="0"/>
        <v>9860</v>
      </c>
      <c r="H28" s="17">
        <f t="shared" si="1"/>
        <v>0.62</v>
      </c>
      <c r="I28" s="16">
        <f t="shared" si="2"/>
        <v>4.0000000000000001E-3</v>
      </c>
      <c r="J28" s="16">
        <f>ROUND(G28/7715-1,2)</f>
        <v>0.28000000000000003</v>
      </c>
    </row>
    <row r="29" spans="1:10" x14ac:dyDescent="0.25">
      <c r="A29" s="1" t="s">
        <v>16</v>
      </c>
      <c r="B29" s="1" t="s">
        <v>37</v>
      </c>
      <c r="C29" s="11"/>
      <c r="D29" s="11"/>
      <c r="E29" s="11">
        <v>32530</v>
      </c>
      <c r="F29" s="11"/>
      <c r="G29" s="11">
        <f t="shared" si="0"/>
        <v>32530</v>
      </c>
      <c r="H29" s="17">
        <f t="shared" si="1"/>
        <v>2.0499999999999998</v>
      </c>
      <c r="I29" s="16">
        <f t="shared" si="2"/>
        <v>1.4E-2</v>
      </c>
      <c r="J29" s="16">
        <f>ROUND(G29/29070-1,2)</f>
        <v>0.12</v>
      </c>
    </row>
    <row r="30" spans="1:10" x14ac:dyDescent="0.25">
      <c r="A30" s="1" t="s">
        <v>16</v>
      </c>
      <c r="B30" s="1" t="s">
        <v>38</v>
      </c>
      <c r="C30" s="11"/>
      <c r="D30" s="11"/>
      <c r="E30" s="11">
        <v>332400</v>
      </c>
      <c r="F30" s="11"/>
      <c r="G30" s="11">
        <f t="shared" si="0"/>
        <v>332400</v>
      </c>
      <c r="H30" s="17">
        <f t="shared" si="1"/>
        <v>20.9</v>
      </c>
      <c r="I30" s="16">
        <f t="shared" si="2"/>
        <v>0.13900000000000001</v>
      </c>
      <c r="J30" s="16">
        <f>ROUND(G30/279810-1,2)</f>
        <v>0.19</v>
      </c>
    </row>
    <row r="31" spans="1:10" x14ac:dyDescent="0.25">
      <c r="A31" s="1" t="s">
        <v>16</v>
      </c>
      <c r="B31" s="1" t="s">
        <v>39</v>
      </c>
      <c r="C31" s="11"/>
      <c r="D31" s="11"/>
      <c r="E31" s="11"/>
      <c r="F31" s="11"/>
      <c r="G31" s="11">
        <f t="shared" si="0"/>
        <v>0</v>
      </c>
      <c r="H31" s="17">
        <f t="shared" si="1"/>
        <v>0</v>
      </c>
      <c r="I31" s="16">
        <f t="shared" si="2"/>
        <v>0</v>
      </c>
      <c r="J31" s="16">
        <f>ROUND(G31/171-1,2)</f>
        <v>-1</v>
      </c>
    </row>
    <row r="32" spans="1:10" x14ac:dyDescent="0.25">
      <c r="A32" s="1" t="s">
        <v>16</v>
      </c>
      <c r="B32" s="1" t="s">
        <v>40</v>
      </c>
      <c r="C32" s="11"/>
      <c r="D32" s="11"/>
      <c r="E32" s="11"/>
      <c r="F32" s="11"/>
      <c r="G32" s="11">
        <f t="shared" si="0"/>
        <v>0</v>
      </c>
      <c r="H32" s="17">
        <f t="shared" si="1"/>
        <v>0</v>
      </c>
      <c r="I32" s="16">
        <f t="shared" si="2"/>
        <v>0</v>
      </c>
      <c r="J32" s="16">
        <f>ROUND(G32/6490-1,2)</f>
        <v>-1</v>
      </c>
    </row>
    <row r="33" spans="1:10" x14ac:dyDescent="0.25">
      <c r="A33" s="1" t="s">
        <v>16</v>
      </c>
      <c r="B33" s="1" t="s">
        <v>41</v>
      </c>
      <c r="C33" s="11"/>
      <c r="D33" s="11"/>
      <c r="E33" s="11"/>
      <c r="F33" s="11"/>
      <c r="G33" s="11">
        <f t="shared" si="0"/>
        <v>0</v>
      </c>
      <c r="H33" s="17">
        <f t="shared" si="1"/>
        <v>0</v>
      </c>
      <c r="I33" s="16">
        <f t="shared" si="2"/>
        <v>0</v>
      </c>
      <c r="J33" s="16">
        <f>ROUND(G33/3910-1,2)</f>
        <v>-1</v>
      </c>
    </row>
    <row r="34" spans="1:10" x14ac:dyDescent="0.25">
      <c r="A34" s="1" t="s">
        <v>16</v>
      </c>
      <c r="B34" s="1" t="s">
        <v>43</v>
      </c>
      <c r="C34" s="11"/>
      <c r="D34" s="11"/>
      <c r="E34" s="11"/>
      <c r="F34" s="11"/>
      <c r="G34" s="11">
        <f t="shared" si="0"/>
        <v>0</v>
      </c>
      <c r="H34" s="17">
        <f t="shared" si="1"/>
        <v>0</v>
      </c>
      <c r="I34" s="16">
        <f t="shared" si="2"/>
        <v>0</v>
      </c>
      <c r="J34" s="16">
        <f>ROUND(G34/11990-1,2)</f>
        <v>-1</v>
      </c>
    </row>
    <row r="35" spans="1:10" x14ac:dyDescent="0.25">
      <c r="A35" s="1" t="s">
        <v>16</v>
      </c>
      <c r="B35" s="1" t="s">
        <v>42</v>
      </c>
      <c r="C35" s="11"/>
      <c r="D35" s="11"/>
      <c r="E35" s="11"/>
      <c r="F35" s="11"/>
      <c r="G35" s="11">
        <f t="shared" si="0"/>
        <v>0</v>
      </c>
      <c r="H35" s="17">
        <f t="shared" si="1"/>
        <v>0</v>
      </c>
      <c r="I35" s="16">
        <f t="shared" si="2"/>
        <v>0</v>
      </c>
      <c r="J35" s="16">
        <f>ROUND(G35/11240-1,2)</f>
        <v>-1</v>
      </c>
    </row>
    <row r="36" spans="1:10" x14ac:dyDescent="0.25">
      <c r="A36" s="1" t="s">
        <v>16</v>
      </c>
      <c r="B36" s="1" t="s">
        <v>125</v>
      </c>
      <c r="C36" s="11"/>
      <c r="D36" s="11"/>
      <c r="E36" s="11"/>
      <c r="F36" s="11"/>
      <c r="G36" s="11">
        <f t="shared" si="0"/>
        <v>0</v>
      </c>
      <c r="H36" s="17">
        <f t="shared" si="1"/>
        <v>0</v>
      </c>
      <c r="I36" s="16">
        <f t="shared" si="2"/>
        <v>0</v>
      </c>
      <c r="J36" s="16">
        <f>ROUND(G36/1152-1,2)</f>
        <v>-1</v>
      </c>
    </row>
    <row r="37" spans="1:10" x14ac:dyDescent="0.25">
      <c r="A37" s="1" t="s">
        <v>16</v>
      </c>
      <c r="B37" s="1" t="s">
        <v>113</v>
      </c>
      <c r="C37" s="11"/>
      <c r="D37" s="11"/>
      <c r="E37" s="11"/>
      <c r="F37" s="11"/>
      <c r="G37" s="11">
        <f t="shared" si="0"/>
        <v>0</v>
      </c>
      <c r="H37" s="17">
        <f t="shared" si="1"/>
        <v>0</v>
      </c>
      <c r="I37" s="16">
        <f t="shared" si="2"/>
        <v>0</v>
      </c>
      <c r="J37" s="16"/>
    </row>
    <row r="38" spans="1:10" x14ac:dyDescent="0.25">
      <c r="A38" s="1" t="s">
        <v>16</v>
      </c>
      <c r="B38" s="1" t="s">
        <v>126</v>
      </c>
      <c r="C38" s="11"/>
      <c r="D38" s="11"/>
      <c r="E38" s="11"/>
      <c r="F38" s="11"/>
      <c r="G38" s="11">
        <f t="shared" si="0"/>
        <v>0</v>
      </c>
      <c r="H38" s="17">
        <f t="shared" si="1"/>
        <v>0</v>
      </c>
      <c r="I38" s="16">
        <f t="shared" si="2"/>
        <v>0</v>
      </c>
      <c r="J38" s="16"/>
    </row>
    <row r="39" spans="1:10" x14ac:dyDescent="0.25">
      <c r="A39" s="1" t="s">
        <v>16</v>
      </c>
      <c r="B39" s="1" t="s">
        <v>95</v>
      </c>
      <c r="C39" s="11"/>
      <c r="D39" s="11"/>
      <c r="E39" s="11"/>
      <c r="F39" s="11"/>
      <c r="G39" s="11">
        <f t="shared" si="0"/>
        <v>0</v>
      </c>
      <c r="H39" s="17">
        <f t="shared" si="1"/>
        <v>0</v>
      </c>
      <c r="I39" s="16">
        <f t="shared" si="2"/>
        <v>0</v>
      </c>
      <c r="J39" s="16"/>
    </row>
    <row r="40" spans="1:10" x14ac:dyDescent="0.25">
      <c r="A40" s="1" t="s">
        <v>16</v>
      </c>
      <c r="B40" s="1" t="s">
        <v>127</v>
      </c>
      <c r="C40" s="11"/>
      <c r="D40" s="11"/>
      <c r="E40" s="11"/>
      <c r="F40" s="11"/>
      <c r="G40" s="11">
        <f t="shared" si="0"/>
        <v>0</v>
      </c>
      <c r="H40" s="17">
        <f t="shared" si="1"/>
        <v>0</v>
      </c>
      <c r="I40" s="16">
        <f t="shared" si="2"/>
        <v>0</v>
      </c>
      <c r="J40" s="16"/>
    </row>
    <row r="41" spans="1:10" x14ac:dyDescent="0.25">
      <c r="A41" s="1" t="s">
        <v>44</v>
      </c>
      <c r="B41" s="1" t="s">
        <v>45</v>
      </c>
      <c r="C41" s="11">
        <v>505690</v>
      </c>
      <c r="D41" s="11"/>
      <c r="E41" s="11"/>
      <c r="F41" s="11">
        <v>5200</v>
      </c>
      <c r="G41" s="11">
        <f t="shared" si="0"/>
        <v>510890</v>
      </c>
      <c r="H41" s="17">
        <f t="shared" si="1"/>
        <v>32.119999999999997</v>
      </c>
      <c r="I41" s="16">
        <f t="shared" si="2"/>
        <v>0.214</v>
      </c>
      <c r="J41" s="16">
        <f>ROUND(G41/474440-1,2)</f>
        <v>0.08</v>
      </c>
    </row>
    <row r="42" spans="1:10" x14ac:dyDescent="0.25">
      <c r="A42" s="1" t="s">
        <v>44</v>
      </c>
      <c r="B42" s="1" t="s">
        <v>47</v>
      </c>
      <c r="C42" s="11"/>
      <c r="D42" s="11"/>
      <c r="E42" s="11"/>
      <c r="F42" s="11">
        <v>39980</v>
      </c>
      <c r="G42" s="11">
        <f t="shared" si="0"/>
        <v>39980</v>
      </c>
      <c r="H42" s="17">
        <f t="shared" si="1"/>
        <v>2.5099999999999998</v>
      </c>
      <c r="I42" s="16">
        <f t="shared" si="2"/>
        <v>1.7000000000000001E-2</v>
      </c>
      <c r="J42" s="16">
        <f>ROUND(G42/66185-1,2)</f>
        <v>-0.4</v>
      </c>
    </row>
    <row r="43" spans="1:10" x14ac:dyDescent="0.25">
      <c r="A43" s="1" t="s">
        <v>44</v>
      </c>
      <c r="B43" s="1" t="s">
        <v>46</v>
      </c>
      <c r="C43" s="11"/>
      <c r="D43" s="11"/>
      <c r="E43" s="11">
        <v>75820</v>
      </c>
      <c r="F43" s="11"/>
      <c r="G43" s="11">
        <f t="shared" si="0"/>
        <v>75820</v>
      </c>
      <c r="H43" s="17">
        <f t="shared" si="1"/>
        <v>4.7699999999999996</v>
      </c>
      <c r="I43" s="16">
        <f t="shared" si="2"/>
        <v>3.2000000000000001E-2</v>
      </c>
      <c r="J43" s="16">
        <f>ROUND(G43/72680-1,2)</f>
        <v>0.04</v>
      </c>
    </row>
    <row r="44" spans="1:10" x14ac:dyDescent="0.25">
      <c r="A44" s="1" t="s">
        <v>48</v>
      </c>
      <c r="B44" s="1" t="s">
        <v>51</v>
      </c>
      <c r="C44" s="11"/>
      <c r="D44" s="11"/>
      <c r="E44" s="11"/>
      <c r="F44" s="11"/>
      <c r="G44" s="11">
        <f t="shared" si="0"/>
        <v>0</v>
      </c>
      <c r="H44" s="17">
        <f t="shared" si="1"/>
        <v>0</v>
      </c>
      <c r="I44" s="16">
        <f t="shared" si="2"/>
        <v>0</v>
      </c>
      <c r="J44" s="16"/>
    </row>
    <row r="45" spans="1:10" x14ac:dyDescent="0.25">
      <c r="A45" s="1" t="s">
        <v>48</v>
      </c>
      <c r="B45" s="1" t="s">
        <v>97</v>
      </c>
      <c r="C45" s="11"/>
      <c r="D45" s="11"/>
      <c r="E45" s="11"/>
      <c r="F45" s="11"/>
      <c r="G45" s="11">
        <f t="shared" si="0"/>
        <v>0</v>
      </c>
      <c r="H45" s="17">
        <f t="shared" si="1"/>
        <v>0</v>
      </c>
      <c r="I45" s="16">
        <f t="shared" si="2"/>
        <v>0</v>
      </c>
      <c r="J45" s="16"/>
    </row>
    <row r="46" spans="1:10" x14ac:dyDescent="0.25">
      <c r="A46" s="1" t="s">
        <v>48</v>
      </c>
      <c r="B46" s="1" t="s">
        <v>50</v>
      </c>
      <c r="C46" s="11"/>
      <c r="D46" s="11"/>
      <c r="E46" s="11"/>
      <c r="F46" s="11"/>
      <c r="G46" s="11">
        <f t="shared" si="0"/>
        <v>0</v>
      </c>
      <c r="H46" s="17">
        <f t="shared" si="1"/>
        <v>0</v>
      </c>
      <c r="I46" s="16">
        <f t="shared" si="2"/>
        <v>0</v>
      </c>
      <c r="J46" s="16"/>
    </row>
    <row r="47" spans="1:10" x14ac:dyDescent="0.25">
      <c r="A47" s="1" t="s">
        <v>48</v>
      </c>
      <c r="B47" s="1" t="s">
        <v>49</v>
      </c>
      <c r="C47" s="11"/>
      <c r="D47" s="11"/>
      <c r="E47" s="11"/>
      <c r="F47" s="11"/>
      <c r="G47" s="11">
        <f t="shared" si="0"/>
        <v>0</v>
      </c>
      <c r="H47" s="17">
        <f t="shared" si="1"/>
        <v>0</v>
      </c>
      <c r="I47" s="16">
        <f t="shared" si="2"/>
        <v>0</v>
      </c>
      <c r="J47" s="16"/>
    </row>
    <row r="48" spans="1:10" x14ac:dyDescent="0.25">
      <c r="A48" s="1" t="s">
        <v>48</v>
      </c>
      <c r="B48" s="1" t="s">
        <v>86</v>
      </c>
      <c r="C48" s="11"/>
      <c r="D48" s="11"/>
      <c r="E48" s="11"/>
      <c r="F48" s="11"/>
      <c r="G48" s="11">
        <f t="shared" si="0"/>
        <v>0</v>
      </c>
      <c r="H48" s="17">
        <f t="shared" si="1"/>
        <v>0</v>
      </c>
      <c r="I48" s="16">
        <f t="shared" si="2"/>
        <v>0</v>
      </c>
      <c r="J48" s="16"/>
    </row>
    <row r="49" spans="1:10" x14ac:dyDescent="0.25">
      <c r="A49" s="21" t="s">
        <v>12</v>
      </c>
      <c r="B49" s="21"/>
      <c r="C49" s="12">
        <f t="shared" ref="C49:H49" si="3">SUM(C8:C48)</f>
        <v>1539950</v>
      </c>
      <c r="D49" s="12">
        <f t="shared" si="3"/>
        <v>542</v>
      </c>
      <c r="E49" s="12">
        <f t="shared" si="3"/>
        <v>793590</v>
      </c>
      <c r="F49" s="12">
        <f t="shared" si="3"/>
        <v>57720</v>
      </c>
      <c r="G49" s="12">
        <f t="shared" si="3"/>
        <v>2391802</v>
      </c>
      <c r="H49" s="15">
        <f t="shared" si="3"/>
        <v>150.35999999999999</v>
      </c>
      <c r="I49" s="18"/>
      <c r="J49" s="18"/>
    </row>
    <row r="50" spans="1:10" x14ac:dyDescent="0.25">
      <c r="A50" s="21" t="s">
        <v>14</v>
      </c>
      <c r="B50" s="21"/>
      <c r="C50" s="13">
        <f>ROUND(C49/G49,2)</f>
        <v>0.64</v>
      </c>
      <c r="D50" s="13">
        <f>ROUND(D49/G49,2)</f>
        <v>0</v>
      </c>
      <c r="E50" s="13">
        <f>ROUND(E49/G49,2)</f>
        <v>0.33</v>
      </c>
      <c r="F50" s="13">
        <f>ROUND(F49/G49,2)</f>
        <v>0.02</v>
      </c>
      <c r="G50" s="14"/>
      <c r="H50" s="14"/>
      <c r="I50" s="18"/>
      <c r="J50" s="18"/>
    </row>
    <row r="51" spans="1:10" x14ac:dyDescent="0.25">
      <c r="A51" s="2" t="s">
        <v>52</v>
      </c>
      <c r="B51" s="2"/>
      <c r="C51" s="14"/>
      <c r="D51" s="14"/>
      <c r="E51" s="14"/>
      <c r="F51" s="14"/>
      <c r="G51" s="14"/>
      <c r="H51" s="14"/>
      <c r="I51" s="18"/>
      <c r="J51" s="18"/>
    </row>
    <row r="52" spans="1:10" x14ac:dyDescent="0.25">
      <c r="C52" s="9"/>
      <c r="D52" s="9"/>
      <c r="E52" s="9"/>
      <c r="F52" s="9"/>
      <c r="G52" s="9"/>
      <c r="H52" s="9"/>
      <c r="I52" s="10"/>
      <c r="J52" s="10"/>
    </row>
    <row r="53" spans="1:10" x14ac:dyDescent="0.25">
      <c r="C53" s="9"/>
      <c r="D53" s="9"/>
      <c r="E53" s="9"/>
      <c r="F53" s="9"/>
      <c r="G53" s="9"/>
      <c r="H53" s="9"/>
      <c r="I53" s="10"/>
      <c r="J53" s="10"/>
    </row>
    <row r="54" spans="1:10" x14ac:dyDescent="0.25">
      <c r="C54" s="9"/>
      <c r="D54" s="9"/>
      <c r="E54" s="9"/>
      <c r="F54" s="9"/>
      <c r="G54" s="9"/>
      <c r="H54" s="9"/>
      <c r="I54" s="10"/>
      <c r="J54" s="10"/>
    </row>
    <row r="55" spans="1:10" x14ac:dyDescent="0.25">
      <c r="A55" s="21" t="s">
        <v>53</v>
      </c>
      <c r="B55" s="21"/>
      <c r="C55" s="12" t="s">
        <v>8</v>
      </c>
      <c r="D55" s="12" t="s">
        <v>9</v>
      </c>
      <c r="E55" s="12" t="s">
        <v>10</v>
      </c>
      <c r="F55" s="12" t="s">
        <v>11</v>
      </c>
      <c r="G55" s="12" t="s">
        <v>12</v>
      </c>
      <c r="H55" s="15" t="s">
        <v>13</v>
      </c>
      <c r="I55" s="18"/>
      <c r="J55" s="18"/>
    </row>
    <row r="56" spans="1:10" x14ac:dyDescent="0.25">
      <c r="A56" s="20" t="s">
        <v>54</v>
      </c>
      <c r="B56" s="20"/>
      <c r="C56" s="11">
        <v>1034260</v>
      </c>
      <c r="D56" s="11">
        <v>542</v>
      </c>
      <c r="E56" s="11">
        <v>717770</v>
      </c>
      <c r="F56" s="11">
        <v>12540</v>
      </c>
      <c r="G56" s="11">
        <f>SUM(C56:F56)</f>
        <v>1765112</v>
      </c>
      <c r="H56" s="17">
        <f>ROUND(G56/15906,2)</f>
        <v>110.97</v>
      </c>
      <c r="I56" s="10"/>
      <c r="J56" s="10"/>
    </row>
    <row r="57" spans="1:10" x14ac:dyDescent="0.25">
      <c r="A57" s="20" t="s">
        <v>55</v>
      </c>
      <c r="B57" s="20"/>
      <c r="C57" s="11">
        <v>505690</v>
      </c>
      <c r="D57" s="11">
        <v>0</v>
      </c>
      <c r="E57" s="11">
        <v>75820</v>
      </c>
      <c r="F57" s="11">
        <v>45180</v>
      </c>
      <c r="G57" s="11">
        <f>SUM(C57:F57)</f>
        <v>626690</v>
      </c>
      <c r="H57" s="17">
        <f>ROUND(G57/15906,2)</f>
        <v>39.4</v>
      </c>
      <c r="I57" s="10"/>
      <c r="J57" s="10"/>
    </row>
    <row r="58" spans="1:10" x14ac:dyDescent="0.25">
      <c r="A58" s="20" t="s">
        <v>56</v>
      </c>
      <c r="B58" s="20"/>
      <c r="C58" s="11">
        <v>0</v>
      </c>
      <c r="D58" s="11">
        <v>0</v>
      </c>
      <c r="E58" s="11">
        <v>0</v>
      </c>
      <c r="F58" s="11">
        <v>0</v>
      </c>
      <c r="G58" s="11">
        <f>SUM(C58:F58)</f>
        <v>0</v>
      </c>
      <c r="H58" s="17">
        <f>ROUND(G58/15906,2)</f>
        <v>0</v>
      </c>
      <c r="I58" s="10"/>
      <c r="J58" s="10"/>
    </row>
    <row r="59" spans="1:10" x14ac:dyDescent="0.25">
      <c r="C59" s="9"/>
      <c r="D59" s="9"/>
      <c r="E59" s="9"/>
      <c r="F59" s="9"/>
      <c r="G59" s="9"/>
      <c r="H59" s="9"/>
      <c r="I59" s="10"/>
      <c r="J59" s="10"/>
    </row>
    <row r="60" spans="1:10" x14ac:dyDescent="0.25">
      <c r="C60" s="9"/>
      <c r="D60" s="9"/>
      <c r="E60" s="9"/>
      <c r="F60" s="9"/>
      <c r="G60" s="9"/>
      <c r="H60" s="9"/>
      <c r="I60" s="10"/>
      <c r="J60" s="10"/>
    </row>
    <row r="61" spans="1:10" x14ac:dyDescent="0.25">
      <c r="C61" s="9"/>
      <c r="D61" s="9"/>
      <c r="E61" s="9"/>
      <c r="F61" s="9"/>
      <c r="G61" s="9"/>
      <c r="H61" s="9"/>
      <c r="I61" s="10"/>
      <c r="J61" s="10"/>
    </row>
    <row r="62" spans="1:10" x14ac:dyDescent="0.25">
      <c r="C62" s="9"/>
      <c r="D62" s="9"/>
      <c r="E62" s="9"/>
      <c r="F62" s="9"/>
      <c r="G62" s="9"/>
      <c r="H62" s="9"/>
      <c r="I62" s="10"/>
      <c r="J62" s="10"/>
    </row>
    <row r="63" spans="1:10" x14ac:dyDescent="0.25">
      <c r="A63" s="21" t="s">
        <v>57</v>
      </c>
      <c r="B63" s="21"/>
      <c r="C63" s="15" t="s">
        <v>2</v>
      </c>
      <c r="D63" s="15">
        <v>2023</v>
      </c>
      <c r="E63" s="15" t="s">
        <v>59</v>
      </c>
      <c r="F63" s="14"/>
      <c r="G63" s="15" t="s">
        <v>60</v>
      </c>
      <c r="H63" s="15" t="s">
        <v>2</v>
      </c>
      <c r="I63" s="13" t="s">
        <v>61</v>
      </c>
      <c r="J63" s="13" t="s">
        <v>59</v>
      </c>
    </row>
    <row r="64" spans="1:10" x14ac:dyDescent="0.25">
      <c r="A64" s="20" t="s">
        <v>58</v>
      </c>
      <c r="B64" s="20"/>
      <c r="C64" s="16">
        <f>ROUND(0.7724, 4)</f>
        <v>0.77239999999999998</v>
      </c>
      <c r="D64" s="16">
        <f>ROUND(0.7813, 4)</f>
        <v>0.78129999999999999</v>
      </c>
      <c r="E64" s="16">
        <f>ROUND(0.777, 4)</f>
        <v>0.77700000000000002</v>
      </c>
      <c r="F64" s="9"/>
      <c r="G64" s="15" t="s">
        <v>62</v>
      </c>
      <c r="H64" s="22" t="s">
        <v>63</v>
      </c>
      <c r="I64" s="24" t="s">
        <v>64</v>
      </c>
      <c r="J64" s="24" t="s">
        <v>65</v>
      </c>
    </row>
    <row r="65" spans="1:10" x14ac:dyDescent="0.25">
      <c r="A65" s="20" t="s">
        <v>66</v>
      </c>
      <c r="B65" s="20"/>
      <c r="C65" s="16">
        <f>ROUND(0.7622, 4)</f>
        <v>0.76219999999999999</v>
      </c>
      <c r="D65" s="16">
        <f>ROUND(0.7721, 4)</f>
        <v>0.77210000000000001</v>
      </c>
      <c r="E65" s="16">
        <f>ROUND(0.7608, 4)</f>
        <v>0.76080000000000003</v>
      </c>
      <c r="F65" s="9"/>
      <c r="G65" s="15" t="s">
        <v>67</v>
      </c>
      <c r="H65" s="23"/>
      <c r="I65" s="25"/>
      <c r="J65" s="25"/>
    </row>
    <row r="66" spans="1:10" x14ac:dyDescent="0.25">
      <c r="C66" s="9"/>
      <c r="D66" s="9"/>
      <c r="E66" s="9"/>
      <c r="F66" s="9"/>
      <c r="G66" s="9"/>
      <c r="H66" s="9"/>
      <c r="I66" s="10"/>
      <c r="J66" s="10"/>
    </row>
    <row r="69" spans="1:10" x14ac:dyDescent="0.25">
      <c r="A69" s="21" t="s">
        <v>68</v>
      </c>
      <c r="B69" s="21"/>
      <c r="C69" s="3" t="s">
        <v>2</v>
      </c>
      <c r="D69" s="3" t="s">
        <v>128</v>
      </c>
      <c r="E69" s="3" t="s">
        <v>70</v>
      </c>
      <c r="F69" s="3" t="s">
        <v>71</v>
      </c>
      <c r="G69" s="3" t="s">
        <v>72</v>
      </c>
      <c r="H69" s="2"/>
      <c r="I69" s="2"/>
      <c r="J69" s="2"/>
    </row>
    <row r="70" spans="1:10" x14ac:dyDescent="0.25">
      <c r="A70" s="20" t="s">
        <v>73</v>
      </c>
      <c r="B70" s="20"/>
      <c r="C70" s="1">
        <v>32.119999999999997</v>
      </c>
      <c r="D70" s="1">
        <v>82.49</v>
      </c>
      <c r="E70" s="1">
        <v>81.84</v>
      </c>
      <c r="F70" s="1">
        <v>48</v>
      </c>
      <c r="G70" s="1">
        <f>12/4*C70</f>
        <v>96.359999999999985</v>
      </c>
    </row>
    <row r="71" spans="1:10" x14ac:dyDescent="0.25">
      <c r="A71" s="20" t="s">
        <v>74</v>
      </c>
      <c r="B71" s="20"/>
      <c r="C71" s="1">
        <v>23.35</v>
      </c>
      <c r="D71" s="1">
        <v>66.86</v>
      </c>
      <c r="E71" s="1">
        <v>55.63</v>
      </c>
      <c r="F71" s="1">
        <v>55.33</v>
      </c>
      <c r="G71" s="1">
        <f>12/4*C71</f>
        <v>70.050000000000011</v>
      </c>
    </row>
    <row r="72" spans="1:10" x14ac:dyDescent="0.25">
      <c r="A72" s="20" t="s">
        <v>75</v>
      </c>
      <c r="B72" s="20"/>
      <c r="C72" s="1">
        <v>110.97</v>
      </c>
      <c r="D72" s="1">
        <v>291.04000000000002</v>
      </c>
      <c r="E72" s="1">
        <v>257.88</v>
      </c>
      <c r="F72" s="1">
        <v>242.78</v>
      </c>
      <c r="G72" s="1">
        <f>12/4*C72</f>
        <v>332.90999999999997</v>
      </c>
    </row>
    <row r="73" spans="1:10" x14ac:dyDescent="0.25">
      <c r="A73" s="20" t="s">
        <v>76</v>
      </c>
      <c r="B73" s="20"/>
      <c r="C73" s="1">
        <v>39.4</v>
      </c>
      <c r="D73" s="1">
        <v>106.78</v>
      </c>
      <c r="E73" s="1">
        <v>103.14</v>
      </c>
      <c r="F73" s="1">
        <v>68.31</v>
      </c>
      <c r="G73" s="1">
        <f>12/4*C73</f>
        <v>118.19999999999999</v>
      </c>
    </row>
    <row r="76" spans="1:10" x14ac:dyDescent="0.25">
      <c r="A76" s="19" t="s">
        <v>60</v>
      </c>
      <c r="B76" s="26"/>
    </row>
    <row r="77" spans="1:10" x14ac:dyDescent="0.25">
      <c r="A77" s="3" t="s">
        <v>77</v>
      </c>
      <c r="B77" s="1" t="s">
        <v>129</v>
      </c>
    </row>
    <row r="78" spans="1:10" x14ac:dyDescent="0.25">
      <c r="A78" s="3" t="s">
        <v>70</v>
      </c>
      <c r="B78" s="1" t="s">
        <v>79</v>
      </c>
    </row>
    <row r="79" spans="1:10" x14ac:dyDescent="0.25">
      <c r="A79" s="3" t="s">
        <v>71</v>
      </c>
      <c r="B79" s="1" t="s">
        <v>80</v>
      </c>
    </row>
    <row r="80" spans="1:10" x14ac:dyDescent="0.25">
      <c r="A80" s="3" t="s">
        <v>72</v>
      </c>
      <c r="B80" s="1" t="s">
        <v>81</v>
      </c>
    </row>
  </sheetData>
  <mergeCells count="19">
    <mergeCell ref="A71:B71"/>
    <mergeCell ref="A72:B72"/>
    <mergeCell ref="A73:B73"/>
    <mergeCell ref="A76:B76"/>
    <mergeCell ref="I64:I65"/>
    <mergeCell ref="J64:J65"/>
    <mergeCell ref="A65:B65"/>
    <mergeCell ref="A69:B69"/>
    <mergeCell ref="A70:B70"/>
    <mergeCell ref="A57:B57"/>
    <mergeCell ref="A58:B58"/>
    <mergeCell ref="A63:B63"/>
    <mergeCell ref="A64:B64"/>
    <mergeCell ref="H64:H65"/>
    <mergeCell ref="C7:G7"/>
    <mergeCell ref="A49:B49"/>
    <mergeCell ref="A50:B50"/>
    <mergeCell ref="A55:B55"/>
    <mergeCell ref="A56:B5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J68"/>
  <sheetViews>
    <sheetView workbookViewId="0">
      <selection activeCell="C9" sqref="C9:J68"/>
    </sheetView>
  </sheetViews>
  <sheetFormatPr defaultRowHeight="15" x14ac:dyDescent="0.25"/>
  <cols>
    <col min="1" max="1" width="38.85546875" bestFit="1" customWidth="1"/>
    <col min="2" max="2" width="79" bestFit="1" customWidth="1"/>
    <col min="3" max="3" width="14" bestFit="1" customWidth="1"/>
    <col min="4" max="4" width="44.7109375" bestFit="1" customWidth="1"/>
    <col min="5" max="5" width="16.42578125" bestFit="1" customWidth="1"/>
    <col min="6" max="6" width="10.5703125" bestFit="1" customWidth="1"/>
    <col min="7" max="7" width="68.28515625" bestFit="1" customWidth="1"/>
    <col min="8" max="9" width="20" bestFit="1" customWidth="1"/>
    <col min="10" max="10" width="30.5703125" bestFit="1" customWidth="1"/>
  </cols>
  <sheetData>
    <row r="2" spans="1:10" ht="18.75" x14ac:dyDescent="0.3">
      <c r="A2" s="3" t="s">
        <v>0</v>
      </c>
      <c r="B2" s="4" t="s">
        <v>130</v>
      </c>
    </row>
    <row r="3" spans="1:10" x14ac:dyDescent="0.25">
      <c r="A3" s="3" t="s">
        <v>2</v>
      </c>
      <c r="B3" s="1" t="s">
        <v>3</v>
      </c>
    </row>
    <row r="4" spans="1:10" x14ac:dyDescent="0.25">
      <c r="A4" s="3" t="s">
        <v>4</v>
      </c>
      <c r="B4" s="1">
        <v>2177</v>
      </c>
    </row>
    <row r="7" spans="1:10" x14ac:dyDescent="0.25">
      <c r="C7" s="19" t="s">
        <v>5</v>
      </c>
      <c r="D7" s="20"/>
      <c r="E7" s="20"/>
      <c r="F7" s="20"/>
      <c r="G7" s="20"/>
    </row>
    <row r="8" spans="1:10" x14ac:dyDescent="0.25">
      <c r="A8" s="3" t="s">
        <v>6</v>
      </c>
      <c r="B8" s="3" t="s">
        <v>7</v>
      </c>
      <c r="C8" s="3" t="s">
        <v>8</v>
      </c>
      <c r="D8" s="3" t="s">
        <v>9</v>
      </c>
      <c r="E8" s="3" t="s">
        <v>10</v>
      </c>
      <c r="F8" s="3" t="s">
        <v>11</v>
      </c>
      <c r="G8" s="3" t="s">
        <v>12</v>
      </c>
      <c r="H8" s="3" t="s">
        <v>13</v>
      </c>
      <c r="I8" s="3" t="s">
        <v>14</v>
      </c>
      <c r="J8" s="3" t="s">
        <v>15</v>
      </c>
    </row>
    <row r="9" spans="1:10" x14ac:dyDescent="0.25">
      <c r="A9" s="1" t="s">
        <v>16</v>
      </c>
      <c r="B9" s="1" t="s">
        <v>90</v>
      </c>
      <c r="C9" s="11"/>
      <c r="D9" s="11">
        <v>28380</v>
      </c>
      <c r="E9" s="11">
        <v>7800</v>
      </c>
      <c r="F9" s="11"/>
      <c r="G9" s="11">
        <f t="shared" ref="G9:G34" si="0">SUM(C9:F9)</f>
        <v>36180</v>
      </c>
      <c r="H9" s="17">
        <f t="shared" ref="H9:H34" si="1">ROUND(G9/2177,2)</f>
        <v>16.62</v>
      </c>
      <c r="I9" s="16">
        <f t="shared" ref="I9:I34" si="2">ROUND(G9/$G$35,3)</f>
        <v>0.14099999999999999</v>
      </c>
      <c r="J9" s="16">
        <f>ROUND(G9/31340-1,2)</f>
        <v>0.15</v>
      </c>
    </row>
    <row r="10" spans="1:10" x14ac:dyDescent="0.25">
      <c r="A10" s="1" t="s">
        <v>16</v>
      </c>
      <c r="B10" s="1" t="s">
        <v>131</v>
      </c>
      <c r="C10" s="11"/>
      <c r="D10" s="11">
        <v>780</v>
      </c>
      <c r="E10" s="11">
        <v>1960</v>
      </c>
      <c r="F10" s="11"/>
      <c r="G10" s="11">
        <f t="shared" si="0"/>
        <v>2740</v>
      </c>
      <c r="H10" s="17">
        <f t="shared" si="1"/>
        <v>1.26</v>
      </c>
      <c r="I10" s="16">
        <f t="shared" si="2"/>
        <v>1.0999999999999999E-2</v>
      </c>
      <c r="J10" s="16">
        <f>ROUND(G10/2440-1,2)</f>
        <v>0.12</v>
      </c>
    </row>
    <row r="11" spans="1:10" x14ac:dyDescent="0.25">
      <c r="A11" s="1" t="s">
        <v>16</v>
      </c>
      <c r="B11" s="1" t="s">
        <v>20</v>
      </c>
      <c r="C11" s="11"/>
      <c r="D11" s="11">
        <v>30330</v>
      </c>
      <c r="E11" s="11"/>
      <c r="F11" s="11"/>
      <c r="G11" s="11">
        <f t="shared" si="0"/>
        <v>30330</v>
      </c>
      <c r="H11" s="17">
        <f t="shared" si="1"/>
        <v>13.93</v>
      </c>
      <c r="I11" s="16">
        <f t="shared" si="2"/>
        <v>0.11799999999999999</v>
      </c>
      <c r="J11" s="16">
        <f>ROUND(G11/31490-1,2)</f>
        <v>-0.04</v>
      </c>
    </row>
    <row r="12" spans="1:10" x14ac:dyDescent="0.25">
      <c r="A12" s="1" t="s">
        <v>16</v>
      </c>
      <c r="B12" s="1" t="s">
        <v>24</v>
      </c>
      <c r="C12" s="11"/>
      <c r="D12" s="11">
        <v>35020</v>
      </c>
      <c r="E12" s="11"/>
      <c r="F12" s="11"/>
      <c r="G12" s="11">
        <f t="shared" si="0"/>
        <v>35020</v>
      </c>
      <c r="H12" s="17">
        <f t="shared" si="1"/>
        <v>16.09</v>
      </c>
      <c r="I12" s="16">
        <f t="shared" si="2"/>
        <v>0.13600000000000001</v>
      </c>
      <c r="J12" s="16">
        <f>ROUND(G12/30480-1,2)</f>
        <v>0.15</v>
      </c>
    </row>
    <row r="13" spans="1:10" x14ac:dyDescent="0.25">
      <c r="A13" s="1" t="s">
        <v>16</v>
      </c>
      <c r="B13" s="1" t="s">
        <v>25</v>
      </c>
      <c r="C13" s="11"/>
      <c r="D13" s="11"/>
      <c r="E13" s="11">
        <v>655</v>
      </c>
      <c r="F13" s="11"/>
      <c r="G13" s="11">
        <f t="shared" si="0"/>
        <v>655</v>
      </c>
      <c r="H13" s="17">
        <f t="shared" si="1"/>
        <v>0.3</v>
      </c>
      <c r="I13" s="16">
        <f t="shared" si="2"/>
        <v>3.0000000000000001E-3</v>
      </c>
      <c r="J13" s="16"/>
    </row>
    <row r="14" spans="1:10" x14ac:dyDescent="0.25">
      <c r="A14" s="1" t="s">
        <v>16</v>
      </c>
      <c r="B14" s="1" t="s">
        <v>26</v>
      </c>
      <c r="C14" s="11"/>
      <c r="D14" s="11">
        <v>69960</v>
      </c>
      <c r="E14" s="11"/>
      <c r="F14" s="11"/>
      <c r="G14" s="11">
        <f t="shared" si="0"/>
        <v>69960</v>
      </c>
      <c r="H14" s="17">
        <f t="shared" si="1"/>
        <v>32.14</v>
      </c>
      <c r="I14" s="16">
        <f t="shared" si="2"/>
        <v>0.27300000000000002</v>
      </c>
      <c r="J14" s="16">
        <f>ROUND(G14/39640-1,2)</f>
        <v>0.76</v>
      </c>
    </row>
    <row r="15" spans="1:10" x14ac:dyDescent="0.25">
      <c r="A15" s="1" t="s">
        <v>16</v>
      </c>
      <c r="B15" s="1" t="s">
        <v>32</v>
      </c>
      <c r="C15" s="11"/>
      <c r="D15" s="11">
        <v>54</v>
      </c>
      <c r="E15" s="11"/>
      <c r="F15" s="11"/>
      <c r="G15" s="11">
        <f t="shared" si="0"/>
        <v>54</v>
      </c>
      <c r="H15" s="17">
        <f t="shared" si="1"/>
        <v>0.02</v>
      </c>
      <c r="I15" s="16">
        <f t="shared" si="2"/>
        <v>0</v>
      </c>
      <c r="J15" s="16">
        <f>ROUND(G15/34-1,2)</f>
        <v>0.59</v>
      </c>
    </row>
    <row r="16" spans="1:10" x14ac:dyDescent="0.25">
      <c r="A16" s="1" t="s">
        <v>16</v>
      </c>
      <c r="B16" s="1" t="s">
        <v>34</v>
      </c>
      <c r="C16" s="11"/>
      <c r="D16" s="11">
        <v>50</v>
      </c>
      <c r="E16" s="11"/>
      <c r="F16" s="11"/>
      <c r="G16" s="11">
        <f t="shared" si="0"/>
        <v>50</v>
      </c>
      <c r="H16" s="17">
        <f t="shared" si="1"/>
        <v>0.02</v>
      </c>
      <c r="I16" s="16">
        <f t="shared" si="2"/>
        <v>0</v>
      </c>
      <c r="J16" s="16">
        <f>ROUND(G16/90-1,2)</f>
        <v>-0.44</v>
      </c>
    </row>
    <row r="17" spans="1:10" x14ac:dyDescent="0.25">
      <c r="A17" s="1" t="s">
        <v>16</v>
      </c>
      <c r="B17" s="1" t="s">
        <v>35</v>
      </c>
      <c r="C17" s="11"/>
      <c r="D17" s="11"/>
      <c r="E17" s="11">
        <v>12180</v>
      </c>
      <c r="F17" s="11"/>
      <c r="G17" s="11">
        <f t="shared" si="0"/>
        <v>12180</v>
      </c>
      <c r="H17" s="17">
        <f t="shared" si="1"/>
        <v>5.59</v>
      </c>
      <c r="I17" s="16">
        <f t="shared" si="2"/>
        <v>4.7E-2</v>
      </c>
      <c r="J17" s="16"/>
    </row>
    <row r="18" spans="1:10" x14ac:dyDescent="0.25">
      <c r="A18" s="1" t="s">
        <v>16</v>
      </c>
      <c r="B18" s="1" t="s">
        <v>38</v>
      </c>
      <c r="C18" s="11"/>
      <c r="D18" s="11"/>
      <c r="E18" s="11">
        <v>7390</v>
      </c>
      <c r="F18" s="11"/>
      <c r="G18" s="11">
        <f t="shared" si="0"/>
        <v>7390</v>
      </c>
      <c r="H18" s="17">
        <f t="shared" si="1"/>
        <v>3.39</v>
      </c>
      <c r="I18" s="16">
        <f t="shared" si="2"/>
        <v>2.9000000000000001E-2</v>
      </c>
      <c r="J18" s="16"/>
    </row>
    <row r="19" spans="1:10" x14ac:dyDescent="0.25">
      <c r="A19" s="1" t="s">
        <v>16</v>
      </c>
      <c r="B19" s="1" t="s">
        <v>17</v>
      </c>
      <c r="C19" s="11"/>
      <c r="D19" s="11"/>
      <c r="E19" s="11"/>
      <c r="F19" s="11"/>
      <c r="G19" s="11">
        <f t="shared" si="0"/>
        <v>0</v>
      </c>
      <c r="H19" s="17">
        <f t="shared" si="1"/>
        <v>0</v>
      </c>
      <c r="I19" s="16">
        <f t="shared" si="2"/>
        <v>0</v>
      </c>
      <c r="J19" s="16"/>
    </row>
    <row r="20" spans="1:10" x14ac:dyDescent="0.25">
      <c r="A20" s="1" t="s">
        <v>16</v>
      </c>
      <c r="B20" s="1" t="s">
        <v>42</v>
      </c>
      <c r="C20" s="11"/>
      <c r="D20" s="11"/>
      <c r="E20" s="11"/>
      <c r="F20" s="11"/>
      <c r="G20" s="11">
        <f t="shared" si="0"/>
        <v>0</v>
      </c>
      <c r="H20" s="17">
        <f t="shared" si="1"/>
        <v>0</v>
      </c>
      <c r="I20" s="16">
        <f t="shared" si="2"/>
        <v>0</v>
      </c>
      <c r="J20" s="16"/>
    </row>
    <row r="21" spans="1:10" x14ac:dyDescent="0.25">
      <c r="A21" s="1" t="s">
        <v>16</v>
      </c>
      <c r="B21" s="1" t="s">
        <v>43</v>
      </c>
      <c r="C21" s="11"/>
      <c r="D21" s="11"/>
      <c r="E21" s="11"/>
      <c r="F21" s="11"/>
      <c r="G21" s="11">
        <f t="shared" si="0"/>
        <v>0</v>
      </c>
      <c r="H21" s="17">
        <f t="shared" si="1"/>
        <v>0</v>
      </c>
      <c r="I21" s="16">
        <f t="shared" si="2"/>
        <v>0</v>
      </c>
      <c r="J21" s="16">
        <f>ROUND(G21/882-1,2)</f>
        <v>-1</v>
      </c>
    </row>
    <row r="22" spans="1:10" x14ac:dyDescent="0.25">
      <c r="A22" s="1" t="s">
        <v>16</v>
      </c>
      <c r="B22" s="1" t="s">
        <v>37</v>
      </c>
      <c r="C22" s="11"/>
      <c r="D22" s="11"/>
      <c r="E22" s="11"/>
      <c r="F22" s="11"/>
      <c r="G22" s="11">
        <f t="shared" si="0"/>
        <v>0</v>
      </c>
      <c r="H22" s="17">
        <f t="shared" si="1"/>
        <v>0</v>
      </c>
      <c r="I22" s="16">
        <f t="shared" si="2"/>
        <v>0</v>
      </c>
      <c r="J22" s="16"/>
    </row>
    <row r="23" spans="1:10" x14ac:dyDescent="0.25">
      <c r="A23" s="1" t="s">
        <v>16</v>
      </c>
      <c r="B23" s="1" t="s">
        <v>22</v>
      </c>
      <c r="C23" s="11"/>
      <c r="D23" s="11"/>
      <c r="E23" s="11"/>
      <c r="F23" s="11"/>
      <c r="G23" s="11">
        <f t="shared" si="0"/>
        <v>0</v>
      </c>
      <c r="H23" s="17">
        <f t="shared" si="1"/>
        <v>0</v>
      </c>
      <c r="I23" s="16">
        <f t="shared" si="2"/>
        <v>0</v>
      </c>
      <c r="J23" s="16">
        <f>ROUND(G23/630-1,2)</f>
        <v>-1</v>
      </c>
    </row>
    <row r="24" spans="1:10" x14ac:dyDescent="0.25">
      <c r="A24" s="1" t="s">
        <v>16</v>
      </c>
      <c r="B24" s="1" t="s">
        <v>39</v>
      </c>
      <c r="C24" s="11"/>
      <c r="D24" s="11"/>
      <c r="E24" s="11"/>
      <c r="F24" s="11"/>
      <c r="G24" s="11">
        <f t="shared" si="0"/>
        <v>0</v>
      </c>
      <c r="H24" s="17">
        <f t="shared" si="1"/>
        <v>0</v>
      </c>
      <c r="I24" s="16">
        <f t="shared" si="2"/>
        <v>0</v>
      </c>
      <c r="J24" s="16"/>
    </row>
    <row r="25" spans="1:10" x14ac:dyDescent="0.25">
      <c r="A25" s="1" t="s">
        <v>16</v>
      </c>
      <c r="B25" s="1" t="s">
        <v>40</v>
      </c>
      <c r="C25" s="11"/>
      <c r="D25" s="11"/>
      <c r="E25" s="11"/>
      <c r="F25" s="11"/>
      <c r="G25" s="11">
        <f t="shared" si="0"/>
        <v>0</v>
      </c>
      <c r="H25" s="17">
        <f t="shared" si="1"/>
        <v>0</v>
      </c>
      <c r="I25" s="16">
        <f t="shared" si="2"/>
        <v>0</v>
      </c>
      <c r="J25" s="16">
        <f>ROUND(G25/790-1,2)</f>
        <v>-1</v>
      </c>
    </row>
    <row r="26" spans="1:10" x14ac:dyDescent="0.25">
      <c r="A26" s="1" t="s">
        <v>16</v>
      </c>
      <c r="B26" s="1" t="s">
        <v>41</v>
      </c>
      <c r="C26" s="11"/>
      <c r="D26" s="11"/>
      <c r="E26" s="11"/>
      <c r="F26" s="11"/>
      <c r="G26" s="11">
        <f t="shared" si="0"/>
        <v>0</v>
      </c>
      <c r="H26" s="17">
        <f t="shared" si="1"/>
        <v>0</v>
      </c>
      <c r="I26" s="16">
        <f t="shared" si="2"/>
        <v>0</v>
      </c>
      <c r="J26" s="16"/>
    </row>
    <row r="27" spans="1:10" x14ac:dyDescent="0.25">
      <c r="A27" s="1" t="s">
        <v>16</v>
      </c>
      <c r="B27" s="1" t="s">
        <v>95</v>
      </c>
      <c r="C27" s="11"/>
      <c r="D27" s="11"/>
      <c r="E27" s="11"/>
      <c r="F27" s="11"/>
      <c r="G27" s="11">
        <f t="shared" si="0"/>
        <v>0</v>
      </c>
      <c r="H27" s="17">
        <f t="shared" si="1"/>
        <v>0</v>
      </c>
      <c r="I27" s="16">
        <f t="shared" si="2"/>
        <v>0</v>
      </c>
      <c r="J27" s="16">
        <f>ROUND(G27/400-1,2)</f>
        <v>-1</v>
      </c>
    </row>
    <row r="28" spans="1:10" x14ac:dyDescent="0.25">
      <c r="A28" s="1" t="s">
        <v>16</v>
      </c>
      <c r="B28" s="1" t="s">
        <v>29</v>
      </c>
      <c r="C28" s="11"/>
      <c r="D28" s="11"/>
      <c r="E28" s="11"/>
      <c r="F28" s="11"/>
      <c r="G28" s="11">
        <f t="shared" si="0"/>
        <v>0</v>
      </c>
      <c r="H28" s="17">
        <f t="shared" si="1"/>
        <v>0</v>
      </c>
      <c r="I28" s="16">
        <f t="shared" si="2"/>
        <v>0</v>
      </c>
      <c r="J28" s="16"/>
    </row>
    <row r="29" spans="1:10" x14ac:dyDescent="0.25">
      <c r="A29" s="1" t="s">
        <v>16</v>
      </c>
      <c r="B29" s="1" t="s">
        <v>33</v>
      </c>
      <c r="C29" s="11"/>
      <c r="D29" s="11"/>
      <c r="E29" s="11"/>
      <c r="F29" s="11"/>
      <c r="G29" s="11">
        <f t="shared" si="0"/>
        <v>0</v>
      </c>
      <c r="H29" s="17">
        <f t="shared" si="1"/>
        <v>0</v>
      </c>
      <c r="I29" s="16">
        <f t="shared" si="2"/>
        <v>0</v>
      </c>
      <c r="J29" s="16"/>
    </row>
    <row r="30" spans="1:10" x14ac:dyDescent="0.25">
      <c r="A30" s="1" t="s">
        <v>44</v>
      </c>
      <c r="B30" s="1" t="s">
        <v>45</v>
      </c>
      <c r="C30" s="11">
        <v>50610</v>
      </c>
      <c r="D30" s="11"/>
      <c r="E30" s="11"/>
      <c r="F30" s="11"/>
      <c r="G30" s="11">
        <f t="shared" si="0"/>
        <v>50610</v>
      </c>
      <c r="H30" s="17">
        <f t="shared" si="1"/>
        <v>23.25</v>
      </c>
      <c r="I30" s="16">
        <f t="shared" si="2"/>
        <v>0.19700000000000001</v>
      </c>
      <c r="J30" s="16">
        <f>ROUND(G30/45270-1,2)</f>
        <v>0.12</v>
      </c>
    </row>
    <row r="31" spans="1:10" x14ac:dyDescent="0.25">
      <c r="A31" s="1" t="s">
        <v>44</v>
      </c>
      <c r="B31" s="1" t="s">
        <v>46</v>
      </c>
      <c r="C31" s="11"/>
      <c r="D31" s="11"/>
      <c r="E31" s="11">
        <v>11520</v>
      </c>
      <c r="F31" s="11"/>
      <c r="G31" s="11">
        <f t="shared" si="0"/>
        <v>11520</v>
      </c>
      <c r="H31" s="17">
        <f t="shared" si="1"/>
        <v>5.29</v>
      </c>
      <c r="I31" s="16">
        <f t="shared" si="2"/>
        <v>4.4999999999999998E-2</v>
      </c>
      <c r="J31" s="16"/>
    </row>
    <row r="32" spans="1:10" x14ac:dyDescent="0.25">
      <c r="A32" s="1" t="s">
        <v>48</v>
      </c>
      <c r="B32" s="1" t="s">
        <v>49</v>
      </c>
      <c r="C32" s="11"/>
      <c r="D32" s="11"/>
      <c r="E32" s="11"/>
      <c r="F32" s="11"/>
      <c r="G32" s="11">
        <f t="shared" si="0"/>
        <v>0</v>
      </c>
      <c r="H32" s="17">
        <f t="shared" si="1"/>
        <v>0</v>
      </c>
      <c r="I32" s="16">
        <f t="shared" si="2"/>
        <v>0</v>
      </c>
      <c r="J32" s="16">
        <f>ROUND(G32/425-1,2)</f>
        <v>-1</v>
      </c>
    </row>
    <row r="33" spans="1:10" x14ac:dyDescent="0.25">
      <c r="A33" s="1" t="s">
        <v>48</v>
      </c>
      <c r="B33" s="1" t="s">
        <v>50</v>
      </c>
      <c r="C33" s="11"/>
      <c r="D33" s="11"/>
      <c r="E33" s="11"/>
      <c r="F33" s="11"/>
      <c r="G33" s="11">
        <f t="shared" si="0"/>
        <v>0</v>
      </c>
      <c r="H33" s="17">
        <f t="shared" si="1"/>
        <v>0</v>
      </c>
      <c r="I33" s="16">
        <f t="shared" si="2"/>
        <v>0</v>
      </c>
      <c r="J33" s="16">
        <f>ROUND(G33/450-1,2)</f>
        <v>-1</v>
      </c>
    </row>
    <row r="34" spans="1:10" x14ac:dyDescent="0.25">
      <c r="A34" s="1" t="s">
        <v>48</v>
      </c>
      <c r="B34" s="1" t="s">
        <v>51</v>
      </c>
      <c r="C34" s="11"/>
      <c r="D34" s="11"/>
      <c r="E34" s="11"/>
      <c r="F34" s="11"/>
      <c r="G34" s="11">
        <f t="shared" si="0"/>
        <v>0</v>
      </c>
      <c r="H34" s="17">
        <f t="shared" si="1"/>
        <v>0</v>
      </c>
      <c r="I34" s="16">
        <f t="shared" si="2"/>
        <v>0</v>
      </c>
      <c r="J34" s="16"/>
    </row>
    <row r="35" spans="1:10" x14ac:dyDescent="0.25">
      <c r="A35" s="21" t="s">
        <v>12</v>
      </c>
      <c r="B35" s="21"/>
      <c r="C35" s="12">
        <f t="shared" ref="C35:H35" si="3">SUM(C8:C34)</f>
        <v>50610</v>
      </c>
      <c r="D35" s="12">
        <f t="shared" si="3"/>
        <v>164574</v>
      </c>
      <c r="E35" s="12">
        <f t="shared" si="3"/>
        <v>41505</v>
      </c>
      <c r="F35" s="12">
        <f t="shared" si="3"/>
        <v>0</v>
      </c>
      <c r="G35" s="12">
        <f t="shared" si="3"/>
        <v>256689</v>
      </c>
      <c r="H35" s="15">
        <f t="shared" si="3"/>
        <v>117.9</v>
      </c>
      <c r="I35" s="18"/>
      <c r="J35" s="18"/>
    </row>
    <row r="36" spans="1:10" x14ac:dyDescent="0.25">
      <c r="A36" s="21" t="s">
        <v>14</v>
      </c>
      <c r="B36" s="21"/>
      <c r="C36" s="13">
        <f>ROUND(C35/G35,2)</f>
        <v>0.2</v>
      </c>
      <c r="D36" s="13">
        <f>ROUND(D35/G35,2)</f>
        <v>0.64</v>
      </c>
      <c r="E36" s="13">
        <f>ROUND(E35/G35,2)</f>
        <v>0.16</v>
      </c>
      <c r="F36" s="13">
        <f>ROUND(F35/G35,2)</f>
        <v>0</v>
      </c>
      <c r="G36" s="14"/>
      <c r="H36" s="14"/>
      <c r="I36" s="18"/>
      <c r="J36" s="18"/>
    </row>
    <row r="37" spans="1:10" x14ac:dyDescent="0.25">
      <c r="A37" s="2" t="s">
        <v>52</v>
      </c>
      <c r="B37" s="2"/>
      <c r="C37" s="14"/>
      <c r="D37" s="14"/>
      <c r="E37" s="14"/>
      <c r="F37" s="14"/>
      <c r="G37" s="14"/>
      <c r="H37" s="14"/>
      <c r="I37" s="18"/>
      <c r="J37" s="18"/>
    </row>
    <row r="38" spans="1:10" x14ac:dyDescent="0.25">
      <c r="C38" s="9"/>
      <c r="D38" s="9"/>
      <c r="E38" s="9"/>
      <c r="F38" s="9"/>
      <c r="G38" s="9"/>
      <c r="H38" s="9"/>
      <c r="I38" s="10"/>
      <c r="J38" s="10"/>
    </row>
    <row r="39" spans="1:10" x14ac:dyDescent="0.25">
      <c r="C39" s="9"/>
      <c r="D39" s="9"/>
      <c r="E39" s="9"/>
      <c r="F39" s="9"/>
      <c r="G39" s="9"/>
      <c r="H39" s="9"/>
      <c r="I39" s="10"/>
      <c r="J39" s="10"/>
    </row>
    <row r="40" spans="1:10" x14ac:dyDescent="0.25">
      <c r="C40" s="9"/>
      <c r="D40" s="9"/>
      <c r="E40" s="9"/>
      <c r="F40" s="9"/>
      <c r="G40" s="9"/>
      <c r="H40" s="9"/>
      <c r="I40" s="10"/>
      <c r="J40" s="10"/>
    </row>
    <row r="41" spans="1:10" x14ac:dyDescent="0.25">
      <c r="A41" s="21" t="s">
        <v>53</v>
      </c>
      <c r="B41" s="21"/>
      <c r="C41" s="12" t="s">
        <v>8</v>
      </c>
      <c r="D41" s="12" t="s">
        <v>9</v>
      </c>
      <c r="E41" s="12" t="s">
        <v>10</v>
      </c>
      <c r="F41" s="12" t="s">
        <v>11</v>
      </c>
      <c r="G41" s="12" t="s">
        <v>12</v>
      </c>
      <c r="H41" s="15" t="s">
        <v>13</v>
      </c>
      <c r="I41" s="18"/>
      <c r="J41" s="18"/>
    </row>
    <row r="42" spans="1:10" x14ac:dyDescent="0.25">
      <c r="A42" s="20" t="s">
        <v>54</v>
      </c>
      <c r="B42" s="20"/>
      <c r="C42" s="11">
        <v>0</v>
      </c>
      <c r="D42" s="11">
        <v>164574</v>
      </c>
      <c r="E42" s="11">
        <v>29985</v>
      </c>
      <c r="F42" s="11">
        <v>0</v>
      </c>
      <c r="G42" s="11">
        <f>SUM(C42:F42)</f>
        <v>194559</v>
      </c>
      <c r="H42" s="17">
        <f>ROUND(G42/2177,2)</f>
        <v>89.37</v>
      </c>
      <c r="I42" s="10"/>
      <c r="J42" s="10"/>
    </row>
    <row r="43" spans="1:10" x14ac:dyDescent="0.25">
      <c r="A43" s="20" t="s">
        <v>55</v>
      </c>
      <c r="B43" s="20"/>
      <c r="C43" s="11">
        <v>50610</v>
      </c>
      <c r="D43" s="11">
        <v>0</v>
      </c>
      <c r="E43" s="11">
        <v>11520</v>
      </c>
      <c r="F43" s="11">
        <v>0</v>
      </c>
      <c r="G43" s="11">
        <f>SUM(C43:F43)</f>
        <v>62130</v>
      </c>
      <c r="H43" s="17">
        <f>ROUND(G43/2177,2)</f>
        <v>28.54</v>
      </c>
      <c r="I43" s="10"/>
      <c r="J43" s="10"/>
    </row>
    <row r="44" spans="1:10" x14ac:dyDescent="0.25">
      <c r="A44" s="20" t="s">
        <v>56</v>
      </c>
      <c r="B44" s="20"/>
      <c r="C44" s="11">
        <v>0</v>
      </c>
      <c r="D44" s="11">
        <v>0</v>
      </c>
      <c r="E44" s="11">
        <v>0</v>
      </c>
      <c r="F44" s="11">
        <v>0</v>
      </c>
      <c r="G44" s="11">
        <f>SUM(C44:F44)</f>
        <v>0</v>
      </c>
      <c r="H44" s="17">
        <f>ROUND(G44/2177,2)</f>
        <v>0</v>
      </c>
      <c r="I44" s="10"/>
      <c r="J44" s="10"/>
    </row>
    <row r="45" spans="1:10" x14ac:dyDescent="0.25">
      <c r="C45" s="9"/>
      <c r="D45" s="9"/>
      <c r="E45" s="9"/>
      <c r="F45" s="9"/>
      <c r="G45" s="9"/>
      <c r="H45" s="9"/>
      <c r="I45" s="10"/>
      <c r="J45" s="10"/>
    </row>
    <row r="46" spans="1:10" x14ac:dyDescent="0.25">
      <c r="C46" s="9"/>
      <c r="D46" s="9"/>
      <c r="E46" s="9"/>
      <c r="F46" s="9"/>
      <c r="G46" s="9"/>
      <c r="H46" s="9"/>
      <c r="I46" s="10"/>
      <c r="J46" s="10"/>
    </row>
    <row r="47" spans="1:10" x14ac:dyDescent="0.25">
      <c r="C47" s="9"/>
      <c r="D47" s="9"/>
      <c r="E47" s="9"/>
      <c r="F47" s="9"/>
      <c r="G47" s="9"/>
      <c r="H47" s="9"/>
      <c r="I47" s="10"/>
      <c r="J47" s="10"/>
    </row>
    <row r="48" spans="1:10" x14ac:dyDescent="0.25">
      <c r="C48" s="9"/>
      <c r="D48" s="9"/>
      <c r="E48" s="9"/>
      <c r="F48" s="9"/>
      <c r="G48" s="9"/>
      <c r="H48" s="9"/>
      <c r="I48" s="10"/>
      <c r="J48" s="10"/>
    </row>
    <row r="49" spans="1:10" x14ac:dyDescent="0.25">
      <c r="A49" s="21" t="s">
        <v>57</v>
      </c>
      <c r="B49" s="21"/>
      <c r="C49" s="15" t="s">
        <v>2</v>
      </c>
      <c r="D49" s="15">
        <v>2023</v>
      </c>
      <c r="E49" s="15" t="s">
        <v>59</v>
      </c>
      <c r="F49" s="14"/>
      <c r="G49" s="15" t="s">
        <v>60</v>
      </c>
      <c r="H49" s="15" t="s">
        <v>2</v>
      </c>
      <c r="I49" s="13" t="s">
        <v>61</v>
      </c>
      <c r="J49" s="13" t="s">
        <v>59</v>
      </c>
    </row>
    <row r="50" spans="1:10" x14ac:dyDescent="0.25">
      <c r="A50" s="20" t="s">
        <v>58</v>
      </c>
      <c r="B50" s="20"/>
      <c r="C50" s="16">
        <f>ROUND(0.8028, 4)</f>
        <v>0.80279999999999996</v>
      </c>
      <c r="D50" s="16">
        <f>ROUND(0.7849, 4)</f>
        <v>0.78490000000000004</v>
      </c>
      <c r="E50" s="16">
        <f>ROUND(0.777, 4)</f>
        <v>0.77700000000000002</v>
      </c>
      <c r="F50" s="9"/>
      <c r="G50" s="15" t="s">
        <v>62</v>
      </c>
      <c r="H50" s="22" t="s">
        <v>63</v>
      </c>
      <c r="I50" s="24" t="s">
        <v>64</v>
      </c>
      <c r="J50" s="24" t="s">
        <v>65</v>
      </c>
    </row>
    <row r="51" spans="1:10" x14ac:dyDescent="0.25">
      <c r="A51" s="20" t="s">
        <v>66</v>
      </c>
      <c r="B51" s="20"/>
      <c r="C51" s="16">
        <f>ROUND(0.7353, 4)</f>
        <v>0.73529999999999995</v>
      </c>
      <c r="D51" s="16">
        <f>ROUND(0.7148, 4)</f>
        <v>0.71479999999999999</v>
      </c>
      <c r="E51" s="16">
        <f>ROUND(0.7608, 4)</f>
        <v>0.76080000000000003</v>
      </c>
      <c r="F51" s="9"/>
      <c r="G51" s="15" t="s">
        <v>67</v>
      </c>
      <c r="H51" s="23"/>
      <c r="I51" s="25"/>
      <c r="J51" s="25"/>
    </row>
    <row r="52" spans="1:10" x14ac:dyDescent="0.25">
      <c r="C52" s="9"/>
      <c r="D52" s="9"/>
      <c r="E52" s="9"/>
      <c r="F52" s="9"/>
      <c r="G52" s="9"/>
      <c r="H52" s="9"/>
      <c r="I52" s="10"/>
      <c r="J52" s="10"/>
    </row>
    <row r="53" spans="1:10" x14ac:dyDescent="0.25">
      <c r="C53" s="9"/>
      <c r="D53" s="9"/>
      <c r="E53" s="9"/>
      <c r="F53" s="9"/>
      <c r="G53" s="9"/>
      <c r="H53" s="9"/>
      <c r="I53" s="10"/>
      <c r="J53" s="10"/>
    </row>
    <row r="54" spans="1:10" x14ac:dyDescent="0.25">
      <c r="C54" s="9"/>
      <c r="D54" s="9"/>
      <c r="E54" s="9"/>
      <c r="F54" s="9"/>
      <c r="G54" s="9"/>
      <c r="H54" s="9"/>
      <c r="I54" s="10"/>
      <c r="J54" s="10"/>
    </row>
    <row r="55" spans="1:10" x14ac:dyDescent="0.25">
      <c r="A55" s="21" t="s">
        <v>68</v>
      </c>
      <c r="B55" s="21"/>
      <c r="C55" s="15" t="s">
        <v>2</v>
      </c>
      <c r="D55" s="15" t="s">
        <v>132</v>
      </c>
      <c r="E55" s="15" t="s">
        <v>70</v>
      </c>
      <c r="F55" s="15" t="s">
        <v>71</v>
      </c>
      <c r="G55" s="15" t="s">
        <v>72</v>
      </c>
      <c r="H55" s="14"/>
      <c r="I55" s="18"/>
      <c r="J55" s="18"/>
    </row>
    <row r="56" spans="1:10" x14ac:dyDescent="0.25">
      <c r="A56" s="20" t="s">
        <v>73</v>
      </c>
      <c r="B56" s="20"/>
      <c r="C56" s="17">
        <v>23.25</v>
      </c>
      <c r="D56" s="17">
        <v>57.17</v>
      </c>
      <c r="E56" s="17">
        <v>81.84</v>
      </c>
      <c r="F56" s="17">
        <v>48</v>
      </c>
      <c r="G56" s="17">
        <f>12/4*C56</f>
        <v>69.75</v>
      </c>
      <c r="H56" s="9"/>
      <c r="I56" s="10"/>
      <c r="J56" s="10"/>
    </row>
    <row r="57" spans="1:10" x14ac:dyDescent="0.25">
      <c r="A57" s="20" t="s">
        <v>74</v>
      </c>
      <c r="B57" s="20"/>
      <c r="C57" s="17">
        <v>32.14</v>
      </c>
      <c r="D57" s="17">
        <v>64.77</v>
      </c>
      <c r="E57" s="17">
        <v>55.63</v>
      </c>
      <c r="F57" s="17">
        <v>55.33</v>
      </c>
      <c r="G57" s="17">
        <f>12/4*C57</f>
        <v>96.42</v>
      </c>
      <c r="H57" s="9"/>
      <c r="I57" s="10"/>
      <c r="J57" s="10"/>
    </row>
    <row r="58" spans="1:10" x14ac:dyDescent="0.25">
      <c r="A58" s="20" t="s">
        <v>75</v>
      </c>
      <c r="B58" s="20"/>
      <c r="C58" s="17">
        <v>89.37</v>
      </c>
      <c r="D58" s="17">
        <v>221.38</v>
      </c>
      <c r="E58" s="17">
        <v>257.88</v>
      </c>
      <c r="F58" s="17">
        <v>242.78</v>
      </c>
      <c r="G58" s="17">
        <f>12/4*C58</f>
        <v>268.11</v>
      </c>
      <c r="H58" s="9"/>
      <c r="I58" s="10"/>
      <c r="J58" s="10"/>
    </row>
    <row r="59" spans="1:10" x14ac:dyDescent="0.25">
      <c r="A59" s="20" t="s">
        <v>76</v>
      </c>
      <c r="B59" s="20"/>
      <c r="C59" s="17">
        <v>28.54</v>
      </c>
      <c r="D59" s="17">
        <v>66.040000000000006</v>
      </c>
      <c r="E59" s="17">
        <v>103.14</v>
      </c>
      <c r="F59" s="17">
        <v>68.31</v>
      </c>
      <c r="G59" s="17">
        <f>12/4*C59</f>
        <v>85.62</v>
      </c>
      <c r="H59" s="9"/>
      <c r="I59" s="10"/>
      <c r="J59" s="10"/>
    </row>
    <row r="60" spans="1:10" x14ac:dyDescent="0.25">
      <c r="C60" s="9"/>
      <c r="D60" s="9"/>
      <c r="E60" s="9"/>
      <c r="F60" s="9"/>
      <c r="G60" s="9"/>
      <c r="H60" s="9"/>
      <c r="I60" s="10"/>
      <c r="J60" s="10"/>
    </row>
    <row r="61" spans="1:10" x14ac:dyDescent="0.25">
      <c r="C61" s="9"/>
      <c r="D61" s="9"/>
      <c r="E61" s="9"/>
      <c r="F61" s="9"/>
      <c r="G61" s="9"/>
      <c r="H61" s="9"/>
      <c r="I61" s="10"/>
      <c r="J61" s="10"/>
    </row>
    <row r="62" spans="1:10" x14ac:dyDescent="0.25">
      <c r="A62" s="19" t="s">
        <v>60</v>
      </c>
      <c r="B62" s="26"/>
      <c r="C62" s="9"/>
      <c r="D62" s="9"/>
      <c r="E62" s="9"/>
      <c r="F62" s="9"/>
      <c r="G62" s="9"/>
      <c r="H62" s="9"/>
      <c r="I62" s="10"/>
      <c r="J62" s="10"/>
    </row>
    <row r="63" spans="1:10" x14ac:dyDescent="0.25">
      <c r="A63" s="3" t="s">
        <v>77</v>
      </c>
      <c r="B63" s="1" t="s">
        <v>133</v>
      </c>
      <c r="C63" s="9"/>
      <c r="D63" s="9"/>
      <c r="E63" s="9"/>
      <c r="F63" s="9"/>
      <c r="G63" s="9"/>
      <c r="H63" s="9"/>
      <c r="I63" s="10"/>
      <c r="J63" s="10"/>
    </row>
    <row r="64" spans="1:10" x14ac:dyDescent="0.25">
      <c r="A64" s="3" t="s">
        <v>70</v>
      </c>
      <c r="B64" s="1" t="s">
        <v>79</v>
      </c>
      <c r="C64" s="9"/>
      <c r="D64" s="9"/>
      <c r="E64" s="9"/>
      <c r="F64" s="9"/>
      <c r="G64" s="9"/>
      <c r="H64" s="9"/>
      <c r="I64" s="10"/>
      <c r="J64" s="10"/>
    </row>
    <row r="65" spans="1:10" x14ac:dyDescent="0.25">
      <c r="A65" s="3" t="s">
        <v>71</v>
      </c>
      <c r="B65" s="1" t="s">
        <v>80</v>
      </c>
      <c r="C65" s="9"/>
      <c r="D65" s="9"/>
      <c r="E65" s="9"/>
      <c r="F65" s="9"/>
      <c r="G65" s="9"/>
      <c r="H65" s="9"/>
      <c r="I65" s="10"/>
      <c r="J65" s="10"/>
    </row>
    <row r="66" spans="1:10" x14ac:dyDescent="0.25">
      <c r="A66" s="3" t="s">
        <v>72</v>
      </c>
      <c r="B66" s="1" t="s">
        <v>81</v>
      </c>
      <c r="C66" s="9"/>
      <c r="D66" s="9"/>
      <c r="E66" s="9"/>
      <c r="F66" s="9"/>
      <c r="G66" s="9"/>
      <c r="H66" s="9"/>
      <c r="I66" s="10"/>
      <c r="J66" s="10"/>
    </row>
    <row r="67" spans="1:10" x14ac:dyDescent="0.25">
      <c r="C67" s="9"/>
      <c r="D67" s="9"/>
      <c r="E67" s="9"/>
      <c r="F67" s="9"/>
      <c r="G67" s="9"/>
      <c r="H67" s="9"/>
      <c r="I67" s="10"/>
      <c r="J67" s="10"/>
    </row>
    <row r="68" spans="1:10" x14ac:dyDescent="0.25">
      <c r="C68" s="9"/>
      <c r="D68" s="9"/>
      <c r="E68" s="9"/>
      <c r="F68" s="9"/>
      <c r="G68" s="9"/>
      <c r="H68" s="9"/>
      <c r="I68" s="10"/>
      <c r="J68" s="10"/>
    </row>
  </sheetData>
  <mergeCells count="19">
    <mergeCell ref="A57:B57"/>
    <mergeCell ref="A58:B58"/>
    <mergeCell ref="A59:B59"/>
    <mergeCell ref="A62:B62"/>
    <mergeCell ref="I50:I51"/>
    <mergeCell ref="J50:J51"/>
    <mergeCell ref="A51:B51"/>
    <mergeCell ref="A55:B55"/>
    <mergeCell ref="A56:B56"/>
    <mergeCell ref="A43:B43"/>
    <mergeCell ref="A44:B44"/>
    <mergeCell ref="A49:B49"/>
    <mergeCell ref="A50:B50"/>
    <mergeCell ref="H50:H51"/>
    <mergeCell ref="C7:G7"/>
    <mergeCell ref="A35:B35"/>
    <mergeCell ref="A36:B36"/>
    <mergeCell ref="A41:B41"/>
    <mergeCell ref="A42:B4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J70"/>
  <sheetViews>
    <sheetView workbookViewId="0">
      <selection activeCell="C9" sqref="C9:J70"/>
    </sheetView>
  </sheetViews>
  <sheetFormatPr defaultRowHeight="15" x14ac:dyDescent="0.25"/>
  <cols>
    <col min="1" max="1" width="38.85546875" bestFit="1" customWidth="1"/>
    <col min="2" max="2" width="79" bestFit="1" customWidth="1"/>
    <col min="3" max="3" width="14" bestFit="1" customWidth="1"/>
    <col min="4" max="4" width="27" bestFit="1" customWidth="1"/>
    <col min="5" max="5" width="16.42578125" bestFit="1" customWidth="1"/>
    <col min="6" max="6" width="10.5703125" bestFit="1" customWidth="1"/>
    <col min="7" max="7" width="68.28515625" bestFit="1" customWidth="1"/>
    <col min="8" max="9" width="20" bestFit="1" customWidth="1"/>
    <col min="10" max="10" width="30.5703125" bestFit="1" customWidth="1"/>
  </cols>
  <sheetData>
    <row r="2" spans="1:10" ht="18.75" x14ac:dyDescent="0.3">
      <c r="A2" s="3" t="s">
        <v>0</v>
      </c>
      <c r="B2" s="4" t="s">
        <v>134</v>
      </c>
    </row>
    <row r="3" spans="1:10" x14ac:dyDescent="0.25">
      <c r="A3" s="3" t="s">
        <v>2</v>
      </c>
      <c r="B3" s="1" t="s">
        <v>3</v>
      </c>
    </row>
    <row r="4" spans="1:10" x14ac:dyDescent="0.25">
      <c r="A4" s="3" t="s">
        <v>4</v>
      </c>
      <c r="B4" s="1">
        <v>426</v>
      </c>
    </row>
    <row r="7" spans="1:10" x14ac:dyDescent="0.25">
      <c r="C7" s="19" t="s">
        <v>5</v>
      </c>
      <c r="D7" s="20"/>
      <c r="E7" s="20"/>
      <c r="F7" s="20"/>
      <c r="G7" s="20"/>
    </row>
    <row r="8" spans="1:10" x14ac:dyDescent="0.25">
      <c r="A8" s="3" t="s">
        <v>6</v>
      </c>
      <c r="B8" s="3" t="s">
        <v>7</v>
      </c>
      <c r="C8" s="3" t="s">
        <v>8</v>
      </c>
      <c r="D8" s="3" t="s">
        <v>9</v>
      </c>
      <c r="E8" s="3" t="s">
        <v>10</v>
      </c>
      <c r="F8" s="3" t="s">
        <v>11</v>
      </c>
      <c r="G8" s="3" t="s">
        <v>12</v>
      </c>
      <c r="H8" s="3" t="s">
        <v>13</v>
      </c>
      <c r="I8" s="3" t="s">
        <v>14</v>
      </c>
      <c r="J8" s="3" t="s">
        <v>15</v>
      </c>
    </row>
    <row r="9" spans="1:10" x14ac:dyDescent="0.25">
      <c r="A9" s="1" t="s">
        <v>16</v>
      </c>
      <c r="B9" s="1" t="s">
        <v>17</v>
      </c>
      <c r="C9" s="11"/>
      <c r="D9" s="11"/>
      <c r="E9" s="11">
        <v>5</v>
      </c>
      <c r="F9" s="11"/>
      <c r="G9" s="11">
        <f t="shared" ref="G9:G36" si="0">SUM(C9:F9)</f>
        <v>5</v>
      </c>
      <c r="H9" s="17">
        <f t="shared" ref="H9:H36" si="1">ROUND(G9/426,2)</f>
        <v>0.01</v>
      </c>
      <c r="I9" s="16">
        <f t="shared" ref="I9:I36" si="2">ROUND(G9/$G$37,3)</f>
        <v>0</v>
      </c>
      <c r="J9" s="16"/>
    </row>
    <row r="10" spans="1:10" x14ac:dyDescent="0.25">
      <c r="A10" s="1" t="s">
        <v>16</v>
      </c>
      <c r="B10" s="1" t="s">
        <v>19</v>
      </c>
      <c r="C10" s="11">
        <v>5840</v>
      </c>
      <c r="D10" s="11"/>
      <c r="E10" s="11">
        <v>624</v>
      </c>
      <c r="F10" s="11"/>
      <c r="G10" s="11">
        <f t="shared" si="0"/>
        <v>6464</v>
      </c>
      <c r="H10" s="17">
        <f t="shared" si="1"/>
        <v>15.17</v>
      </c>
      <c r="I10" s="16">
        <f t="shared" si="2"/>
        <v>9.2999999999999999E-2</v>
      </c>
      <c r="J10" s="16">
        <f>ROUND(G10/4971.5-1,2)</f>
        <v>0.3</v>
      </c>
    </row>
    <row r="11" spans="1:10" x14ac:dyDescent="0.25">
      <c r="A11" s="1" t="s">
        <v>16</v>
      </c>
      <c r="B11" s="1" t="s">
        <v>20</v>
      </c>
      <c r="C11" s="11">
        <v>11435</v>
      </c>
      <c r="D11" s="11"/>
      <c r="E11" s="11"/>
      <c r="F11" s="11"/>
      <c r="G11" s="11">
        <f t="shared" si="0"/>
        <v>11435</v>
      </c>
      <c r="H11" s="17">
        <f t="shared" si="1"/>
        <v>26.84</v>
      </c>
      <c r="I11" s="16">
        <f t="shared" si="2"/>
        <v>0.16400000000000001</v>
      </c>
      <c r="J11" s="16">
        <f>ROUND(G11/10890-1,2)</f>
        <v>0.05</v>
      </c>
    </row>
    <row r="12" spans="1:10" x14ac:dyDescent="0.25">
      <c r="A12" s="1" t="s">
        <v>16</v>
      </c>
      <c r="B12" s="1" t="s">
        <v>21</v>
      </c>
      <c r="C12" s="11"/>
      <c r="D12" s="11"/>
      <c r="E12" s="11">
        <v>11</v>
      </c>
      <c r="F12" s="11"/>
      <c r="G12" s="11">
        <f t="shared" si="0"/>
        <v>11</v>
      </c>
      <c r="H12" s="17">
        <f t="shared" si="1"/>
        <v>0.03</v>
      </c>
      <c r="I12" s="16">
        <f t="shared" si="2"/>
        <v>0</v>
      </c>
      <c r="J12" s="16">
        <f>ROUND(G12/34.29-1,2)</f>
        <v>-0.68</v>
      </c>
    </row>
    <row r="13" spans="1:10" x14ac:dyDescent="0.25">
      <c r="A13" s="1" t="s">
        <v>16</v>
      </c>
      <c r="B13" s="1" t="s">
        <v>22</v>
      </c>
      <c r="C13" s="11"/>
      <c r="D13" s="11"/>
      <c r="E13" s="11">
        <v>212</v>
      </c>
      <c r="F13" s="11"/>
      <c r="G13" s="11">
        <f t="shared" si="0"/>
        <v>212</v>
      </c>
      <c r="H13" s="17">
        <f t="shared" si="1"/>
        <v>0.5</v>
      </c>
      <c r="I13" s="16">
        <f t="shared" si="2"/>
        <v>3.0000000000000001E-3</v>
      </c>
      <c r="J13" s="16"/>
    </row>
    <row r="14" spans="1:10" x14ac:dyDescent="0.25">
      <c r="A14" s="1" t="s">
        <v>16</v>
      </c>
      <c r="B14" s="1" t="s">
        <v>23</v>
      </c>
      <c r="C14" s="11"/>
      <c r="D14" s="11"/>
      <c r="E14" s="11">
        <v>8149</v>
      </c>
      <c r="F14" s="11"/>
      <c r="G14" s="11">
        <f t="shared" si="0"/>
        <v>8149</v>
      </c>
      <c r="H14" s="17">
        <f t="shared" si="1"/>
        <v>19.13</v>
      </c>
      <c r="I14" s="16">
        <f t="shared" si="2"/>
        <v>0.11700000000000001</v>
      </c>
      <c r="J14" s="16">
        <f>ROUND(G14/1646.63-1,2)</f>
        <v>3.95</v>
      </c>
    </row>
    <row r="15" spans="1:10" x14ac:dyDescent="0.25">
      <c r="A15" s="1" t="s">
        <v>16</v>
      </c>
      <c r="B15" s="1" t="s">
        <v>24</v>
      </c>
      <c r="C15" s="11">
        <v>8640</v>
      </c>
      <c r="D15" s="11"/>
      <c r="E15" s="11">
        <v>2181</v>
      </c>
      <c r="F15" s="11"/>
      <c r="G15" s="11">
        <f t="shared" si="0"/>
        <v>10821</v>
      </c>
      <c r="H15" s="17">
        <f t="shared" si="1"/>
        <v>25.4</v>
      </c>
      <c r="I15" s="16">
        <f t="shared" si="2"/>
        <v>0.155</v>
      </c>
      <c r="J15" s="16">
        <f>ROUND(G15/6835.97-1,2)</f>
        <v>0.57999999999999996</v>
      </c>
    </row>
    <row r="16" spans="1:10" x14ac:dyDescent="0.25">
      <c r="A16" s="1" t="s">
        <v>16</v>
      </c>
      <c r="B16" s="1" t="s">
        <v>25</v>
      </c>
      <c r="C16" s="11"/>
      <c r="D16" s="11"/>
      <c r="E16" s="11">
        <v>282</v>
      </c>
      <c r="F16" s="11"/>
      <c r="G16" s="11">
        <f t="shared" si="0"/>
        <v>282</v>
      </c>
      <c r="H16" s="17">
        <f t="shared" si="1"/>
        <v>0.66</v>
      </c>
      <c r="I16" s="16">
        <f t="shared" si="2"/>
        <v>4.0000000000000001E-3</v>
      </c>
      <c r="J16" s="16"/>
    </row>
    <row r="17" spans="1:10" x14ac:dyDescent="0.25">
      <c r="A17" s="1" t="s">
        <v>16</v>
      </c>
      <c r="B17" s="1" t="s">
        <v>26</v>
      </c>
      <c r="C17" s="11">
        <v>4460</v>
      </c>
      <c r="D17" s="11"/>
      <c r="E17" s="11"/>
      <c r="F17" s="11"/>
      <c r="G17" s="11">
        <f t="shared" si="0"/>
        <v>4460</v>
      </c>
      <c r="H17" s="17">
        <f t="shared" si="1"/>
        <v>10.47</v>
      </c>
      <c r="I17" s="16">
        <f t="shared" si="2"/>
        <v>6.4000000000000001E-2</v>
      </c>
      <c r="J17" s="16">
        <f>ROUND(G17/5520-1,2)</f>
        <v>-0.19</v>
      </c>
    </row>
    <row r="18" spans="1:10" x14ac:dyDescent="0.25">
      <c r="A18" s="1" t="s">
        <v>16</v>
      </c>
      <c r="B18" s="1" t="s">
        <v>27</v>
      </c>
      <c r="C18" s="11"/>
      <c r="D18" s="11"/>
      <c r="E18" s="11">
        <v>110</v>
      </c>
      <c r="F18" s="11"/>
      <c r="G18" s="11">
        <f t="shared" si="0"/>
        <v>110</v>
      </c>
      <c r="H18" s="17">
        <f t="shared" si="1"/>
        <v>0.26</v>
      </c>
      <c r="I18" s="16">
        <f t="shared" si="2"/>
        <v>2E-3</v>
      </c>
      <c r="J18" s="16"/>
    </row>
    <row r="19" spans="1:10" x14ac:dyDescent="0.25">
      <c r="A19" s="1" t="s">
        <v>16</v>
      </c>
      <c r="B19" s="1" t="s">
        <v>28</v>
      </c>
      <c r="C19" s="11"/>
      <c r="D19" s="11"/>
      <c r="E19" s="11">
        <v>66</v>
      </c>
      <c r="F19" s="11"/>
      <c r="G19" s="11">
        <f t="shared" si="0"/>
        <v>66</v>
      </c>
      <c r="H19" s="17">
        <f t="shared" si="1"/>
        <v>0.15</v>
      </c>
      <c r="I19" s="16">
        <f t="shared" si="2"/>
        <v>1E-3</v>
      </c>
      <c r="J19" s="16"/>
    </row>
    <row r="20" spans="1:10" x14ac:dyDescent="0.25">
      <c r="A20" s="1" t="s">
        <v>16</v>
      </c>
      <c r="B20" s="1" t="s">
        <v>29</v>
      </c>
      <c r="C20" s="11"/>
      <c r="D20" s="11"/>
      <c r="E20" s="11">
        <v>38</v>
      </c>
      <c r="F20" s="11"/>
      <c r="G20" s="11">
        <f t="shared" si="0"/>
        <v>38</v>
      </c>
      <c r="H20" s="17">
        <f t="shared" si="1"/>
        <v>0.09</v>
      </c>
      <c r="I20" s="16">
        <f t="shared" si="2"/>
        <v>1E-3</v>
      </c>
      <c r="J20" s="16">
        <f>ROUND(G20/24.05-1,2)</f>
        <v>0.57999999999999996</v>
      </c>
    </row>
    <row r="21" spans="1:10" x14ac:dyDescent="0.25">
      <c r="A21" s="1" t="s">
        <v>16</v>
      </c>
      <c r="B21" s="1" t="s">
        <v>31</v>
      </c>
      <c r="C21" s="11"/>
      <c r="D21" s="11"/>
      <c r="E21" s="11">
        <v>134</v>
      </c>
      <c r="F21" s="11"/>
      <c r="G21" s="11">
        <f t="shared" si="0"/>
        <v>134</v>
      </c>
      <c r="H21" s="17">
        <f t="shared" si="1"/>
        <v>0.31</v>
      </c>
      <c r="I21" s="16">
        <f t="shared" si="2"/>
        <v>2E-3</v>
      </c>
      <c r="J21" s="16">
        <f>ROUND(G21/520-1,2)</f>
        <v>-0.74</v>
      </c>
    </row>
    <row r="22" spans="1:10" x14ac:dyDescent="0.25">
      <c r="A22" s="1" t="s">
        <v>16</v>
      </c>
      <c r="B22" s="1" t="s">
        <v>32</v>
      </c>
      <c r="C22" s="11"/>
      <c r="D22" s="11"/>
      <c r="E22" s="11">
        <v>35</v>
      </c>
      <c r="F22" s="11"/>
      <c r="G22" s="11">
        <f t="shared" si="0"/>
        <v>35</v>
      </c>
      <c r="H22" s="17">
        <f t="shared" si="1"/>
        <v>0.08</v>
      </c>
      <c r="I22" s="16">
        <f t="shared" si="2"/>
        <v>1E-3</v>
      </c>
      <c r="J22" s="16"/>
    </row>
    <row r="23" spans="1:10" x14ac:dyDescent="0.25">
      <c r="A23" s="1" t="s">
        <v>16</v>
      </c>
      <c r="B23" s="1" t="s">
        <v>35</v>
      </c>
      <c r="C23" s="11"/>
      <c r="D23" s="11"/>
      <c r="E23" s="11">
        <v>5989</v>
      </c>
      <c r="F23" s="11"/>
      <c r="G23" s="11">
        <f t="shared" si="0"/>
        <v>5989</v>
      </c>
      <c r="H23" s="17">
        <f t="shared" si="1"/>
        <v>14.06</v>
      </c>
      <c r="I23" s="16">
        <f t="shared" si="2"/>
        <v>8.5999999999999993E-2</v>
      </c>
      <c r="J23" s="16">
        <f>ROUND(G23/3569.06-1,2)</f>
        <v>0.68</v>
      </c>
    </row>
    <row r="24" spans="1:10" x14ac:dyDescent="0.25">
      <c r="A24" s="1" t="s">
        <v>16</v>
      </c>
      <c r="B24" s="1" t="s">
        <v>37</v>
      </c>
      <c r="C24" s="11"/>
      <c r="D24" s="11"/>
      <c r="E24" s="11">
        <v>2375</v>
      </c>
      <c r="F24" s="11"/>
      <c r="G24" s="11">
        <f t="shared" si="0"/>
        <v>2375</v>
      </c>
      <c r="H24" s="17">
        <f t="shared" si="1"/>
        <v>5.58</v>
      </c>
      <c r="I24" s="16">
        <f t="shared" si="2"/>
        <v>3.4000000000000002E-2</v>
      </c>
      <c r="J24" s="16">
        <f>ROUND(G24/1301.75-1,2)</f>
        <v>0.82</v>
      </c>
    </row>
    <row r="25" spans="1:10" x14ac:dyDescent="0.25">
      <c r="A25" s="1" t="s">
        <v>16</v>
      </c>
      <c r="B25" s="1" t="s">
        <v>38</v>
      </c>
      <c r="C25" s="11"/>
      <c r="D25" s="11"/>
      <c r="E25" s="11">
        <v>773</v>
      </c>
      <c r="F25" s="11"/>
      <c r="G25" s="11">
        <f t="shared" si="0"/>
        <v>773</v>
      </c>
      <c r="H25" s="17">
        <f t="shared" si="1"/>
        <v>1.81</v>
      </c>
      <c r="I25" s="16">
        <f t="shared" si="2"/>
        <v>1.0999999999999999E-2</v>
      </c>
      <c r="J25" s="16">
        <f>ROUND(G25/581.04-1,2)</f>
        <v>0.33</v>
      </c>
    </row>
    <row r="26" spans="1:10" x14ac:dyDescent="0.25">
      <c r="A26" s="1" t="s">
        <v>16</v>
      </c>
      <c r="B26" s="1" t="s">
        <v>40</v>
      </c>
      <c r="C26" s="11"/>
      <c r="D26" s="11"/>
      <c r="E26" s="11"/>
      <c r="F26" s="11"/>
      <c r="G26" s="11">
        <f t="shared" si="0"/>
        <v>0</v>
      </c>
      <c r="H26" s="17">
        <f t="shared" si="1"/>
        <v>0</v>
      </c>
      <c r="I26" s="16">
        <f t="shared" si="2"/>
        <v>0</v>
      </c>
      <c r="J26" s="16">
        <f>ROUND(G26/208.89-1,2)</f>
        <v>-1</v>
      </c>
    </row>
    <row r="27" spans="1:10" x14ac:dyDescent="0.25">
      <c r="A27" s="1" t="s">
        <v>16</v>
      </c>
      <c r="B27" s="1" t="s">
        <v>42</v>
      </c>
      <c r="C27" s="11"/>
      <c r="D27" s="11"/>
      <c r="E27" s="11"/>
      <c r="F27" s="11"/>
      <c r="G27" s="11">
        <f t="shared" si="0"/>
        <v>0</v>
      </c>
      <c r="H27" s="17">
        <f t="shared" si="1"/>
        <v>0</v>
      </c>
      <c r="I27" s="16">
        <f t="shared" si="2"/>
        <v>0</v>
      </c>
      <c r="J27" s="16">
        <f>ROUND(G27/162.22-1,2)</f>
        <v>-1</v>
      </c>
    </row>
    <row r="28" spans="1:10" x14ac:dyDescent="0.25">
      <c r="A28" s="1" t="s">
        <v>16</v>
      </c>
      <c r="B28" s="1" t="s">
        <v>41</v>
      </c>
      <c r="C28" s="11"/>
      <c r="D28" s="11"/>
      <c r="E28" s="11"/>
      <c r="F28" s="11"/>
      <c r="G28" s="11">
        <f t="shared" si="0"/>
        <v>0</v>
      </c>
      <c r="H28" s="17">
        <f t="shared" si="1"/>
        <v>0</v>
      </c>
      <c r="I28" s="16">
        <f t="shared" si="2"/>
        <v>0</v>
      </c>
      <c r="J28" s="16">
        <f>ROUND(G28/488.57-1,2)</f>
        <v>-1</v>
      </c>
    </row>
    <row r="29" spans="1:10" x14ac:dyDescent="0.25">
      <c r="A29" s="1" t="s">
        <v>16</v>
      </c>
      <c r="B29" s="1" t="s">
        <v>34</v>
      </c>
      <c r="C29" s="11"/>
      <c r="D29" s="11"/>
      <c r="E29" s="11"/>
      <c r="F29" s="11"/>
      <c r="G29" s="11">
        <f t="shared" si="0"/>
        <v>0</v>
      </c>
      <c r="H29" s="17">
        <f t="shared" si="1"/>
        <v>0</v>
      </c>
      <c r="I29" s="16">
        <f t="shared" si="2"/>
        <v>0</v>
      </c>
      <c r="J29" s="16">
        <f>ROUND(G29/188.33-1,2)</f>
        <v>-1</v>
      </c>
    </row>
    <row r="30" spans="1:10" x14ac:dyDescent="0.25">
      <c r="A30" s="1" t="s">
        <v>16</v>
      </c>
      <c r="B30" s="1" t="s">
        <v>39</v>
      </c>
      <c r="C30" s="11"/>
      <c r="D30" s="11"/>
      <c r="E30" s="11"/>
      <c r="F30" s="11"/>
      <c r="G30" s="11">
        <f t="shared" si="0"/>
        <v>0</v>
      </c>
      <c r="H30" s="17">
        <f t="shared" si="1"/>
        <v>0</v>
      </c>
      <c r="I30" s="16">
        <f t="shared" si="2"/>
        <v>0</v>
      </c>
      <c r="J30" s="16"/>
    </row>
    <row r="31" spans="1:10" x14ac:dyDescent="0.25">
      <c r="A31" s="1" t="s">
        <v>16</v>
      </c>
      <c r="B31" s="1" t="s">
        <v>30</v>
      </c>
      <c r="C31" s="11"/>
      <c r="D31" s="11"/>
      <c r="E31" s="11"/>
      <c r="F31" s="11"/>
      <c r="G31" s="11">
        <f t="shared" si="0"/>
        <v>0</v>
      </c>
      <c r="H31" s="17">
        <f t="shared" si="1"/>
        <v>0</v>
      </c>
      <c r="I31" s="16">
        <f t="shared" si="2"/>
        <v>0</v>
      </c>
      <c r="J31" s="16"/>
    </row>
    <row r="32" spans="1:10" x14ac:dyDescent="0.25">
      <c r="A32" s="1" t="s">
        <v>16</v>
      </c>
      <c r="B32" s="1" t="s">
        <v>36</v>
      </c>
      <c r="C32" s="11"/>
      <c r="D32" s="11"/>
      <c r="E32" s="11"/>
      <c r="F32" s="11"/>
      <c r="G32" s="11">
        <f t="shared" si="0"/>
        <v>0</v>
      </c>
      <c r="H32" s="17">
        <f t="shared" si="1"/>
        <v>0</v>
      </c>
      <c r="I32" s="16">
        <f t="shared" si="2"/>
        <v>0</v>
      </c>
      <c r="J32" s="16"/>
    </row>
    <row r="33" spans="1:10" x14ac:dyDescent="0.25">
      <c r="A33" s="1" t="s">
        <v>44</v>
      </c>
      <c r="B33" s="1" t="s">
        <v>45</v>
      </c>
      <c r="C33" s="11">
        <v>14820</v>
      </c>
      <c r="D33" s="11"/>
      <c r="E33" s="11"/>
      <c r="F33" s="11"/>
      <c r="G33" s="11">
        <f t="shared" si="0"/>
        <v>14820</v>
      </c>
      <c r="H33" s="17">
        <f t="shared" si="1"/>
        <v>34.79</v>
      </c>
      <c r="I33" s="16">
        <f t="shared" si="2"/>
        <v>0.21199999999999999</v>
      </c>
      <c r="J33" s="16">
        <f>ROUND(G33/19910-1,2)</f>
        <v>-0.26</v>
      </c>
    </row>
    <row r="34" spans="1:10" x14ac:dyDescent="0.25">
      <c r="A34" s="1" t="s">
        <v>44</v>
      </c>
      <c r="B34" s="1" t="s">
        <v>46</v>
      </c>
      <c r="C34" s="11"/>
      <c r="D34" s="11"/>
      <c r="E34" s="11">
        <v>3573</v>
      </c>
      <c r="F34" s="11"/>
      <c r="G34" s="11">
        <f t="shared" si="0"/>
        <v>3573</v>
      </c>
      <c r="H34" s="17">
        <f t="shared" si="1"/>
        <v>8.39</v>
      </c>
      <c r="I34" s="16">
        <f t="shared" si="2"/>
        <v>5.0999999999999997E-2</v>
      </c>
      <c r="J34" s="16">
        <f>ROUND(G34/2584.18-1,2)</f>
        <v>0.38</v>
      </c>
    </row>
    <row r="35" spans="1:10" x14ac:dyDescent="0.25">
      <c r="A35" s="1" t="s">
        <v>44</v>
      </c>
      <c r="B35" s="1" t="s">
        <v>47</v>
      </c>
      <c r="C35" s="11"/>
      <c r="D35" s="11"/>
      <c r="E35" s="11"/>
      <c r="F35" s="11"/>
      <c r="G35" s="11">
        <f t="shared" si="0"/>
        <v>0</v>
      </c>
      <c r="H35" s="17">
        <f t="shared" si="1"/>
        <v>0</v>
      </c>
      <c r="I35" s="16">
        <f t="shared" si="2"/>
        <v>0</v>
      </c>
      <c r="J35" s="16"/>
    </row>
    <row r="36" spans="1:10" x14ac:dyDescent="0.25">
      <c r="A36" s="1" t="s">
        <v>48</v>
      </c>
      <c r="B36" s="1" t="s">
        <v>51</v>
      </c>
      <c r="C36" s="11"/>
      <c r="D36" s="11"/>
      <c r="E36" s="11"/>
      <c r="F36" s="11"/>
      <c r="G36" s="11">
        <f t="shared" si="0"/>
        <v>0</v>
      </c>
      <c r="H36" s="17">
        <f t="shared" si="1"/>
        <v>0</v>
      </c>
      <c r="I36" s="16">
        <f t="shared" si="2"/>
        <v>0</v>
      </c>
      <c r="J36" s="16"/>
    </row>
    <row r="37" spans="1:10" x14ac:dyDescent="0.25">
      <c r="A37" s="21" t="s">
        <v>12</v>
      </c>
      <c r="B37" s="21"/>
      <c r="C37" s="12">
        <f t="shared" ref="C37:H37" si="3">SUM(C8:C36)</f>
        <v>45195</v>
      </c>
      <c r="D37" s="12">
        <f t="shared" si="3"/>
        <v>0</v>
      </c>
      <c r="E37" s="12">
        <f t="shared" si="3"/>
        <v>24557</v>
      </c>
      <c r="F37" s="12">
        <f t="shared" si="3"/>
        <v>0</v>
      </c>
      <c r="G37" s="12">
        <f t="shared" si="3"/>
        <v>69752</v>
      </c>
      <c r="H37" s="15">
        <f t="shared" si="3"/>
        <v>163.73000000000002</v>
      </c>
      <c r="I37" s="18"/>
      <c r="J37" s="18"/>
    </row>
    <row r="38" spans="1:10" x14ac:dyDescent="0.25">
      <c r="A38" s="21" t="s">
        <v>14</v>
      </c>
      <c r="B38" s="21"/>
      <c r="C38" s="13">
        <f>ROUND(C37/G37,2)</f>
        <v>0.65</v>
      </c>
      <c r="D38" s="13">
        <f>ROUND(D37/G37,2)</f>
        <v>0</v>
      </c>
      <c r="E38" s="13">
        <f>ROUND(E37/G37,2)</f>
        <v>0.35</v>
      </c>
      <c r="F38" s="13">
        <f>ROUND(F37/G37,2)</f>
        <v>0</v>
      </c>
      <c r="G38" s="14"/>
      <c r="H38" s="14"/>
      <c r="I38" s="18"/>
      <c r="J38" s="18"/>
    </row>
    <row r="39" spans="1:10" x14ac:dyDescent="0.25">
      <c r="A39" s="2" t="s">
        <v>52</v>
      </c>
      <c r="B39" s="2"/>
      <c r="C39" s="14"/>
      <c r="D39" s="14"/>
      <c r="E39" s="14"/>
      <c r="F39" s="14"/>
      <c r="G39" s="14"/>
      <c r="H39" s="14"/>
      <c r="I39" s="18"/>
      <c r="J39" s="18"/>
    </row>
    <row r="40" spans="1:10" x14ac:dyDescent="0.25">
      <c r="C40" s="9"/>
      <c r="D40" s="9"/>
      <c r="E40" s="9"/>
      <c r="F40" s="9"/>
      <c r="G40" s="9"/>
      <c r="H40" s="9"/>
      <c r="I40" s="10"/>
      <c r="J40" s="10"/>
    </row>
    <row r="41" spans="1:10" x14ac:dyDescent="0.25">
      <c r="C41" s="9"/>
      <c r="D41" s="9"/>
      <c r="E41" s="9"/>
      <c r="F41" s="9"/>
      <c r="G41" s="9"/>
      <c r="H41" s="9"/>
      <c r="I41" s="10"/>
      <c r="J41" s="10"/>
    </row>
    <row r="42" spans="1:10" x14ac:dyDescent="0.25">
      <c r="C42" s="9"/>
      <c r="D42" s="9"/>
      <c r="E42" s="9"/>
      <c r="F42" s="9"/>
      <c r="G42" s="9"/>
      <c r="H42" s="9"/>
      <c r="I42" s="10"/>
      <c r="J42" s="10"/>
    </row>
    <row r="43" spans="1:10" x14ac:dyDescent="0.25">
      <c r="A43" s="21" t="s">
        <v>53</v>
      </c>
      <c r="B43" s="21"/>
      <c r="C43" s="12" t="s">
        <v>8</v>
      </c>
      <c r="D43" s="12" t="s">
        <v>9</v>
      </c>
      <c r="E43" s="12" t="s">
        <v>10</v>
      </c>
      <c r="F43" s="12" t="s">
        <v>11</v>
      </c>
      <c r="G43" s="12" t="s">
        <v>12</v>
      </c>
      <c r="H43" s="15" t="s">
        <v>13</v>
      </c>
      <c r="I43" s="18"/>
      <c r="J43" s="18"/>
    </row>
    <row r="44" spans="1:10" x14ac:dyDescent="0.25">
      <c r="A44" s="20" t="s">
        <v>54</v>
      </c>
      <c r="B44" s="20"/>
      <c r="C44" s="11">
        <v>30375</v>
      </c>
      <c r="D44" s="11">
        <v>0</v>
      </c>
      <c r="E44" s="11">
        <v>20984</v>
      </c>
      <c r="F44" s="11">
        <v>0</v>
      </c>
      <c r="G44" s="11">
        <f>SUM(C44:F44)</f>
        <v>51359</v>
      </c>
      <c r="H44" s="17">
        <f>ROUND(G44/426,2)</f>
        <v>120.56</v>
      </c>
      <c r="I44" s="10"/>
      <c r="J44" s="10"/>
    </row>
    <row r="45" spans="1:10" x14ac:dyDescent="0.25">
      <c r="A45" s="20" t="s">
        <v>55</v>
      </c>
      <c r="B45" s="20"/>
      <c r="C45" s="11">
        <v>14820</v>
      </c>
      <c r="D45" s="11">
        <v>0</v>
      </c>
      <c r="E45" s="11">
        <v>3573</v>
      </c>
      <c r="F45" s="11">
        <v>0</v>
      </c>
      <c r="G45" s="11">
        <f>SUM(C45:F45)</f>
        <v>18393</v>
      </c>
      <c r="H45" s="17">
        <f>ROUND(G45/426,2)</f>
        <v>43.18</v>
      </c>
      <c r="I45" s="10"/>
      <c r="J45" s="10"/>
    </row>
    <row r="46" spans="1:10" x14ac:dyDescent="0.25">
      <c r="A46" s="20" t="s">
        <v>56</v>
      </c>
      <c r="B46" s="20"/>
      <c r="C46" s="11">
        <v>0</v>
      </c>
      <c r="D46" s="11">
        <v>0</v>
      </c>
      <c r="E46" s="11">
        <v>0</v>
      </c>
      <c r="F46" s="11">
        <v>0</v>
      </c>
      <c r="G46" s="11">
        <f>SUM(C46:F46)</f>
        <v>0</v>
      </c>
      <c r="H46" s="17">
        <f>ROUND(G46/426,2)</f>
        <v>0</v>
      </c>
      <c r="I46" s="10"/>
      <c r="J46" s="10"/>
    </row>
    <row r="47" spans="1:10" x14ac:dyDescent="0.25">
      <c r="C47" s="9"/>
      <c r="D47" s="9"/>
      <c r="E47" s="9"/>
      <c r="F47" s="9"/>
      <c r="G47" s="9"/>
      <c r="H47" s="9"/>
      <c r="I47" s="10"/>
      <c r="J47" s="10"/>
    </row>
    <row r="48" spans="1:10" x14ac:dyDescent="0.25">
      <c r="C48" s="9"/>
      <c r="D48" s="9"/>
      <c r="E48" s="9"/>
      <c r="F48" s="9"/>
      <c r="G48" s="9"/>
      <c r="H48" s="9"/>
      <c r="I48" s="10"/>
      <c r="J48" s="10"/>
    </row>
    <row r="49" spans="1:10" x14ac:dyDescent="0.25">
      <c r="C49" s="9"/>
      <c r="D49" s="9"/>
      <c r="E49" s="9"/>
      <c r="F49" s="9"/>
      <c r="G49" s="9"/>
      <c r="H49" s="9"/>
      <c r="I49" s="10"/>
      <c r="J49" s="10"/>
    </row>
    <row r="50" spans="1:10" x14ac:dyDescent="0.25">
      <c r="C50" s="9"/>
      <c r="D50" s="9"/>
      <c r="E50" s="9"/>
      <c r="F50" s="9"/>
      <c r="G50" s="9"/>
      <c r="H50" s="9"/>
      <c r="I50" s="10"/>
      <c r="J50" s="10"/>
    </row>
    <row r="51" spans="1:10" x14ac:dyDescent="0.25">
      <c r="A51" s="21" t="s">
        <v>57</v>
      </c>
      <c r="B51" s="21"/>
      <c r="C51" s="15" t="s">
        <v>2</v>
      </c>
      <c r="D51" s="15">
        <v>2023</v>
      </c>
      <c r="E51" s="15" t="s">
        <v>59</v>
      </c>
      <c r="F51" s="14"/>
      <c r="G51" s="15" t="s">
        <v>60</v>
      </c>
      <c r="H51" s="15" t="s">
        <v>2</v>
      </c>
      <c r="I51" s="13" t="s">
        <v>61</v>
      </c>
      <c r="J51" s="13" t="s">
        <v>59</v>
      </c>
    </row>
    <row r="52" spans="1:10" x14ac:dyDescent="0.25">
      <c r="A52" s="20" t="s">
        <v>58</v>
      </c>
      <c r="B52" s="20"/>
      <c r="C52" s="16">
        <f>ROUND(0.7586, 4)</f>
        <v>0.75860000000000005</v>
      </c>
      <c r="D52" s="16">
        <f>ROUND(0.6353, 4)</f>
        <v>0.63529999999999998</v>
      </c>
      <c r="E52" s="16">
        <f>ROUND(0.777, 4)</f>
        <v>0.77700000000000002</v>
      </c>
      <c r="F52" s="9"/>
      <c r="G52" s="15" t="s">
        <v>62</v>
      </c>
      <c r="H52" s="22" t="s">
        <v>63</v>
      </c>
      <c r="I52" s="24" t="s">
        <v>64</v>
      </c>
      <c r="J52" s="24" t="s">
        <v>65</v>
      </c>
    </row>
    <row r="53" spans="1:10" x14ac:dyDescent="0.25">
      <c r="A53" s="20" t="s">
        <v>66</v>
      </c>
      <c r="B53" s="20"/>
      <c r="C53" s="16">
        <f>ROUND(0.7195, 4)</f>
        <v>0.71950000000000003</v>
      </c>
      <c r="D53" s="16">
        <f>ROUND(0.5952, 4)</f>
        <v>0.59519999999999995</v>
      </c>
      <c r="E53" s="16">
        <f>ROUND(0.7608, 4)</f>
        <v>0.76080000000000003</v>
      </c>
      <c r="F53" s="9"/>
      <c r="G53" s="15" t="s">
        <v>67</v>
      </c>
      <c r="H53" s="23"/>
      <c r="I53" s="25"/>
      <c r="J53" s="25"/>
    </row>
    <row r="54" spans="1:10" x14ac:dyDescent="0.25">
      <c r="C54" s="9"/>
      <c r="D54" s="9"/>
      <c r="E54" s="9"/>
      <c r="F54" s="9"/>
      <c r="G54" s="9"/>
      <c r="H54" s="9"/>
      <c r="I54" s="10"/>
      <c r="J54" s="10"/>
    </row>
    <row r="55" spans="1:10" x14ac:dyDescent="0.25">
      <c r="C55" s="9"/>
      <c r="D55" s="9"/>
      <c r="E55" s="9"/>
      <c r="F55" s="9"/>
      <c r="G55" s="9"/>
      <c r="H55" s="9"/>
      <c r="I55" s="10"/>
      <c r="J55" s="10"/>
    </row>
    <row r="56" spans="1:10" x14ac:dyDescent="0.25">
      <c r="C56" s="9"/>
      <c r="D56" s="9"/>
      <c r="E56" s="9"/>
      <c r="F56" s="9"/>
      <c r="G56" s="9"/>
      <c r="H56" s="9"/>
      <c r="I56" s="10"/>
      <c r="J56" s="10"/>
    </row>
    <row r="57" spans="1:10" x14ac:dyDescent="0.25">
      <c r="A57" s="21" t="s">
        <v>68</v>
      </c>
      <c r="B57" s="21"/>
      <c r="C57" s="15" t="s">
        <v>2</v>
      </c>
      <c r="D57" s="15" t="s">
        <v>135</v>
      </c>
      <c r="E57" s="15" t="s">
        <v>70</v>
      </c>
      <c r="F57" s="15" t="s">
        <v>71</v>
      </c>
      <c r="G57" s="15" t="s">
        <v>72</v>
      </c>
      <c r="H57" s="14"/>
      <c r="I57" s="18"/>
      <c r="J57" s="18"/>
    </row>
    <row r="58" spans="1:10" x14ac:dyDescent="0.25">
      <c r="A58" s="20" t="s">
        <v>73</v>
      </c>
      <c r="B58" s="20"/>
      <c r="C58" s="17">
        <v>34.79</v>
      </c>
      <c r="D58" s="17">
        <v>106.88</v>
      </c>
      <c r="E58" s="17">
        <v>81.84</v>
      </c>
      <c r="F58" s="17">
        <v>48</v>
      </c>
      <c r="G58" s="17">
        <f>12/4*C58</f>
        <v>104.37</v>
      </c>
      <c r="H58" s="9"/>
      <c r="I58" s="10"/>
      <c r="J58" s="10"/>
    </row>
    <row r="59" spans="1:10" x14ac:dyDescent="0.25">
      <c r="A59" s="20" t="s">
        <v>74</v>
      </c>
      <c r="B59" s="20"/>
      <c r="C59" s="17">
        <v>10.47</v>
      </c>
      <c r="D59" s="17">
        <v>45.71</v>
      </c>
      <c r="E59" s="17">
        <v>55.63</v>
      </c>
      <c r="F59" s="17">
        <v>55.33</v>
      </c>
      <c r="G59" s="17">
        <f>12/4*C59</f>
        <v>31.410000000000004</v>
      </c>
      <c r="H59" s="9"/>
      <c r="I59" s="10"/>
      <c r="J59" s="10"/>
    </row>
    <row r="60" spans="1:10" x14ac:dyDescent="0.25">
      <c r="A60" s="20" t="s">
        <v>75</v>
      </c>
      <c r="B60" s="20"/>
      <c r="C60" s="17">
        <v>120.56</v>
      </c>
      <c r="D60" s="17">
        <v>277.18</v>
      </c>
      <c r="E60" s="17">
        <v>257.88</v>
      </c>
      <c r="F60" s="17">
        <v>242.78</v>
      </c>
      <c r="G60" s="17">
        <f>12/4*C60</f>
        <v>361.68</v>
      </c>
      <c r="H60" s="9"/>
      <c r="I60" s="10"/>
      <c r="J60" s="10"/>
    </row>
    <row r="61" spans="1:10" x14ac:dyDescent="0.25">
      <c r="A61" s="20" t="s">
        <v>76</v>
      </c>
      <c r="B61" s="20"/>
      <c r="C61" s="17">
        <v>43.18</v>
      </c>
      <c r="D61" s="17">
        <v>139.22999999999999</v>
      </c>
      <c r="E61" s="17">
        <v>103.14</v>
      </c>
      <c r="F61" s="17">
        <v>68.31</v>
      </c>
      <c r="G61" s="17">
        <f>12/4*C61</f>
        <v>129.54</v>
      </c>
      <c r="H61" s="9"/>
      <c r="I61" s="10"/>
      <c r="J61" s="10"/>
    </row>
    <row r="62" spans="1:10" x14ac:dyDescent="0.25">
      <c r="C62" s="9"/>
      <c r="D62" s="9"/>
      <c r="E62" s="9"/>
      <c r="F62" s="9"/>
      <c r="G62" s="9"/>
      <c r="H62" s="9"/>
      <c r="I62" s="10"/>
      <c r="J62" s="10"/>
    </row>
    <row r="63" spans="1:10" x14ac:dyDescent="0.25">
      <c r="C63" s="9"/>
      <c r="D63" s="9"/>
      <c r="E63" s="9"/>
      <c r="F63" s="9"/>
      <c r="G63" s="9"/>
      <c r="H63" s="9"/>
      <c r="I63" s="10"/>
      <c r="J63" s="10"/>
    </row>
    <row r="64" spans="1:10" x14ac:dyDescent="0.25">
      <c r="A64" s="19" t="s">
        <v>60</v>
      </c>
      <c r="B64" s="26"/>
      <c r="C64" s="9"/>
      <c r="D64" s="9"/>
      <c r="E64" s="9"/>
      <c r="F64" s="9"/>
      <c r="G64" s="9"/>
      <c r="H64" s="9"/>
      <c r="I64" s="10"/>
      <c r="J64" s="10"/>
    </row>
    <row r="65" spans="1:10" x14ac:dyDescent="0.25">
      <c r="A65" s="3" t="s">
        <v>77</v>
      </c>
      <c r="B65" s="1" t="s">
        <v>136</v>
      </c>
      <c r="C65" s="9"/>
      <c r="D65" s="9"/>
      <c r="E65" s="9"/>
      <c r="F65" s="9"/>
      <c r="G65" s="9"/>
      <c r="H65" s="9"/>
      <c r="I65" s="10"/>
      <c r="J65" s="10"/>
    </row>
    <row r="66" spans="1:10" x14ac:dyDescent="0.25">
      <c r="A66" s="3" t="s">
        <v>70</v>
      </c>
      <c r="B66" s="1" t="s">
        <v>79</v>
      </c>
      <c r="C66" s="9"/>
      <c r="D66" s="9"/>
      <c r="E66" s="9"/>
      <c r="F66" s="9"/>
      <c r="G66" s="9"/>
      <c r="H66" s="9"/>
      <c r="I66" s="10"/>
      <c r="J66" s="10"/>
    </row>
    <row r="67" spans="1:10" x14ac:dyDescent="0.25">
      <c r="A67" s="3" t="s">
        <v>71</v>
      </c>
      <c r="B67" s="1" t="s">
        <v>80</v>
      </c>
      <c r="C67" s="9"/>
      <c r="D67" s="9"/>
      <c r="E67" s="9"/>
      <c r="F67" s="9"/>
      <c r="G67" s="9"/>
      <c r="H67" s="9"/>
      <c r="I67" s="10"/>
      <c r="J67" s="10"/>
    </row>
    <row r="68" spans="1:10" x14ac:dyDescent="0.25">
      <c r="A68" s="3" t="s">
        <v>72</v>
      </c>
      <c r="B68" s="1" t="s">
        <v>81</v>
      </c>
      <c r="C68" s="9"/>
      <c r="D68" s="9"/>
      <c r="E68" s="9"/>
      <c r="F68" s="9"/>
      <c r="G68" s="9"/>
      <c r="H68" s="9"/>
      <c r="I68" s="10"/>
      <c r="J68" s="10"/>
    </row>
    <row r="69" spans="1:10" x14ac:dyDescent="0.25">
      <c r="C69" s="9"/>
      <c r="D69" s="9"/>
      <c r="E69" s="9"/>
      <c r="F69" s="9"/>
      <c r="G69" s="9"/>
      <c r="H69" s="9"/>
      <c r="I69" s="10"/>
      <c r="J69" s="10"/>
    </row>
    <row r="70" spans="1:10" x14ac:dyDescent="0.25">
      <c r="C70" s="9"/>
      <c r="D70" s="9"/>
      <c r="E70" s="9"/>
      <c r="F70" s="9"/>
      <c r="G70" s="9"/>
      <c r="H70" s="9"/>
      <c r="I70" s="10"/>
      <c r="J70" s="10"/>
    </row>
  </sheetData>
  <mergeCells count="19">
    <mergeCell ref="A59:B59"/>
    <mergeCell ref="A60:B60"/>
    <mergeCell ref="A61:B61"/>
    <mergeCell ref="A64:B64"/>
    <mergeCell ref="I52:I53"/>
    <mergeCell ref="J52:J53"/>
    <mergeCell ref="A53:B53"/>
    <mergeCell ref="A57:B57"/>
    <mergeCell ref="A58:B58"/>
    <mergeCell ref="A45:B45"/>
    <mergeCell ref="A46:B46"/>
    <mergeCell ref="A51:B51"/>
    <mergeCell ref="A52:B52"/>
    <mergeCell ref="H52:H53"/>
    <mergeCell ref="C7:G7"/>
    <mergeCell ref="A37:B37"/>
    <mergeCell ref="A38:B38"/>
    <mergeCell ref="A43:B43"/>
    <mergeCell ref="A44:B4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2:J75"/>
  <sheetViews>
    <sheetView workbookViewId="0">
      <selection activeCell="C9" sqref="C9:J75"/>
    </sheetView>
  </sheetViews>
  <sheetFormatPr defaultRowHeight="15" x14ac:dyDescent="0.25"/>
  <cols>
    <col min="1" max="1" width="38.85546875" bestFit="1" customWidth="1"/>
    <col min="2" max="2" width="79" bestFit="1" customWidth="1"/>
    <col min="3" max="3" width="14" bestFit="1" customWidth="1"/>
    <col min="4" max="4" width="34.140625" bestFit="1" customWidth="1"/>
    <col min="5" max="5" width="16.42578125" bestFit="1" customWidth="1"/>
    <col min="6" max="6" width="10.5703125" bestFit="1" customWidth="1"/>
    <col min="7" max="7" width="68.28515625" bestFit="1" customWidth="1"/>
    <col min="8" max="9" width="20" bestFit="1" customWidth="1"/>
    <col min="10" max="10" width="30.5703125" bestFit="1" customWidth="1"/>
  </cols>
  <sheetData>
    <row r="2" spans="1:10" ht="18.75" x14ac:dyDescent="0.3">
      <c r="A2" s="3" t="s">
        <v>0</v>
      </c>
      <c r="B2" s="4" t="s">
        <v>137</v>
      </c>
    </row>
    <row r="3" spans="1:10" x14ac:dyDescent="0.25">
      <c r="A3" s="3" t="s">
        <v>2</v>
      </c>
      <c r="B3" s="1" t="s">
        <v>3</v>
      </c>
    </row>
    <row r="4" spans="1:10" x14ac:dyDescent="0.25">
      <c r="A4" s="3" t="s">
        <v>4</v>
      </c>
      <c r="B4" s="1">
        <v>3143</v>
      </c>
    </row>
    <row r="7" spans="1:10" x14ac:dyDescent="0.25">
      <c r="C7" s="19" t="s">
        <v>5</v>
      </c>
      <c r="D7" s="20"/>
      <c r="E7" s="20"/>
      <c r="F7" s="20"/>
      <c r="G7" s="20"/>
    </row>
    <row r="8" spans="1:10" x14ac:dyDescent="0.25">
      <c r="A8" s="3" t="s">
        <v>6</v>
      </c>
      <c r="B8" s="3" t="s">
        <v>7</v>
      </c>
      <c r="C8" s="3" t="s">
        <v>8</v>
      </c>
      <c r="D8" s="3" t="s">
        <v>9</v>
      </c>
      <c r="E8" s="3" t="s">
        <v>10</v>
      </c>
      <c r="F8" s="3" t="s">
        <v>11</v>
      </c>
      <c r="G8" s="3" t="s">
        <v>12</v>
      </c>
      <c r="H8" s="3" t="s">
        <v>13</v>
      </c>
      <c r="I8" s="3" t="s">
        <v>14</v>
      </c>
      <c r="J8" s="3" t="s">
        <v>15</v>
      </c>
    </row>
    <row r="9" spans="1:10" x14ac:dyDescent="0.25">
      <c r="A9" s="1" t="s">
        <v>16</v>
      </c>
      <c r="B9" s="1" t="s">
        <v>17</v>
      </c>
      <c r="C9" s="11"/>
      <c r="D9" s="11"/>
      <c r="E9" s="11">
        <v>14</v>
      </c>
      <c r="F9" s="11"/>
      <c r="G9" s="11">
        <f t="shared" ref="G9:G38" si="0">SUM(C9:F9)</f>
        <v>14</v>
      </c>
      <c r="H9" s="17">
        <f t="shared" ref="H9:H38" si="1">ROUND(G9/3143,2)</f>
        <v>0</v>
      </c>
      <c r="I9" s="16">
        <f t="shared" ref="I9:I38" si="2">ROUND(G9/$G$39,3)</f>
        <v>0</v>
      </c>
      <c r="J9" s="16">
        <f>ROUND(G9/35-1,2)</f>
        <v>-0.6</v>
      </c>
    </row>
    <row r="10" spans="1:10" x14ac:dyDescent="0.25">
      <c r="A10" s="1" t="s">
        <v>16</v>
      </c>
      <c r="B10" s="1" t="s">
        <v>19</v>
      </c>
      <c r="C10" s="11">
        <v>29320</v>
      </c>
      <c r="D10" s="11"/>
      <c r="E10" s="11"/>
      <c r="F10" s="11"/>
      <c r="G10" s="11">
        <f t="shared" si="0"/>
        <v>29320</v>
      </c>
      <c r="H10" s="17">
        <f t="shared" si="1"/>
        <v>9.33</v>
      </c>
      <c r="I10" s="16">
        <f t="shared" si="2"/>
        <v>9.8000000000000004E-2</v>
      </c>
      <c r="J10" s="16">
        <f>ROUND(G10/30480-1,2)</f>
        <v>-0.04</v>
      </c>
    </row>
    <row r="11" spans="1:10" x14ac:dyDescent="0.25">
      <c r="A11" s="1" t="s">
        <v>16</v>
      </c>
      <c r="B11" s="1" t="s">
        <v>20</v>
      </c>
      <c r="C11" s="11">
        <v>35270</v>
      </c>
      <c r="D11" s="11"/>
      <c r="E11" s="11"/>
      <c r="F11" s="11"/>
      <c r="G11" s="11">
        <f t="shared" si="0"/>
        <v>35270</v>
      </c>
      <c r="H11" s="17">
        <f t="shared" si="1"/>
        <v>11.22</v>
      </c>
      <c r="I11" s="16">
        <f t="shared" si="2"/>
        <v>0.11799999999999999</v>
      </c>
      <c r="J11" s="16">
        <f>ROUND(G11/41530-1,2)</f>
        <v>-0.15</v>
      </c>
    </row>
    <row r="12" spans="1:10" x14ac:dyDescent="0.25">
      <c r="A12" s="1" t="s">
        <v>16</v>
      </c>
      <c r="B12" s="1" t="s">
        <v>94</v>
      </c>
      <c r="C12" s="11"/>
      <c r="D12" s="11"/>
      <c r="E12" s="11">
        <v>84</v>
      </c>
      <c r="F12" s="11"/>
      <c r="G12" s="11">
        <f t="shared" si="0"/>
        <v>84</v>
      </c>
      <c r="H12" s="17">
        <f t="shared" si="1"/>
        <v>0.03</v>
      </c>
      <c r="I12" s="16">
        <f t="shared" si="2"/>
        <v>0</v>
      </c>
      <c r="J12" s="16">
        <f>ROUND(G12/42-1,2)</f>
        <v>1</v>
      </c>
    </row>
    <row r="13" spans="1:10" x14ac:dyDescent="0.25">
      <c r="A13" s="1" t="s">
        <v>16</v>
      </c>
      <c r="B13" s="1" t="s">
        <v>21</v>
      </c>
      <c r="C13" s="11"/>
      <c r="D13" s="11"/>
      <c r="E13" s="11">
        <v>98</v>
      </c>
      <c r="F13" s="11"/>
      <c r="G13" s="11">
        <f t="shared" si="0"/>
        <v>98</v>
      </c>
      <c r="H13" s="17">
        <f t="shared" si="1"/>
        <v>0.03</v>
      </c>
      <c r="I13" s="16">
        <f t="shared" si="2"/>
        <v>0</v>
      </c>
      <c r="J13" s="16">
        <f>ROUND(G13/62-1,2)</f>
        <v>0.57999999999999996</v>
      </c>
    </row>
    <row r="14" spans="1:10" x14ac:dyDescent="0.25">
      <c r="A14" s="1" t="s">
        <v>16</v>
      </c>
      <c r="B14" s="1" t="s">
        <v>23</v>
      </c>
      <c r="C14" s="11"/>
      <c r="D14" s="11"/>
      <c r="E14" s="11">
        <v>11020</v>
      </c>
      <c r="F14" s="11"/>
      <c r="G14" s="11">
        <f t="shared" si="0"/>
        <v>11020</v>
      </c>
      <c r="H14" s="17">
        <f t="shared" si="1"/>
        <v>3.51</v>
      </c>
      <c r="I14" s="16">
        <f t="shared" si="2"/>
        <v>3.6999999999999998E-2</v>
      </c>
      <c r="J14" s="16"/>
    </row>
    <row r="15" spans="1:10" x14ac:dyDescent="0.25">
      <c r="A15" s="1" t="s">
        <v>16</v>
      </c>
      <c r="B15" s="1" t="s">
        <v>24</v>
      </c>
      <c r="C15" s="11">
        <v>49080</v>
      </c>
      <c r="D15" s="11"/>
      <c r="E15" s="11"/>
      <c r="F15" s="11"/>
      <c r="G15" s="11">
        <f t="shared" si="0"/>
        <v>49080</v>
      </c>
      <c r="H15" s="17">
        <f t="shared" si="1"/>
        <v>15.62</v>
      </c>
      <c r="I15" s="16">
        <f t="shared" si="2"/>
        <v>0.16500000000000001</v>
      </c>
      <c r="J15" s="16">
        <f>ROUND(G15/45700-1,2)</f>
        <v>7.0000000000000007E-2</v>
      </c>
    </row>
    <row r="16" spans="1:10" x14ac:dyDescent="0.25">
      <c r="A16" s="1" t="s">
        <v>16</v>
      </c>
      <c r="B16" s="1" t="s">
        <v>25</v>
      </c>
      <c r="C16" s="11"/>
      <c r="D16" s="11"/>
      <c r="E16" s="11">
        <v>1275</v>
      </c>
      <c r="F16" s="11"/>
      <c r="G16" s="11">
        <f t="shared" si="0"/>
        <v>1275</v>
      </c>
      <c r="H16" s="17">
        <f t="shared" si="1"/>
        <v>0.41</v>
      </c>
      <c r="I16" s="16">
        <f t="shared" si="2"/>
        <v>4.0000000000000001E-3</v>
      </c>
      <c r="J16" s="16">
        <f>ROUND(G16/2100-1,2)</f>
        <v>-0.39</v>
      </c>
    </row>
    <row r="17" spans="1:10" x14ac:dyDescent="0.25">
      <c r="A17" s="1" t="s">
        <v>16</v>
      </c>
      <c r="B17" s="1" t="s">
        <v>26</v>
      </c>
      <c r="C17" s="11">
        <v>62960</v>
      </c>
      <c r="D17" s="11"/>
      <c r="E17" s="11"/>
      <c r="F17" s="11"/>
      <c r="G17" s="11">
        <f t="shared" si="0"/>
        <v>62960</v>
      </c>
      <c r="H17" s="17">
        <f t="shared" si="1"/>
        <v>20.03</v>
      </c>
      <c r="I17" s="16">
        <f t="shared" si="2"/>
        <v>0.21099999999999999</v>
      </c>
      <c r="J17" s="16">
        <f>ROUND(G17/63200-1,2)</f>
        <v>0</v>
      </c>
    </row>
    <row r="18" spans="1:10" x14ac:dyDescent="0.25">
      <c r="A18" s="1" t="s">
        <v>16</v>
      </c>
      <c r="B18" s="1" t="s">
        <v>27</v>
      </c>
      <c r="C18" s="11"/>
      <c r="D18" s="11"/>
      <c r="E18" s="11">
        <v>31</v>
      </c>
      <c r="F18" s="11"/>
      <c r="G18" s="11">
        <f t="shared" si="0"/>
        <v>31</v>
      </c>
      <c r="H18" s="17">
        <f t="shared" si="1"/>
        <v>0.01</v>
      </c>
      <c r="I18" s="16">
        <f t="shared" si="2"/>
        <v>0</v>
      </c>
      <c r="J18" s="16">
        <f>ROUND(G18/33-1,2)</f>
        <v>-0.06</v>
      </c>
    </row>
    <row r="19" spans="1:10" x14ac:dyDescent="0.25">
      <c r="A19" s="1" t="s">
        <v>16</v>
      </c>
      <c r="B19" s="1" t="s">
        <v>28</v>
      </c>
      <c r="C19" s="11"/>
      <c r="D19" s="11"/>
      <c r="E19" s="11">
        <v>27</v>
      </c>
      <c r="F19" s="11"/>
      <c r="G19" s="11">
        <f t="shared" si="0"/>
        <v>27</v>
      </c>
      <c r="H19" s="17">
        <f t="shared" si="1"/>
        <v>0.01</v>
      </c>
      <c r="I19" s="16">
        <f t="shared" si="2"/>
        <v>0</v>
      </c>
      <c r="J19" s="16">
        <f>ROUND(G19/20-1,2)</f>
        <v>0.35</v>
      </c>
    </row>
    <row r="20" spans="1:10" x14ac:dyDescent="0.25">
      <c r="A20" s="1" t="s">
        <v>16</v>
      </c>
      <c r="B20" s="1" t="s">
        <v>29</v>
      </c>
      <c r="C20" s="11"/>
      <c r="D20" s="11"/>
      <c r="E20" s="11">
        <v>200</v>
      </c>
      <c r="F20" s="11"/>
      <c r="G20" s="11">
        <f t="shared" si="0"/>
        <v>200</v>
      </c>
      <c r="H20" s="17">
        <f t="shared" si="1"/>
        <v>0.06</v>
      </c>
      <c r="I20" s="16">
        <f t="shared" si="2"/>
        <v>1E-3</v>
      </c>
      <c r="J20" s="16">
        <f>ROUND(G20/340-1,2)</f>
        <v>-0.41</v>
      </c>
    </row>
    <row r="21" spans="1:10" x14ac:dyDescent="0.25">
      <c r="A21" s="1" t="s">
        <v>16</v>
      </c>
      <c r="B21" s="1" t="s">
        <v>30</v>
      </c>
      <c r="C21" s="11"/>
      <c r="D21" s="11"/>
      <c r="E21" s="11">
        <v>250</v>
      </c>
      <c r="F21" s="11"/>
      <c r="G21" s="11">
        <f t="shared" si="0"/>
        <v>250</v>
      </c>
      <c r="H21" s="17">
        <f t="shared" si="1"/>
        <v>0.08</v>
      </c>
      <c r="I21" s="16">
        <f t="shared" si="2"/>
        <v>1E-3</v>
      </c>
      <c r="J21" s="16"/>
    </row>
    <row r="22" spans="1:10" x14ac:dyDescent="0.25">
      <c r="A22" s="1" t="s">
        <v>16</v>
      </c>
      <c r="B22" s="1" t="s">
        <v>31</v>
      </c>
      <c r="C22" s="11"/>
      <c r="D22" s="11"/>
      <c r="E22" s="11">
        <v>340</v>
      </c>
      <c r="F22" s="11"/>
      <c r="G22" s="11">
        <f t="shared" si="0"/>
        <v>340</v>
      </c>
      <c r="H22" s="17">
        <f t="shared" si="1"/>
        <v>0.11</v>
      </c>
      <c r="I22" s="16">
        <f t="shared" si="2"/>
        <v>1E-3</v>
      </c>
      <c r="J22" s="16">
        <f>ROUND(G22/225-1,2)</f>
        <v>0.51</v>
      </c>
    </row>
    <row r="23" spans="1:10" x14ac:dyDescent="0.25">
      <c r="A23" s="1" t="s">
        <v>16</v>
      </c>
      <c r="B23" s="1" t="s">
        <v>32</v>
      </c>
      <c r="C23" s="11"/>
      <c r="D23" s="11">
        <v>170</v>
      </c>
      <c r="E23" s="11"/>
      <c r="F23" s="11"/>
      <c r="G23" s="11">
        <f t="shared" si="0"/>
        <v>170</v>
      </c>
      <c r="H23" s="17">
        <f t="shared" si="1"/>
        <v>0.05</v>
      </c>
      <c r="I23" s="16">
        <f t="shared" si="2"/>
        <v>1E-3</v>
      </c>
      <c r="J23" s="16">
        <f>ROUND(G23/115-1,2)</f>
        <v>0.48</v>
      </c>
    </row>
    <row r="24" spans="1:10" x14ac:dyDescent="0.25">
      <c r="A24" s="1" t="s">
        <v>16</v>
      </c>
      <c r="B24" s="1" t="s">
        <v>33</v>
      </c>
      <c r="C24" s="11"/>
      <c r="D24" s="11"/>
      <c r="E24" s="11">
        <v>710</v>
      </c>
      <c r="F24" s="11"/>
      <c r="G24" s="11">
        <f t="shared" si="0"/>
        <v>710</v>
      </c>
      <c r="H24" s="17">
        <f t="shared" si="1"/>
        <v>0.23</v>
      </c>
      <c r="I24" s="16">
        <f t="shared" si="2"/>
        <v>2E-3</v>
      </c>
      <c r="J24" s="16"/>
    </row>
    <row r="25" spans="1:10" x14ac:dyDescent="0.25">
      <c r="A25" s="1" t="s">
        <v>16</v>
      </c>
      <c r="B25" s="1" t="s">
        <v>35</v>
      </c>
      <c r="C25" s="11"/>
      <c r="D25" s="11"/>
      <c r="E25" s="11">
        <v>16510</v>
      </c>
      <c r="F25" s="11"/>
      <c r="G25" s="11">
        <f t="shared" si="0"/>
        <v>16510</v>
      </c>
      <c r="H25" s="17">
        <f t="shared" si="1"/>
        <v>5.25</v>
      </c>
      <c r="I25" s="16">
        <f t="shared" si="2"/>
        <v>5.5E-2</v>
      </c>
      <c r="J25" s="16">
        <f>ROUND(G25/10720-1,2)</f>
        <v>0.54</v>
      </c>
    </row>
    <row r="26" spans="1:10" x14ac:dyDescent="0.25">
      <c r="A26" s="1" t="s">
        <v>16</v>
      </c>
      <c r="B26" s="1" t="s">
        <v>36</v>
      </c>
      <c r="C26" s="11"/>
      <c r="D26" s="11"/>
      <c r="E26" s="11">
        <v>1400</v>
      </c>
      <c r="F26" s="11"/>
      <c r="G26" s="11">
        <f t="shared" si="0"/>
        <v>1400</v>
      </c>
      <c r="H26" s="17">
        <f t="shared" si="1"/>
        <v>0.45</v>
      </c>
      <c r="I26" s="16">
        <f t="shared" si="2"/>
        <v>5.0000000000000001E-3</v>
      </c>
      <c r="J26" s="16">
        <f>ROUND(G26/1215-1,2)</f>
        <v>0.15</v>
      </c>
    </row>
    <row r="27" spans="1:10" x14ac:dyDescent="0.25">
      <c r="A27" s="1" t="s">
        <v>16</v>
      </c>
      <c r="B27" s="1" t="s">
        <v>37</v>
      </c>
      <c r="C27" s="11"/>
      <c r="D27" s="11"/>
      <c r="E27" s="11">
        <v>3360</v>
      </c>
      <c r="F27" s="11"/>
      <c r="G27" s="11">
        <f t="shared" si="0"/>
        <v>3360</v>
      </c>
      <c r="H27" s="17">
        <f t="shared" si="1"/>
        <v>1.07</v>
      </c>
      <c r="I27" s="16">
        <f t="shared" si="2"/>
        <v>1.0999999999999999E-2</v>
      </c>
      <c r="J27" s="16">
        <f>ROUND(G27/2490-1,2)</f>
        <v>0.35</v>
      </c>
    </row>
    <row r="28" spans="1:10" x14ac:dyDescent="0.25">
      <c r="A28" s="1" t="s">
        <v>16</v>
      </c>
      <c r="B28" s="1" t="s">
        <v>38</v>
      </c>
      <c r="C28" s="11"/>
      <c r="D28" s="11"/>
      <c r="E28" s="11">
        <v>16300</v>
      </c>
      <c r="F28" s="11">
        <v>1060</v>
      </c>
      <c r="G28" s="11">
        <f t="shared" si="0"/>
        <v>17360</v>
      </c>
      <c r="H28" s="17">
        <f t="shared" si="1"/>
        <v>5.52</v>
      </c>
      <c r="I28" s="16">
        <f t="shared" si="2"/>
        <v>5.8000000000000003E-2</v>
      </c>
      <c r="J28" s="16">
        <f>ROUND(G28/15840-1,2)</f>
        <v>0.1</v>
      </c>
    </row>
    <row r="29" spans="1:10" x14ac:dyDescent="0.25">
      <c r="A29" s="1" t="s">
        <v>16</v>
      </c>
      <c r="B29" s="1" t="s">
        <v>39</v>
      </c>
      <c r="C29" s="11"/>
      <c r="D29" s="11"/>
      <c r="E29" s="11"/>
      <c r="F29" s="11"/>
      <c r="G29" s="11">
        <f t="shared" si="0"/>
        <v>0</v>
      </c>
      <c r="H29" s="17">
        <f t="shared" si="1"/>
        <v>0</v>
      </c>
      <c r="I29" s="16">
        <f t="shared" si="2"/>
        <v>0</v>
      </c>
      <c r="J29" s="16">
        <f>ROUND(G29/234-1,2)</f>
        <v>-1</v>
      </c>
    </row>
    <row r="30" spans="1:10" x14ac:dyDescent="0.25">
      <c r="A30" s="1" t="s">
        <v>16</v>
      </c>
      <c r="B30" s="1" t="s">
        <v>40</v>
      </c>
      <c r="C30" s="11"/>
      <c r="D30" s="11"/>
      <c r="E30" s="11"/>
      <c r="F30" s="11"/>
      <c r="G30" s="11">
        <f t="shared" si="0"/>
        <v>0</v>
      </c>
      <c r="H30" s="17">
        <f t="shared" si="1"/>
        <v>0</v>
      </c>
      <c r="I30" s="16">
        <f t="shared" si="2"/>
        <v>0</v>
      </c>
      <c r="J30" s="16">
        <f>ROUND(G30/2400-1,2)</f>
        <v>-1</v>
      </c>
    </row>
    <row r="31" spans="1:10" x14ac:dyDescent="0.25">
      <c r="A31" s="1" t="s">
        <v>16</v>
      </c>
      <c r="B31" s="1" t="s">
        <v>41</v>
      </c>
      <c r="C31" s="11"/>
      <c r="D31" s="11"/>
      <c r="E31" s="11"/>
      <c r="F31" s="11"/>
      <c r="G31" s="11">
        <f t="shared" si="0"/>
        <v>0</v>
      </c>
      <c r="H31" s="17">
        <f t="shared" si="1"/>
        <v>0</v>
      </c>
      <c r="I31" s="16">
        <f t="shared" si="2"/>
        <v>0</v>
      </c>
      <c r="J31" s="16">
        <f>ROUND(G31/1650-1,2)</f>
        <v>-1</v>
      </c>
    </row>
    <row r="32" spans="1:10" x14ac:dyDescent="0.25">
      <c r="A32" s="1" t="s">
        <v>16</v>
      </c>
      <c r="B32" s="1" t="s">
        <v>42</v>
      </c>
      <c r="C32" s="11"/>
      <c r="D32" s="11"/>
      <c r="E32" s="11"/>
      <c r="F32" s="11"/>
      <c r="G32" s="11">
        <f t="shared" si="0"/>
        <v>0</v>
      </c>
      <c r="H32" s="17">
        <f t="shared" si="1"/>
        <v>0</v>
      </c>
      <c r="I32" s="16">
        <f t="shared" si="2"/>
        <v>0</v>
      </c>
      <c r="J32" s="16">
        <f>ROUND(G32/1760-1,2)</f>
        <v>-1</v>
      </c>
    </row>
    <row r="33" spans="1:10" x14ac:dyDescent="0.25">
      <c r="A33" s="1" t="s">
        <v>16</v>
      </c>
      <c r="B33" s="1" t="s">
        <v>43</v>
      </c>
      <c r="C33" s="11"/>
      <c r="D33" s="11"/>
      <c r="E33" s="11"/>
      <c r="F33" s="11"/>
      <c r="G33" s="11">
        <f t="shared" si="0"/>
        <v>0</v>
      </c>
      <c r="H33" s="17">
        <f t="shared" si="1"/>
        <v>0</v>
      </c>
      <c r="I33" s="16">
        <f t="shared" si="2"/>
        <v>0</v>
      </c>
      <c r="J33" s="16">
        <f>ROUND(G33/2320-1,2)</f>
        <v>-1</v>
      </c>
    </row>
    <row r="34" spans="1:10" x14ac:dyDescent="0.25">
      <c r="A34" s="1" t="s">
        <v>16</v>
      </c>
      <c r="B34" s="1" t="s">
        <v>34</v>
      </c>
      <c r="C34" s="11"/>
      <c r="D34" s="11"/>
      <c r="E34" s="11"/>
      <c r="F34" s="11"/>
      <c r="G34" s="11">
        <f t="shared" si="0"/>
        <v>0</v>
      </c>
      <c r="H34" s="17">
        <f t="shared" si="1"/>
        <v>0</v>
      </c>
      <c r="I34" s="16">
        <f t="shared" si="2"/>
        <v>0</v>
      </c>
      <c r="J34" s="16"/>
    </row>
    <row r="35" spans="1:10" x14ac:dyDescent="0.25">
      <c r="A35" s="1" t="s">
        <v>44</v>
      </c>
      <c r="B35" s="1" t="s">
        <v>45</v>
      </c>
      <c r="C35" s="11">
        <v>49340</v>
      </c>
      <c r="D35" s="11"/>
      <c r="E35" s="11"/>
      <c r="F35" s="11"/>
      <c r="G35" s="11">
        <f t="shared" si="0"/>
        <v>49340</v>
      </c>
      <c r="H35" s="17">
        <f t="shared" si="1"/>
        <v>15.7</v>
      </c>
      <c r="I35" s="16">
        <f t="shared" si="2"/>
        <v>0.16600000000000001</v>
      </c>
      <c r="J35" s="16">
        <f>ROUND(G35/46035-1,2)</f>
        <v>7.0000000000000007E-2</v>
      </c>
    </row>
    <row r="36" spans="1:10" x14ac:dyDescent="0.25">
      <c r="A36" s="1" t="s">
        <v>44</v>
      </c>
      <c r="B36" s="1" t="s">
        <v>47</v>
      </c>
      <c r="C36" s="11"/>
      <c r="D36" s="11"/>
      <c r="E36" s="11"/>
      <c r="F36" s="11">
        <v>4440</v>
      </c>
      <c r="G36" s="11">
        <f t="shared" si="0"/>
        <v>4440</v>
      </c>
      <c r="H36" s="17">
        <f t="shared" si="1"/>
        <v>1.41</v>
      </c>
      <c r="I36" s="16">
        <f t="shared" si="2"/>
        <v>1.4999999999999999E-2</v>
      </c>
      <c r="J36" s="16">
        <f>ROUND(G36/6800-1,2)</f>
        <v>-0.35</v>
      </c>
    </row>
    <row r="37" spans="1:10" x14ac:dyDescent="0.25">
      <c r="A37" s="1" t="s">
        <v>44</v>
      </c>
      <c r="B37" s="1" t="s">
        <v>46</v>
      </c>
      <c r="C37" s="11"/>
      <c r="D37" s="11"/>
      <c r="E37" s="11">
        <v>14620</v>
      </c>
      <c r="F37" s="11"/>
      <c r="G37" s="11">
        <f t="shared" si="0"/>
        <v>14620</v>
      </c>
      <c r="H37" s="17">
        <f t="shared" si="1"/>
        <v>4.6500000000000004</v>
      </c>
      <c r="I37" s="16">
        <f t="shared" si="2"/>
        <v>4.9000000000000002E-2</v>
      </c>
      <c r="J37" s="16">
        <f>ROUND(G37/10250-1,2)</f>
        <v>0.43</v>
      </c>
    </row>
    <row r="38" spans="1:10" x14ac:dyDescent="0.25">
      <c r="A38" s="1" t="s">
        <v>48</v>
      </c>
      <c r="B38" s="1" t="s">
        <v>51</v>
      </c>
      <c r="C38" s="11"/>
      <c r="D38" s="11"/>
      <c r="E38" s="11"/>
      <c r="F38" s="11"/>
      <c r="G38" s="11">
        <f t="shared" si="0"/>
        <v>0</v>
      </c>
      <c r="H38" s="17">
        <f t="shared" si="1"/>
        <v>0</v>
      </c>
      <c r="I38" s="16">
        <f t="shared" si="2"/>
        <v>0</v>
      </c>
      <c r="J38" s="16">
        <f>ROUND(G38/10-1,2)</f>
        <v>-1</v>
      </c>
    </row>
    <row r="39" spans="1:10" x14ac:dyDescent="0.25">
      <c r="A39" s="21" t="s">
        <v>12</v>
      </c>
      <c r="B39" s="21"/>
      <c r="C39" s="12">
        <f t="shared" ref="C39:H39" si="3">SUM(C8:C38)</f>
        <v>225970</v>
      </c>
      <c r="D39" s="12">
        <f t="shared" si="3"/>
        <v>170</v>
      </c>
      <c r="E39" s="12">
        <f t="shared" si="3"/>
        <v>66239</v>
      </c>
      <c r="F39" s="12">
        <f t="shared" si="3"/>
        <v>5500</v>
      </c>
      <c r="G39" s="12">
        <f t="shared" si="3"/>
        <v>297879</v>
      </c>
      <c r="H39" s="15">
        <f t="shared" si="3"/>
        <v>94.779999999999987</v>
      </c>
      <c r="I39" s="18"/>
      <c r="J39" s="18"/>
    </row>
    <row r="40" spans="1:10" x14ac:dyDescent="0.25">
      <c r="A40" s="21" t="s">
        <v>14</v>
      </c>
      <c r="B40" s="21"/>
      <c r="C40" s="13">
        <f>ROUND(C39/G39,2)</f>
        <v>0.76</v>
      </c>
      <c r="D40" s="13">
        <f>ROUND(D39/G39,2)</f>
        <v>0</v>
      </c>
      <c r="E40" s="13">
        <f>ROUND(E39/G39,2)</f>
        <v>0.22</v>
      </c>
      <c r="F40" s="13">
        <f>ROUND(F39/G39,2)</f>
        <v>0.02</v>
      </c>
      <c r="G40" s="14"/>
      <c r="H40" s="14"/>
      <c r="I40" s="18"/>
      <c r="J40" s="18"/>
    </row>
    <row r="41" spans="1:10" x14ac:dyDescent="0.25">
      <c r="A41" s="2" t="s">
        <v>52</v>
      </c>
      <c r="B41" s="2"/>
      <c r="C41" s="14"/>
      <c r="D41" s="14"/>
      <c r="E41" s="14"/>
      <c r="F41" s="14"/>
      <c r="G41" s="14"/>
      <c r="H41" s="14"/>
      <c r="I41" s="18"/>
      <c r="J41" s="18"/>
    </row>
    <row r="42" spans="1:10" x14ac:dyDescent="0.25">
      <c r="C42" s="9"/>
      <c r="D42" s="9"/>
      <c r="E42" s="9"/>
      <c r="F42" s="9"/>
      <c r="G42" s="9"/>
      <c r="H42" s="9"/>
      <c r="I42" s="10"/>
      <c r="J42" s="10"/>
    </row>
    <row r="43" spans="1:10" x14ac:dyDescent="0.25">
      <c r="C43" s="9"/>
      <c r="D43" s="9"/>
      <c r="E43" s="9"/>
      <c r="F43" s="9"/>
      <c r="G43" s="9"/>
      <c r="H43" s="9"/>
      <c r="I43" s="10"/>
      <c r="J43" s="10"/>
    </row>
    <row r="44" spans="1:10" x14ac:dyDescent="0.25">
      <c r="C44" s="9"/>
      <c r="D44" s="9"/>
      <c r="E44" s="9"/>
      <c r="F44" s="9"/>
      <c r="G44" s="9"/>
      <c r="H44" s="9"/>
      <c r="I44" s="10"/>
      <c r="J44" s="10"/>
    </row>
    <row r="45" spans="1:10" x14ac:dyDescent="0.25">
      <c r="A45" s="21" t="s">
        <v>53</v>
      </c>
      <c r="B45" s="21"/>
      <c r="C45" s="12" t="s">
        <v>8</v>
      </c>
      <c r="D45" s="12" t="s">
        <v>9</v>
      </c>
      <c r="E45" s="12" t="s">
        <v>10</v>
      </c>
      <c r="F45" s="12" t="s">
        <v>11</v>
      </c>
      <c r="G45" s="12" t="s">
        <v>12</v>
      </c>
      <c r="H45" s="15" t="s">
        <v>13</v>
      </c>
      <c r="I45" s="18"/>
      <c r="J45" s="18"/>
    </row>
    <row r="46" spans="1:10" x14ac:dyDescent="0.25">
      <c r="A46" s="20" t="s">
        <v>54</v>
      </c>
      <c r="B46" s="20"/>
      <c r="C46" s="11">
        <v>176630</v>
      </c>
      <c r="D46" s="11">
        <v>170</v>
      </c>
      <c r="E46" s="11">
        <v>51619</v>
      </c>
      <c r="F46" s="11">
        <v>1060</v>
      </c>
      <c r="G46" s="11">
        <f>SUM(C46:F46)</f>
        <v>229479</v>
      </c>
      <c r="H46" s="17">
        <f>ROUND(G46/3143,2)</f>
        <v>73.010000000000005</v>
      </c>
      <c r="I46" s="10"/>
      <c r="J46" s="10"/>
    </row>
    <row r="47" spans="1:10" x14ac:dyDescent="0.25">
      <c r="A47" s="20" t="s">
        <v>55</v>
      </c>
      <c r="B47" s="20"/>
      <c r="C47" s="11">
        <v>49340</v>
      </c>
      <c r="D47" s="11">
        <v>0</v>
      </c>
      <c r="E47" s="11">
        <v>14620</v>
      </c>
      <c r="F47" s="11">
        <v>4440</v>
      </c>
      <c r="G47" s="11">
        <f>SUM(C47:F47)</f>
        <v>68400</v>
      </c>
      <c r="H47" s="17">
        <f>ROUND(G47/3143,2)</f>
        <v>21.76</v>
      </c>
      <c r="I47" s="10"/>
      <c r="J47" s="10"/>
    </row>
    <row r="48" spans="1:10" x14ac:dyDescent="0.25">
      <c r="A48" s="20" t="s">
        <v>56</v>
      </c>
      <c r="B48" s="20"/>
      <c r="C48" s="11">
        <v>0</v>
      </c>
      <c r="D48" s="11">
        <v>0</v>
      </c>
      <c r="E48" s="11">
        <v>0</v>
      </c>
      <c r="F48" s="11">
        <v>0</v>
      </c>
      <c r="G48" s="11">
        <f>SUM(C48:F48)</f>
        <v>0</v>
      </c>
      <c r="H48" s="17">
        <f>ROUND(G48/3143,2)</f>
        <v>0</v>
      </c>
      <c r="I48" s="10"/>
      <c r="J48" s="10"/>
    </row>
    <row r="49" spans="1:10" x14ac:dyDescent="0.25">
      <c r="C49" s="9"/>
      <c r="D49" s="9"/>
      <c r="E49" s="9"/>
      <c r="F49" s="9"/>
      <c r="G49" s="9"/>
      <c r="H49" s="9"/>
      <c r="I49" s="10"/>
      <c r="J49" s="10"/>
    </row>
    <row r="50" spans="1:10" x14ac:dyDescent="0.25">
      <c r="C50" s="9"/>
      <c r="D50" s="9"/>
      <c r="E50" s="9"/>
      <c r="F50" s="9"/>
      <c r="G50" s="9"/>
      <c r="H50" s="9"/>
      <c r="I50" s="10"/>
      <c r="J50" s="10"/>
    </row>
    <row r="51" spans="1:10" x14ac:dyDescent="0.25">
      <c r="C51" s="9"/>
      <c r="D51" s="9"/>
      <c r="E51" s="9"/>
      <c r="F51" s="9"/>
      <c r="G51" s="9"/>
      <c r="H51" s="9"/>
      <c r="I51" s="10"/>
      <c r="J51" s="10"/>
    </row>
    <row r="52" spans="1:10" x14ac:dyDescent="0.25">
      <c r="C52" s="9"/>
      <c r="D52" s="9"/>
      <c r="E52" s="9"/>
      <c r="F52" s="9"/>
      <c r="G52" s="9"/>
      <c r="H52" s="9"/>
      <c r="I52" s="10"/>
      <c r="J52" s="10"/>
    </row>
    <row r="53" spans="1:10" x14ac:dyDescent="0.25">
      <c r="A53" s="21" t="s">
        <v>57</v>
      </c>
      <c r="B53" s="21"/>
      <c r="C53" s="15" t="s">
        <v>2</v>
      </c>
      <c r="D53" s="15">
        <v>2023</v>
      </c>
      <c r="E53" s="15" t="s">
        <v>59</v>
      </c>
      <c r="F53" s="14"/>
      <c r="G53" s="15" t="s">
        <v>60</v>
      </c>
      <c r="H53" s="15" t="s">
        <v>2</v>
      </c>
      <c r="I53" s="13" t="s">
        <v>61</v>
      </c>
      <c r="J53" s="13" t="s">
        <v>59</v>
      </c>
    </row>
    <row r="54" spans="1:10" x14ac:dyDescent="0.25">
      <c r="A54" s="20" t="s">
        <v>58</v>
      </c>
      <c r="B54" s="20"/>
      <c r="C54" s="16">
        <f>ROUND(0.8203, 4)</f>
        <v>0.82030000000000003</v>
      </c>
      <c r="D54" s="16">
        <f>ROUND(0.8432, 4)</f>
        <v>0.84319999999999995</v>
      </c>
      <c r="E54" s="16">
        <f>ROUND(0.777, 4)</f>
        <v>0.77700000000000002</v>
      </c>
      <c r="F54" s="9"/>
      <c r="G54" s="15" t="s">
        <v>62</v>
      </c>
      <c r="H54" s="22" t="s">
        <v>63</v>
      </c>
      <c r="I54" s="24" t="s">
        <v>64</v>
      </c>
      <c r="J54" s="24" t="s">
        <v>65</v>
      </c>
    </row>
    <row r="55" spans="1:10" x14ac:dyDescent="0.25">
      <c r="A55" s="20" t="s">
        <v>66</v>
      </c>
      <c r="B55" s="20"/>
      <c r="C55" s="16">
        <f>ROUND(0.8072, 4)</f>
        <v>0.80720000000000003</v>
      </c>
      <c r="D55" s="16">
        <f>ROUND(0.8294, 4)</f>
        <v>0.82940000000000003</v>
      </c>
      <c r="E55" s="16">
        <f>ROUND(0.7608, 4)</f>
        <v>0.76080000000000003</v>
      </c>
      <c r="F55" s="9"/>
      <c r="G55" s="15" t="s">
        <v>67</v>
      </c>
      <c r="H55" s="23"/>
      <c r="I55" s="25"/>
      <c r="J55" s="25"/>
    </row>
    <row r="56" spans="1:10" x14ac:dyDescent="0.25">
      <c r="C56" s="9"/>
      <c r="D56" s="9"/>
      <c r="E56" s="9"/>
      <c r="F56" s="9"/>
      <c r="G56" s="9"/>
      <c r="H56" s="9"/>
      <c r="I56" s="10"/>
      <c r="J56" s="10"/>
    </row>
    <row r="57" spans="1:10" x14ac:dyDescent="0.25">
      <c r="C57" s="9"/>
      <c r="D57" s="9"/>
      <c r="E57" s="9"/>
      <c r="F57" s="9"/>
      <c r="G57" s="9"/>
      <c r="H57" s="9"/>
      <c r="I57" s="10"/>
      <c r="J57" s="10"/>
    </row>
    <row r="58" spans="1:10" x14ac:dyDescent="0.25">
      <c r="C58" s="9"/>
      <c r="D58" s="9"/>
      <c r="E58" s="9"/>
      <c r="F58" s="9"/>
      <c r="G58" s="9"/>
      <c r="H58" s="9"/>
      <c r="I58" s="10"/>
      <c r="J58" s="10"/>
    </row>
    <row r="59" spans="1:10" x14ac:dyDescent="0.25">
      <c r="A59" s="21" t="s">
        <v>68</v>
      </c>
      <c r="B59" s="21"/>
      <c r="C59" s="15" t="s">
        <v>2</v>
      </c>
      <c r="D59" s="15" t="s">
        <v>138</v>
      </c>
      <c r="E59" s="15" t="s">
        <v>70</v>
      </c>
      <c r="F59" s="15" t="s">
        <v>71</v>
      </c>
      <c r="G59" s="15" t="s">
        <v>72</v>
      </c>
      <c r="H59" s="14"/>
      <c r="I59" s="18"/>
      <c r="J59" s="18"/>
    </row>
    <row r="60" spans="1:10" x14ac:dyDescent="0.25">
      <c r="A60" s="20" t="s">
        <v>73</v>
      </c>
      <c r="B60" s="20"/>
      <c r="C60" s="17">
        <v>15.7</v>
      </c>
      <c r="D60" s="17">
        <v>45.09</v>
      </c>
      <c r="E60" s="17">
        <v>81.84</v>
      </c>
      <c r="F60" s="17">
        <v>48</v>
      </c>
      <c r="G60" s="17">
        <f>12/4*C60</f>
        <v>47.099999999999994</v>
      </c>
      <c r="H60" s="9"/>
      <c r="I60" s="10"/>
      <c r="J60" s="10"/>
    </row>
    <row r="61" spans="1:10" x14ac:dyDescent="0.25">
      <c r="A61" s="20" t="s">
        <v>74</v>
      </c>
      <c r="B61" s="20"/>
      <c r="C61" s="17">
        <v>20.03</v>
      </c>
      <c r="D61" s="17">
        <v>50.82</v>
      </c>
      <c r="E61" s="17">
        <v>55.63</v>
      </c>
      <c r="F61" s="17">
        <v>55.33</v>
      </c>
      <c r="G61" s="17">
        <f>12/4*C61</f>
        <v>60.09</v>
      </c>
      <c r="H61" s="9"/>
      <c r="I61" s="10"/>
      <c r="J61" s="10"/>
    </row>
    <row r="62" spans="1:10" x14ac:dyDescent="0.25">
      <c r="A62" s="20" t="s">
        <v>75</v>
      </c>
      <c r="B62" s="20"/>
      <c r="C62" s="17">
        <v>73.010000000000005</v>
      </c>
      <c r="D62" s="17">
        <v>213.28</v>
      </c>
      <c r="E62" s="17">
        <v>257.88</v>
      </c>
      <c r="F62" s="17">
        <v>242.78</v>
      </c>
      <c r="G62" s="17">
        <f>12/4*C62</f>
        <v>219.03000000000003</v>
      </c>
      <c r="H62" s="9"/>
      <c r="I62" s="10"/>
      <c r="J62" s="10"/>
    </row>
    <row r="63" spans="1:10" x14ac:dyDescent="0.25">
      <c r="A63" s="20" t="s">
        <v>76</v>
      </c>
      <c r="B63" s="20"/>
      <c r="C63" s="17">
        <v>21.76</v>
      </c>
      <c r="D63" s="17">
        <v>61.01</v>
      </c>
      <c r="E63" s="17">
        <v>103.14</v>
      </c>
      <c r="F63" s="17">
        <v>68.31</v>
      </c>
      <c r="G63" s="17">
        <f>12/4*C63</f>
        <v>65.28</v>
      </c>
      <c r="H63" s="9"/>
      <c r="I63" s="10"/>
      <c r="J63" s="10"/>
    </row>
    <row r="64" spans="1:10" x14ac:dyDescent="0.25">
      <c r="C64" s="9"/>
      <c r="D64" s="9"/>
      <c r="E64" s="9"/>
      <c r="F64" s="9"/>
      <c r="G64" s="9"/>
      <c r="H64" s="9"/>
      <c r="I64" s="10"/>
      <c r="J64" s="10"/>
    </row>
    <row r="65" spans="1:10" x14ac:dyDescent="0.25">
      <c r="C65" s="9"/>
      <c r="D65" s="9"/>
      <c r="E65" s="9"/>
      <c r="F65" s="9"/>
      <c r="G65" s="9"/>
      <c r="H65" s="9"/>
      <c r="I65" s="10"/>
      <c r="J65" s="10"/>
    </row>
    <row r="66" spans="1:10" x14ac:dyDescent="0.25">
      <c r="A66" s="19" t="s">
        <v>60</v>
      </c>
      <c r="B66" s="26"/>
      <c r="C66" s="9"/>
      <c r="D66" s="9"/>
      <c r="E66" s="9"/>
      <c r="F66" s="9"/>
      <c r="G66" s="9"/>
      <c r="H66" s="9"/>
      <c r="I66" s="10"/>
      <c r="J66" s="10"/>
    </row>
    <row r="67" spans="1:10" x14ac:dyDescent="0.25">
      <c r="A67" s="3" t="s">
        <v>77</v>
      </c>
      <c r="B67" s="1" t="s">
        <v>139</v>
      </c>
      <c r="C67" s="9"/>
      <c r="D67" s="9"/>
      <c r="E67" s="9"/>
      <c r="F67" s="9"/>
      <c r="G67" s="9"/>
      <c r="H67" s="9"/>
      <c r="I67" s="10"/>
      <c r="J67" s="10"/>
    </row>
    <row r="68" spans="1:10" x14ac:dyDescent="0.25">
      <c r="A68" s="3" t="s">
        <v>70</v>
      </c>
      <c r="B68" s="1" t="s">
        <v>79</v>
      </c>
      <c r="C68" s="9"/>
      <c r="D68" s="9"/>
      <c r="E68" s="9"/>
      <c r="F68" s="9"/>
      <c r="G68" s="9"/>
      <c r="H68" s="9"/>
      <c r="I68" s="10"/>
      <c r="J68" s="10"/>
    </row>
    <row r="69" spans="1:10" x14ac:dyDescent="0.25">
      <c r="A69" s="3" t="s">
        <v>71</v>
      </c>
      <c r="B69" s="1" t="s">
        <v>80</v>
      </c>
      <c r="C69" s="9"/>
      <c r="D69" s="9"/>
      <c r="E69" s="9"/>
      <c r="F69" s="9"/>
      <c r="G69" s="9"/>
      <c r="H69" s="9"/>
      <c r="I69" s="10"/>
      <c r="J69" s="10"/>
    </row>
    <row r="70" spans="1:10" x14ac:dyDescent="0.25">
      <c r="A70" s="3" t="s">
        <v>72</v>
      </c>
      <c r="B70" s="1" t="s">
        <v>81</v>
      </c>
      <c r="C70" s="9"/>
      <c r="D70" s="9"/>
      <c r="E70" s="9"/>
      <c r="F70" s="9"/>
      <c r="G70" s="9"/>
      <c r="H70" s="9"/>
      <c r="I70" s="10"/>
      <c r="J70" s="10"/>
    </row>
    <row r="71" spans="1:10" x14ac:dyDescent="0.25">
      <c r="C71" s="9"/>
      <c r="D71" s="9"/>
      <c r="E71" s="9"/>
      <c r="F71" s="9"/>
      <c r="G71" s="9"/>
      <c r="H71" s="9"/>
      <c r="I71" s="10"/>
      <c r="J71" s="10"/>
    </row>
    <row r="72" spans="1:10" x14ac:dyDescent="0.25">
      <c r="C72" s="9"/>
      <c r="D72" s="9"/>
      <c r="E72" s="9"/>
      <c r="F72" s="9"/>
      <c r="G72" s="9"/>
      <c r="H72" s="9"/>
      <c r="I72" s="10"/>
      <c r="J72" s="10"/>
    </row>
    <row r="73" spans="1:10" x14ac:dyDescent="0.25">
      <c r="C73" s="9"/>
      <c r="D73" s="9"/>
      <c r="E73" s="9"/>
      <c r="F73" s="9"/>
      <c r="G73" s="9"/>
      <c r="H73" s="9"/>
      <c r="I73" s="10"/>
      <c r="J73" s="10"/>
    </row>
    <row r="74" spans="1:10" x14ac:dyDescent="0.25">
      <c r="C74" s="9"/>
      <c r="D74" s="9"/>
      <c r="E74" s="9"/>
      <c r="F74" s="9"/>
      <c r="G74" s="9"/>
      <c r="H74" s="9"/>
      <c r="I74" s="10"/>
      <c r="J74" s="10"/>
    </row>
    <row r="75" spans="1:10" x14ac:dyDescent="0.25">
      <c r="C75" s="9"/>
      <c r="D75" s="9"/>
      <c r="E75" s="9"/>
      <c r="F75" s="9"/>
      <c r="G75" s="9"/>
      <c r="H75" s="9"/>
      <c r="I75" s="10"/>
      <c r="J75" s="10"/>
    </row>
  </sheetData>
  <mergeCells count="19">
    <mergeCell ref="A61:B61"/>
    <mergeCell ref="A62:B62"/>
    <mergeCell ref="A63:B63"/>
    <mergeCell ref="A66:B66"/>
    <mergeCell ref="I54:I55"/>
    <mergeCell ref="J54:J55"/>
    <mergeCell ref="A55:B55"/>
    <mergeCell ref="A59:B59"/>
    <mergeCell ref="A60:B60"/>
    <mergeCell ref="A47:B47"/>
    <mergeCell ref="A48:B48"/>
    <mergeCell ref="A53:B53"/>
    <mergeCell ref="A54:B54"/>
    <mergeCell ref="H54:H55"/>
    <mergeCell ref="C7:G7"/>
    <mergeCell ref="A39:B39"/>
    <mergeCell ref="A40:B40"/>
    <mergeCell ref="A45:B45"/>
    <mergeCell ref="A46:B46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2:J75"/>
  <sheetViews>
    <sheetView workbookViewId="0">
      <selection activeCell="C9" sqref="C9:J68"/>
    </sheetView>
  </sheetViews>
  <sheetFormatPr defaultRowHeight="15" x14ac:dyDescent="0.25"/>
  <cols>
    <col min="1" max="1" width="38.85546875" bestFit="1" customWidth="1"/>
    <col min="2" max="2" width="79" bestFit="1" customWidth="1"/>
    <col min="3" max="3" width="14" bestFit="1" customWidth="1"/>
    <col min="4" max="4" width="23.42578125" bestFit="1" customWidth="1"/>
    <col min="5" max="5" width="16.42578125" bestFit="1" customWidth="1"/>
    <col min="6" max="6" width="10.5703125" bestFit="1" customWidth="1"/>
    <col min="7" max="7" width="68.28515625" bestFit="1" customWidth="1"/>
    <col min="8" max="9" width="20" bestFit="1" customWidth="1"/>
    <col min="10" max="10" width="30.5703125" bestFit="1" customWidth="1"/>
  </cols>
  <sheetData>
    <row r="2" spans="1:10" ht="18.75" x14ac:dyDescent="0.3">
      <c r="A2" s="3" t="s">
        <v>0</v>
      </c>
      <c r="B2" s="4" t="s">
        <v>140</v>
      </c>
    </row>
    <row r="3" spans="1:10" x14ac:dyDescent="0.25">
      <c r="A3" s="3" t="s">
        <v>2</v>
      </c>
      <c r="B3" s="1" t="s">
        <v>3</v>
      </c>
    </row>
    <row r="4" spans="1:10" x14ac:dyDescent="0.25">
      <c r="A4" s="3" t="s">
        <v>4</v>
      </c>
      <c r="B4" s="1">
        <v>2014</v>
      </c>
    </row>
    <row r="7" spans="1:10" x14ac:dyDescent="0.25">
      <c r="C7" s="19" t="s">
        <v>5</v>
      </c>
      <c r="D7" s="20"/>
      <c r="E7" s="20"/>
      <c r="F7" s="20"/>
      <c r="G7" s="20"/>
    </row>
    <row r="8" spans="1:10" x14ac:dyDescent="0.25">
      <c r="A8" s="3" t="s">
        <v>6</v>
      </c>
      <c r="B8" s="3" t="s">
        <v>7</v>
      </c>
      <c r="C8" s="3" t="s">
        <v>8</v>
      </c>
      <c r="D8" s="3" t="s">
        <v>9</v>
      </c>
      <c r="E8" s="3" t="s">
        <v>10</v>
      </c>
      <c r="F8" s="3" t="s">
        <v>11</v>
      </c>
      <c r="G8" s="3" t="s">
        <v>12</v>
      </c>
      <c r="H8" s="3" t="s">
        <v>13</v>
      </c>
      <c r="I8" s="3" t="s">
        <v>14</v>
      </c>
      <c r="J8" s="3" t="s">
        <v>15</v>
      </c>
    </row>
    <row r="9" spans="1:10" x14ac:dyDescent="0.25">
      <c r="A9" s="1" t="s">
        <v>16</v>
      </c>
      <c r="B9" s="1" t="s">
        <v>17</v>
      </c>
      <c r="C9" s="11"/>
      <c r="D9" s="11"/>
      <c r="E9" s="11">
        <v>21</v>
      </c>
      <c r="F9" s="11"/>
      <c r="G9" s="11">
        <f t="shared" ref="G9:G43" si="0">SUM(C9:F9)</f>
        <v>21</v>
      </c>
      <c r="H9" s="17">
        <f t="shared" ref="H9:H43" si="1">ROUND(G9/2014,2)</f>
        <v>0.01</v>
      </c>
      <c r="I9" s="16">
        <f t="shared" ref="I9:I43" si="2">ROUND(G9/$G$44,3)</f>
        <v>0</v>
      </c>
      <c r="J9" s="16">
        <f>ROUND(G9/20-1,2)</f>
        <v>0.05</v>
      </c>
    </row>
    <row r="10" spans="1:10" x14ac:dyDescent="0.25">
      <c r="A10" s="1" t="s">
        <v>16</v>
      </c>
      <c r="B10" s="1" t="s">
        <v>19</v>
      </c>
      <c r="C10" s="11">
        <v>24660</v>
      </c>
      <c r="D10" s="11"/>
      <c r="E10" s="11"/>
      <c r="F10" s="11"/>
      <c r="G10" s="11">
        <f t="shared" si="0"/>
        <v>24660</v>
      </c>
      <c r="H10" s="17">
        <f t="shared" si="1"/>
        <v>12.24</v>
      </c>
      <c r="I10" s="16">
        <f t="shared" si="2"/>
        <v>9.0999999999999998E-2</v>
      </c>
      <c r="J10" s="16">
        <f>ROUND(G10/22020-1,2)</f>
        <v>0.12</v>
      </c>
    </row>
    <row r="11" spans="1:10" x14ac:dyDescent="0.25">
      <c r="A11" s="1" t="s">
        <v>16</v>
      </c>
      <c r="B11" s="1" t="s">
        <v>20</v>
      </c>
      <c r="C11" s="11">
        <v>22040</v>
      </c>
      <c r="D11" s="11"/>
      <c r="E11" s="11"/>
      <c r="F11" s="11"/>
      <c r="G11" s="11">
        <f t="shared" si="0"/>
        <v>22040</v>
      </c>
      <c r="H11" s="17">
        <f t="shared" si="1"/>
        <v>10.94</v>
      </c>
      <c r="I11" s="16">
        <f t="shared" si="2"/>
        <v>8.1000000000000003E-2</v>
      </c>
      <c r="J11" s="16">
        <f>ROUND(G11/23700-1,2)</f>
        <v>-7.0000000000000007E-2</v>
      </c>
    </row>
    <row r="12" spans="1:10" x14ac:dyDescent="0.25">
      <c r="A12" s="1" t="s">
        <v>16</v>
      </c>
      <c r="B12" s="1" t="s">
        <v>94</v>
      </c>
      <c r="C12" s="11"/>
      <c r="D12" s="11"/>
      <c r="E12" s="11">
        <v>23</v>
      </c>
      <c r="F12" s="11"/>
      <c r="G12" s="11">
        <f t="shared" si="0"/>
        <v>23</v>
      </c>
      <c r="H12" s="17">
        <f t="shared" si="1"/>
        <v>0.01</v>
      </c>
      <c r="I12" s="16">
        <f t="shared" si="2"/>
        <v>0</v>
      </c>
      <c r="J12" s="16"/>
    </row>
    <row r="13" spans="1:10" x14ac:dyDescent="0.25">
      <c r="A13" s="1" t="s">
        <v>16</v>
      </c>
      <c r="B13" s="1" t="s">
        <v>22</v>
      </c>
      <c r="C13" s="11"/>
      <c r="D13" s="11"/>
      <c r="E13" s="11">
        <v>1580</v>
      </c>
      <c r="F13" s="11"/>
      <c r="G13" s="11">
        <f t="shared" si="0"/>
        <v>1580</v>
      </c>
      <c r="H13" s="17">
        <f t="shared" si="1"/>
        <v>0.78</v>
      </c>
      <c r="I13" s="16">
        <f t="shared" si="2"/>
        <v>6.0000000000000001E-3</v>
      </c>
      <c r="J13" s="16">
        <f>ROUND(G13/630-1,2)</f>
        <v>1.51</v>
      </c>
    </row>
    <row r="14" spans="1:10" x14ac:dyDescent="0.25">
      <c r="A14" s="1" t="s">
        <v>16</v>
      </c>
      <c r="B14" s="1" t="s">
        <v>23</v>
      </c>
      <c r="C14" s="11"/>
      <c r="D14" s="11"/>
      <c r="E14" s="11">
        <v>16800</v>
      </c>
      <c r="F14" s="11"/>
      <c r="G14" s="11">
        <f t="shared" si="0"/>
        <v>16800</v>
      </c>
      <c r="H14" s="17">
        <f t="shared" si="1"/>
        <v>8.34</v>
      </c>
      <c r="I14" s="16">
        <f t="shared" si="2"/>
        <v>6.2E-2</v>
      </c>
      <c r="J14" s="16">
        <f>ROUND(G14/22280-1,2)</f>
        <v>-0.25</v>
      </c>
    </row>
    <row r="15" spans="1:10" x14ac:dyDescent="0.25">
      <c r="A15" s="1" t="s">
        <v>16</v>
      </c>
      <c r="B15" s="1" t="s">
        <v>24</v>
      </c>
      <c r="C15" s="11">
        <v>29040</v>
      </c>
      <c r="D15" s="11"/>
      <c r="E15" s="11">
        <v>685</v>
      </c>
      <c r="F15" s="11"/>
      <c r="G15" s="11">
        <f t="shared" si="0"/>
        <v>29725</v>
      </c>
      <c r="H15" s="17">
        <f t="shared" si="1"/>
        <v>14.76</v>
      </c>
      <c r="I15" s="16">
        <f t="shared" si="2"/>
        <v>0.11</v>
      </c>
      <c r="J15" s="16">
        <f>ROUND(G15/32640-1,2)</f>
        <v>-0.09</v>
      </c>
    </row>
    <row r="16" spans="1:10" x14ac:dyDescent="0.25">
      <c r="A16" s="1" t="s">
        <v>16</v>
      </c>
      <c r="B16" s="1" t="s">
        <v>25</v>
      </c>
      <c r="C16" s="11"/>
      <c r="D16" s="11"/>
      <c r="E16" s="11">
        <v>965</v>
      </c>
      <c r="F16" s="11"/>
      <c r="G16" s="11">
        <f t="shared" si="0"/>
        <v>965</v>
      </c>
      <c r="H16" s="17">
        <f t="shared" si="1"/>
        <v>0.48</v>
      </c>
      <c r="I16" s="16">
        <f t="shared" si="2"/>
        <v>4.0000000000000001E-3</v>
      </c>
      <c r="J16" s="16">
        <f>ROUND(G16/1510-1,2)</f>
        <v>-0.36</v>
      </c>
    </row>
    <row r="17" spans="1:10" x14ac:dyDescent="0.25">
      <c r="A17" s="1" t="s">
        <v>16</v>
      </c>
      <c r="B17" s="1" t="s">
        <v>26</v>
      </c>
      <c r="C17" s="11">
        <v>44530</v>
      </c>
      <c r="D17" s="11"/>
      <c r="E17" s="11"/>
      <c r="F17" s="11">
        <v>80</v>
      </c>
      <c r="G17" s="11">
        <f t="shared" si="0"/>
        <v>44610</v>
      </c>
      <c r="H17" s="17">
        <f t="shared" si="1"/>
        <v>22.15</v>
      </c>
      <c r="I17" s="16">
        <f t="shared" si="2"/>
        <v>0.16500000000000001</v>
      </c>
      <c r="J17" s="16">
        <f>ROUND(G17/47640-1,2)</f>
        <v>-0.06</v>
      </c>
    </row>
    <row r="18" spans="1:10" x14ac:dyDescent="0.25">
      <c r="A18" s="1" t="s">
        <v>16</v>
      </c>
      <c r="B18" s="1" t="s">
        <v>27</v>
      </c>
      <c r="C18" s="11"/>
      <c r="D18" s="11"/>
      <c r="E18" s="11">
        <v>153</v>
      </c>
      <c r="F18" s="11"/>
      <c r="G18" s="11">
        <f t="shared" si="0"/>
        <v>153</v>
      </c>
      <c r="H18" s="17">
        <f t="shared" si="1"/>
        <v>0.08</v>
      </c>
      <c r="I18" s="16">
        <f t="shared" si="2"/>
        <v>1E-3</v>
      </c>
      <c r="J18" s="16">
        <f>ROUND(G18/89-1,2)</f>
        <v>0.72</v>
      </c>
    </row>
    <row r="19" spans="1:10" x14ac:dyDescent="0.25">
      <c r="A19" s="1" t="s">
        <v>16</v>
      </c>
      <c r="B19" s="1" t="s">
        <v>28</v>
      </c>
      <c r="C19" s="11"/>
      <c r="D19" s="11"/>
      <c r="E19" s="11">
        <v>39</v>
      </c>
      <c r="F19" s="11"/>
      <c r="G19" s="11">
        <f t="shared" si="0"/>
        <v>39</v>
      </c>
      <c r="H19" s="17">
        <f t="shared" si="1"/>
        <v>0.02</v>
      </c>
      <c r="I19" s="16">
        <f t="shared" si="2"/>
        <v>0</v>
      </c>
      <c r="J19" s="16">
        <f>ROUND(G19/66-1,2)</f>
        <v>-0.41</v>
      </c>
    </row>
    <row r="20" spans="1:10" x14ac:dyDescent="0.25">
      <c r="A20" s="1" t="s">
        <v>16</v>
      </c>
      <c r="B20" s="1" t="s">
        <v>29</v>
      </c>
      <c r="C20" s="11"/>
      <c r="D20" s="11"/>
      <c r="E20" s="11">
        <v>230</v>
      </c>
      <c r="F20" s="11"/>
      <c r="G20" s="11">
        <f t="shared" si="0"/>
        <v>230</v>
      </c>
      <c r="H20" s="17">
        <f t="shared" si="1"/>
        <v>0.11</v>
      </c>
      <c r="I20" s="16">
        <f t="shared" si="2"/>
        <v>1E-3</v>
      </c>
      <c r="J20" s="16">
        <f>ROUND(G20/50-1,2)</f>
        <v>3.6</v>
      </c>
    </row>
    <row r="21" spans="1:10" x14ac:dyDescent="0.25">
      <c r="A21" s="1" t="s">
        <v>16</v>
      </c>
      <c r="B21" s="1" t="s">
        <v>30</v>
      </c>
      <c r="C21" s="11"/>
      <c r="D21" s="11"/>
      <c r="E21" s="11">
        <v>220</v>
      </c>
      <c r="F21" s="11"/>
      <c r="G21" s="11">
        <f t="shared" si="0"/>
        <v>220</v>
      </c>
      <c r="H21" s="17">
        <f t="shared" si="1"/>
        <v>0.11</v>
      </c>
      <c r="I21" s="16">
        <f t="shared" si="2"/>
        <v>1E-3</v>
      </c>
      <c r="J21" s="16"/>
    </row>
    <row r="22" spans="1:10" x14ac:dyDescent="0.25">
      <c r="A22" s="1" t="s">
        <v>16</v>
      </c>
      <c r="B22" s="1" t="s">
        <v>31</v>
      </c>
      <c r="C22" s="11"/>
      <c r="D22" s="11"/>
      <c r="E22" s="11">
        <v>495</v>
      </c>
      <c r="F22" s="11"/>
      <c r="G22" s="11">
        <f t="shared" si="0"/>
        <v>495</v>
      </c>
      <c r="H22" s="17">
        <f t="shared" si="1"/>
        <v>0.25</v>
      </c>
      <c r="I22" s="16">
        <f t="shared" si="2"/>
        <v>2E-3</v>
      </c>
      <c r="J22" s="16">
        <f>ROUND(G22/405-1,2)</f>
        <v>0.22</v>
      </c>
    </row>
    <row r="23" spans="1:10" x14ac:dyDescent="0.25">
      <c r="A23" s="1" t="s">
        <v>16</v>
      </c>
      <c r="B23" s="1" t="s">
        <v>32</v>
      </c>
      <c r="C23" s="11"/>
      <c r="D23" s="11">
        <v>31</v>
      </c>
      <c r="E23" s="11"/>
      <c r="F23" s="11"/>
      <c r="G23" s="11">
        <f t="shared" si="0"/>
        <v>31</v>
      </c>
      <c r="H23" s="17">
        <f t="shared" si="1"/>
        <v>0.02</v>
      </c>
      <c r="I23" s="16">
        <f t="shared" si="2"/>
        <v>0</v>
      </c>
      <c r="J23" s="16">
        <f>ROUND(G23/68-1,2)</f>
        <v>-0.54</v>
      </c>
    </row>
    <row r="24" spans="1:10" x14ac:dyDescent="0.25">
      <c r="A24" s="1" t="s">
        <v>16</v>
      </c>
      <c r="B24" s="1" t="s">
        <v>34</v>
      </c>
      <c r="C24" s="11"/>
      <c r="D24" s="11">
        <v>55</v>
      </c>
      <c r="E24" s="11"/>
      <c r="F24" s="11"/>
      <c r="G24" s="11">
        <f t="shared" si="0"/>
        <v>55</v>
      </c>
      <c r="H24" s="17">
        <f t="shared" si="1"/>
        <v>0.03</v>
      </c>
      <c r="I24" s="16">
        <f t="shared" si="2"/>
        <v>0</v>
      </c>
      <c r="J24" s="16">
        <f>ROUND(G24/115-1,2)</f>
        <v>-0.52</v>
      </c>
    </row>
    <row r="25" spans="1:10" x14ac:dyDescent="0.25">
      <c r="A25" s="1" t="s">
        <v>16</v>
      </c>
      <c r="B25" s="1" t="s">
        <v>35</v>
      </c>
      <c r="C25" s="11"/>
      <c r="D25" s="11"/>
      <c r="E25" s="11">
        <v>23200</v>
      </c>
      <c r="F25" s="11"/>
      <c r="G25" s="11">
        <f t="shared" si="0"/>
        <v>23200</v>
      </c>
      <c r="H25" s="17">
        <f t="shared" si="1"/>
        <v>11.52</v>
      </c>
      <c r="I25" s="16">
        <f t="shared" si="2"/>
        <v>8.5999999999999993E-2</v>
      </c>
      <c r="J25" s="16">
        <f>ROUND(G25/15300-1,2)</f>
        <v>0.52</v>
      </c>
    </row>
    <row r="26" spans="1:10" x14ac:dyDescent="0.25">
      <c r="A26" s="1" t="s">
        <v>16</v>
      </c>
      <c r="B26" s="1" t="s">
        <v>37</v>
      </c>
      <c r="C26" s="11"/>
      <c r="D26" s="11"/>
      <c r="E26" s="11">
        <v>5070</v>
      </c>
      <c r="F26" s="11"/>
      <c r="G26" s="11">
        <f t="shared" si="0"/>
        <v>5070</v>
      </c>
      <c r="H26" s="17">
        <f t="shared" si="1"/>
        <v>2.52</v>
      </c>
      <c r="I26" s="16">
        <f t="shared" si="2"/>
        <v>1.9E-2</v>
      </c>
      <c r="J26" s="16">
        <f>ROUND(G26/4090-1,2)</f>
        <v>0.24</v>
      </c>
    </row>
    <row r="27" spans="1:10" x14ac:dyDescent="0.25">
      <c r="A27" s="1" t="s">
        <v>16</v>
      </c>
      <c r="B27" s="1" t="s">
        <v>38</v>
      </c>
      <c r="C27" s="11"/>
      <c r="D27" s="11"/>
      <c r="E27" s="11">
        <v>23350</v>
      </c>
      <c r="F27" s="11"/>
      <c r="G27" s="11">
        <f t="shared" si="0"/>
        <v>23350</v>
      </c>
      <c r="H27" s="17">
        <f t="shared" si="1"/>
        <v>11.59</v>
      </c>
      <c r="I27" s="16">
        <f t="shared" si="2"/>
        <v>8.5999999999999993E-2</v>
      </c>
      <c r="J27" s="16">
        <f>ROUND(G27/13830-1,2)</f>
        <v>0.69</v>
      </c>
    </row>
    <row r="28" spans="1:10" x14ac:dyDescent="0.25">
      <c r="A28" s="1" t="s">
        <v>16</v>
      </c>
      <c r="B28" s="1" t="s">
        <v>21</v>
      </c>
      <c r="C28" s="11"/>
      <c r="D28" s="11"/>
      <c r="E28" s="11"/>
      <c r="F28" s="11"/>
      <c r="G28" s="11">
        <f t="shared" si="0"/>
        <v>0</v>
      </c>
      <c r="H28" s="17">
        <f t="shared" si="1"/>
        <v>0</v>
      </c>
      <c r="I28" s="16">
        <f t="shared" si="2"/>
        <v>0</v>
      </c>
      <c r="J28" s="16"/>
    </row>
    <row r="29" spans="1:10" x14ac:dyDescent="0.25">
      <c r="A29" s="1" t="s">
        <v>16</v>
      </c>
      <c r="B29" s="1" t="s">
        <v>39</v>
      </c>
      <c r="C29" s="11"/>
      <c r="D29" s="11"/>
      <c r="E29" s="11"/>
      <c r="F29" s="11"/>
      <c r="G29" s="11">
        <f t="shared" si="0"/>
        <v>0</v>
      </c>
      <c r="H29" s="17">
        <f t="shared" si="1"/>
        <v>0</v>
      </c>
      <c r="I29" s="16">
        <f t="shared" si="2"/>
        <v>0</v>
      </c>
      <c r="J29" s="16">
        <f>ROUND(G29/104-1,2)</f>
        <v>-1</v>
      </c>
    </row>
    <row r="30" spans="1:10" x14ac:dyDescent="0.25">
      <c r="A30" s="1" t="s">
        <v>16</v>
      </c>
      <c r="B30" s="1" t="s">
        <v>40</v>
      </c>
      <c r="C30" s="11"/>
      <c r="D30" s="11"/>
      <c r="E30" s="11"/>
      <c r="F30" s="11"/>
      <c r="G30" s="11">
        <f t="shared" si="0"/>
        <v>0</v>
      </c>
      <c r="H30" s="17">
        <f t="shared" si="1"/>
        <v>0</v>
      </c>
      <c r="I30" s="16">
        <f t="shared" si="2"/>
        <v>0</v>
      </c>
      <c r="J30" s="16">
        <f>ROUND(G30/1670-1,2)</f>
        <v>-1</v>
      </c>
    </row>
    <row r="31" spans="1:10" x14ac:dyDescent="0.25">
      <c r="A31" s="1" t="s">
        <v>16</v>
      </c>
      <c r="B31" s="1" t="s">
        <v>33</v>
      </c>
      <c r="C31" s="11"/>
      <c r="D31" s="11"/>
      <c r="E31" s="11"/>
      <c r="F31" s="11"/>
      <c r="G31" s="11">
        <f t="shared" si="0"/>
        <v>0</v>
      </c>
      <c r="H31" s="17">
        <f t="shared" si="1"/>
        <v>0</v>
      </c>
      <c r="I31" s="16">
        <f t="shared" si="2"/>
        <v>0</v>
      </c>
      <c r="J31" s="16">
        <f>ROUND(G31/360-1,2)</f>
        <v>-1</v>
      </c>
    </row>
    <row r="32" spans="1:10" x14ac:dyDescent="0.25">
      <c r="A32" s="1" t="s">
        <v>16</v>
      </c>
      <c r="B32" s="1" t="s">
        <v>41</v>
      </c>
      <c r="C32" s="11"/>
      <c r="D32" s="11"/>
      <c r="E32" s="11"/>
      <c r="F32" s="11"/>
      <c r="G32" s="11">
        <f t="shared" si="0"/>
        <v>0</v>
      </c>
      <c r="H32" s="17">
        <f t="shared" si="1"/>
        <v>0</v>
      </c>
      <c r="I32" s="16">
        <f t="shared" si="2"/>
        <v>0</v>
      </c>
      <c r="J32" s="16">
        <f>ROUND(G32/530-1,2)</f>
        <v>-1</v>
      </c>
    </row>
    <row r="33" spans="1:10" x14ac:dyDescent="0.25">
      <c r="A33" s="1" t="s">
        <v>16</v>
      </c>
      <c r="B33" s="1" t="s">
        <v>43</v>
      </c>
      <c r="C33" s="11"/>
      <c r="D33" s="11"/>
      <c r="E33" s="11"/>
      <c r="F33" s="11"/>
      <c r="G33" s="11">
        <f t="shared" si="0"/>
        <v>0</v>
      </c>
      <c r="H33" s="17">
        <f t="shared" si="1"/>
        <v>0</v>
      </c>
      <c r="I33" s="16">
        <f t="shared" si="2"/>
        <v>0</v>
      </c>
      <c r="J33" s="16">
        <f>ROUND(G33/2690-1,2)</f>
        <v>-1</v>
      </c>
    </row>
    <row r="34" spans="1:10" x14ac:dyDescent="0.25">
      <c r="A34" s="1" t="s">
        <v>16</v>
      </c>
      <c r="B34" s="1" t="s">
        <v>42</v>
      </c>
      <c r="C34" s="11"/>
      <c r="D34" s="11"/>
      <c r="E34" s="11"/>
      <c r="F34" s="11"/>
      <c r="G34" s="11">
        <f t="shared" si="0"/>
        <v>0</v>
      </c>
      <c r="H34" s="17">
        <f t="shared" si="1"/>
        <v>0</v>
      </c>
      <c r="I34" s="16">
        <f t="shared" si="2"/>
        <v>0</v>
      </c>
      <c r="J34" s="16">
        <f>ROUND(G34/1170-1,2)</f>
        <v>-1</v>
      </c>
    </row>
    <row r="35" spans="1:10" x14ac:dyDescent="0.25">
      <c r="A35" s="1" t="s">
        <v>16</v>
      </c>
      <c r="B35" s="1" t="s">
        <v>141</v>
      </c>
      <c r="C35" s="11"/>
      <c r="D35" s="11"/>
      <c r="E35" s="11"/>
      <c r="F35" s="11"/>
      <c r="G35" s="11">
        <f t="shared" si="0"/>
        <v>0</v>
      </c>
      <c r="H35" s="17">
        <f t="shared" si="1"/>
        <v>0</v>
      </c>
      <c r="I35" s="16">
        <f t="shared" si="2"/>
        <v>0</v>
      </c>
      <c r="J35" s="16"/>
    </row>
    <row r="36" spans="1:10" x14ac:dyDescent="0.25">
      <c r="A36" s="1" t="s">
        <v>16</v>
      </c>
      <c r="B36" s="1" t="s">
        <v>142</v>
      </c>
      <c r="C36" s="11"/>
      <c r="D36" s="11"/>
      <c r="E36" s="11"/>
      <c r="F36" s="11"/>
      <c r="G36" s="11">
        <f t="shared" si="0"/>
        <v>0</v>
      </c>
      <c r="H36" s="17">
        <f t="shared" si="1"/>
        <v>0</v>
      </c>
      <c r="I36" s="16">
        <f t="shared" si="2"/>
        <v>0</v>
      </c>
      <c r="J36" s="16"/>
    </row>
    <row r="37" spans="1:10" x14ac:dyDescent="0.25">
      <c r="A37" s="1" t="s">
        <v>16</v>
      </c>
      <c r="B37" s="1" t="s">
        <v>118</v>
      </c>
      <c r="C37" s="11"/>
      <c r="D37" s="11"/>
      <c r="E37" s="11"/>
      <c r="F37" s="11"/>
      <c r="G37" s="11">
        <f t="shared" si="0"/>
        <v>0</v>
      </c>
      <c r="H37" s="17">
        <f t="shared" si="1"/>
        <v>0</v>
      </c>
      <c r="I37" s="16">
        <f t="shared" si="2"/>
        <v>0</v>
      </c>
      <c r="J37" s="16"/>
    </row>
    <row r="38" spans="1:10" x14ac:dyDescent="0.25">
      <c r="A38" s="1" t="s">
        <v>16</v>
      </c>
      <c r="B38" s="1" t="s">
        <v>143</v>
      </c>
      <c r="C38" s="11"/>
      <c r="D38" s="11"/>
      <c r="E38" s="11"/>
      <c r="F38" s="11"/>
      <c r="G38" s="11">
        <f t="shared" si="0"/>
        <v>0</v>
      </c>
      <c r="H38" s="17">
        <f t="shared" si="1"/>
        <v>0</v>
      </c>
      <c r="I38" s="16">
        <f t="shared" si="2"/>
        <v>0</v>
      </c>
      <c r="J38" s="16"/>
    </row>
    <row r="39" spans="1:10" x14ac:dyDescent="0.25">
      <c r="A39" s="1" t="s">
        <v>44</v>
      </c>
      <c r="B39" s="1" t="s">
        <v>45</v>
      </c>
      <c r="C39" s="11">
        <v>53300</v>
      </c>
      <c r="D39" s="11"/>
      <c r="E39" s="11"/>
      <c r="F39" s="11"/>
      <c r="G39" s="11">
        <f t="shared" si="0"/>
        <v>53300</v>
      </c>
      <c r="H39" s="17">
        <f t="shared" si="1"/>
        <v>26.46</v>
      </c>
      <c r="I39" s="16">
        <f t="shared" si="2"/>
        <v>0.19700000000000001</v>
      </c>
      <c r="J39" s="16">
        <f>ROUND(G39/48820-1,2)</f>
        <v>0.09</v>
      </c>
    </row>
    <row r="40" spans="1:10" x14ac:dyDescent="0.25">
      <c r="A40" s="1" t="s">
        <v>44</v>
      </c>
      <c r="B40" s="1" t="s">
        <v>46</v>
      </c>
      <c r="C40" s="11"/>
      <c r="D40" s="11"/>
      <c r="E40" s="11">
        <v>24530</v>
      </c>
      <c r="F40" s="11"/>
      <c r="G40" s="11">
        <f t="shared" si="0"/>
        <v>24530</v>
      </c>
      <c r="H40" s="17">
        <f t="shared" si="1"/>
        <v>12.18</v>
      </c>
      <c r="I40" s="16">
        <f t="shared" si="2"/>
        <v>0.09</v>
      </c>
      <c r="J40" s="16">
        <f>ROUND(G40/20940-1,2)</f>
        <v>0.17</v>
      </c>
    </row>
    <row r="41" spans="1:10" x14ac:dyDescent="0.25">
      <c r="A41" s="1" t="s">
        <v>44</v>
      </c>
      <c r="B41" s="1" t="s">
        <v>47</v>
      </c>
      <c r="C41" s="11"/>
      <c r="D41" s="11"/>
      <c r="E41" s="11"/>
      <c r="F41" s="11"/>
      <c r="G41" s="11">
        <f t="shared" si="0"/>
        <v>0</v>
      </c>
      <c r="H41" s="17">
        <f t="shared" si="1"/>
        <v>0</v>
      </c>
      <c r="I41" s="16">
        <f t="shared" si="2"/>
        <v>0</v>
      </c>
      <c r="J41" s="16"/>
    </row>
    <row r="42" spans="1:10" x14ac:dyDescent="0.25">
      <c r="A42" s="1" t="s">
        <v>48</v>
      </c>
      <c r="B42" s="1" t="s">
        <v>51</v>
      </c>
      <c r="C42" s="11"/>
      <c r="D42" s="11"/>
      <c r="E42" s="11"/>
      <c r="F42" s="11"/>
      <c r="G42" s="11">
        <f t="shared" si="0"/>
        <v>0</v>
      </c>
      <c r="H42" s="17">
        <f t="shared" si="1"/>
        <v>0</v>
      </c>
      <c r="I42" s="16">
        <f t="shared" si="2"/>
        <v>0</v>
      </c>
      <c r="J42" s="16"/>
    </row>
    <row r="43" spans="1:10" x14ac:dyDescent="0.25">
      <c r="A43" s="1" t="s">
        <v>48</v>
      </c>
      <c r="B43" s="1" t="s">
        <v>50</v>
      </c>
      <c r="C43" s="11"/>
      <c r="D43" s="11"/>
      <c r="E43" s="11"/>
      <c r="F43" s="11"/>
      <c r="G43" s="11">
        <f t="shared" si="0"/>
        <v>0</v>
      </c>
      <c r="H43" s="17">
        <f t="shared" si="1"/>
        <v>0</v>
      </c>
      <c r="I43" s="16">
        <f t="shared" si="2"/>
        <v>0</v>
      </c>
      <c r="J43" s="16"/>
    </row>
    <row r="44" spans="1:10" x14ac:dyDescent="0.25">
      <c r="A44" s="21" t="s">
        <v>12</v>
      </c>
      <c r="B44" s="21"/>
      <c r="C44" s="12">
        <f t="shared" ref="C44:H44" si="3">SUM(C8:C43)</f>
        <v>173570</v>
      </c>
      <c r="D44" s="12">
        <f t="shared" si="3"/>
        <v>86</v>
      </c>
      <c r="E44" s="12">
        <f t="shared" si="3"/>
        <v>97361</v>
      </c>
      <c r="F44" s="12">
        <f t="shared" si="3"/>
        <v>80</v>
      </c>
      <c r="G44" s="12">
        <f t="shared" si="3"/>
        <v>271097</v>
      </c>
      <c r="H44" s="15">
        <f t="shared" si="3"/>
        <v>134.6</v>
      </c>
      <c r="I44" s="18"/>
      <c r="J44" s="18"/>
    </row>
    <row r="45" spans="1:10" x14ac:dyDescent="0.25">
      <c r="A45" s="21" t="s">
        <v>14</v>
      </c>
      <c r="B45" s="21"/>
      <c r="C45" s="13">
        <f>ROUND(C44/G44,2)</f>
        <v>0.64</v>
      </c>
      <c r="D45" s="13">
        <f>ROUND(D44/G44,2)</f>
        <v>0</v>
      </c>
      <c r="E45" s="13">
        <f>ROUND(E44/G44,2)</f>
        <v>0.36</v>
      </c>
      <c r="F45" s="13">
        <f>ROUND(F44/G44,2)</f>
        <v>0</v>
      </c>
      <c r="G45" s="14"/>
      <c r="H45" s="14"/>
      <c r="I45" s="18"/>
      <c r="J45" s="18"/>
    </row>
    <row r="46" spans="1:10" x14ac:dyDescent="0.25">
      <c r="A46" s="2" t="s">
        <v>52</v>
      </c>
      <c r="B46" s="2"/>
      <c r="C46" s="14"/>
      <c r="D46" s="14"/>
      <c r="E46" s="14"/>
      <c r="F46" s="14"/>
      <c r="G46" s="14"/>
      <c r="H46" s="14"/>
      <c r="I46" s="18"/>
      <c r="J46" s="18"/>
    </row>
    <row r="47" spans="1:10" x14ac:dyDescent="0.25">
      <c r="C47" s="9"/>
      <c r="D47" s="9"/>
      <c r="E47" s="9"/>
      <c r="F47" s="9"/>
      <c r="G47" s="9"/>
      <c r="H47" s="9"/>
      <c r="I47" s="10"/>
      <c r="J47" s="10"/>
    </row>
    <row r="48" spans="1:10" x14ac:dyDescent="0.25">
      <c r="C48" s="9"/>
      <c r="D48" s="9"/>
      <c r="E48" s="9"/>
      <c r="F48" s="9"/>
      <c r="G48" s="9"/>
      <c r="H48" s="9"/>
      <c r="I48" s="10"/>
      <c r="J48" s="10"/>
    </row>
    <row r="49" spans="1:10" x14ac:dyDescent="0.25">
      <c r="C49" s="9"/>
      <c r="D49" s="9"/>
      <c r="E49" s="9"/>
      <c r="F49" s="9"/>
      <c r="G49" s="9"/>
      <c r="H49" s="9"/>
      <c r="I49" s="10"/>
      <c r="J49" s="10"/>
    </row>
    <row r="50" spans="1:10" x14ac:dyDescent="0.25">
      <c r="A50" s="21" t="s">
        <v>53</v>
      </c>
      <c r="B50" s="21"/>
      <c r="C50" s="12" t="s">
        <v>8</v>
      </c>
      <c r="D50" s="12" t="s">
        <v>9</v>
      </c>
      <c r="E50" s="12" t="s">
        <v>10</v>
      </c>
      <c r="F50" s="12" t="s">
        <v>11</v>
      </c>
      <c r="G50" s="12" t="s">
        <v>12</v>
      </c>
      <c r="H50" s="15" t="s">
        <v>13</v>
      </c>
      <c r="I50" s="18"/>
      <c r="J50" s="18"/>
    </row>
    <row r="51" spans="1:10" x14ac:dyDescent="0.25">
      <c r="A51" s="20" t="s">
        <v>54</v>
      </c>
      <c r="B51" s="20"/>
      <c r="C51" s="11">
        <v>120270</v>
      </c>
      <c r="D51" s="11">
        <v>86</v>
      </c>
      <c r="E51" s="11">
        <v>72831</v>
      </c>
      <c r="F51" s="11">
        <v>80</v>
      </c>
      <c r="G51" s="11">
        <f>SUM(C51:F51)</f>
        <v>193267</v>
      </c>
      <c r="H51" s="17">
        <f>ROUND(G51/2014,2)</f>
        <v>95.96</v>
      </c>
      <c r="I51" s="10"/>
      <c r="J51" s="10"/>
    </row>
    <row r="52" spans="1:10" x14ac:dyDescent="0.25">
      <c r="A52" s="20" t="s">
        <v>55</v>
      </c>
      <c r="B52" s="20"/>
      <c r="C52" s="11">
        <v>53300</v>
      </c>
      <c r="D52" s="11">
        <v>0</v>
      </c>
      <c r="E52" s="11">
        <v>24530</v>
      </c>
      <c r="F52" s="11">
        <v>0</v>
      </c>
      <c r="G52" s="11">
        <f>SUM(C52:F52)</f>
        <v>77830</v>
      </c>
      <c r="H52" s="17">
        <f>ROUND(G52/2014,2)</f>
        <v>38.64</v>
      </c>
      <c r="I52" s="10"/>
      <c r="J52" s="10"/>
    </row>
    <row r="53" spans="1:10" x14ac:dyDescent="0.25">
      <c r="A53" s="20" t="s">
        <v>56</v>
      </c>
      <c r="B53" s="20"/>
      <c r="C53" s="11">
        <v>0</v>
      </c>
      <c r="D53" s="11">
        <v>0</v>
      </c>
      <c r="E53" s="11">
        <v>0</v>
      </c>
      <c r="F53" s="11">
        <v>0</v>
      </c>
      <c r="G53" s="11">
        <f>SUM(C53:F53)</f>
        <v>0</v>
      </c>
      <c r="H53" s="17">
        <f>ROUND(G53/2014,2)</f>
        <v>0</v>
      </c>
      <c r="I53" s="10"/>
      <c r="J53" s="10"/>
    </row>
    <row r="54" spans="1:10" x14ac:dyDescent="0.25">
      <c r="C54" s="9"/>
      <c r="D54" s="9"/>
      <c r="E54" s="9"/>
      <c r="F54" s="9"/>
      <c r="G54" s="9"/>
      <c r="H54" s="9"/>
      <c r="I54" s="10"/>
      <c r="J54" s="10"/>
    </row>
    <row r="55" spans="1:10" x14ac:dyDescent="0.25">
      <c r="C55" s="9"/>
      <c r="D55" s="9"/>
      <c r="E55" s="9"/>
      <c r="F55" s="9"/>
      <c r="G55" s="9"/>
      <c r="H55" s="9"/>
      <c r="I55" s="10"/>
      <c r="J55" s="10"/>
    </row>
    <row r="56" spans="1:10" x14ac:dyDescent="0.25">
      <c r="C56" s="9"/>
      <c r="D56" s="9"/>
      <c r="E56" s="9"/>
      <c r="F56" s="9"/>
      <c r="G56" s="9"/>
      <c r="H56" s="9"/>
      <c r="I56" s="10"/>
      <c r="J56" s="10"/>
    </row>
    <row r="57" spans="1:10" x14ac:dyDescent="0.25">
      <c r="C57" s="9"/>
      <c r="D57" s="9"/>
      <c r="E57" s="9"/>
      <c r="F57" s="9"/>
      <c r="G57" s="9"/>
      <c r="H57" s="9"/>
      <c r="I57" s="10"/>
      <c r="J57" s="10"/>
    </row>
    <row r="58" spans="1:10" x14ac:dyDescent="0.25">
      <c r="A58" s="21" t="s">
        <v>57</v>
      </c>
      <c r="B58" s="21"/>
      <c r="C58" s="15" t="s">
        <v>2</v>
      </c>
      <c r="D58" s="15">
        <v>2023</v>
      </c>
      <c r="E58" s="15" t="s">
        <v>59</v>
      </c>
      <c r="F58" s="14"/>
      <c r="G58" s="15" t="s">
        <v>60</v>
      </c>
      <c r="H58" s="15" t="s">
        <v>2</v>
      </c>
      <c r="I58" s="13" t="s">
        <v>61</v>
      </c>
      <c r="J58" s="13" t="s">
        <v>59</v>
      </c>
    </row>
    <row r="59" spans="1:10" x14ac:dyDescent="0.25">
      <c r="A59" s="20" t="s">
        <v>58</v>
      </c>
      <c r="B59" s="20"/>
      <c r="C59" s="16">
        <f>ROUND(0.7891, 4)</f>
        <v>0.78910000000000002</v>
      </c>
      <c r="D59" s="16">
        <f>ROUND(0.7972, 4)</f>
        <v>0.79720000000000002</v>
      </c>
      <c r="E59" s="16">
        <f>ROUND(0.777, 4)</f>
        <v>0.77700000000000002</v>
      </c>
      <c r="F59" s="9"/>
      <c r="G59" s="15" t="s">
        <v>62</v>
      </c>
      <c r="H59" s="22" t="s">
        <v>63</v>
      </c>
      <c r="I59" s="24" t="s">
        <v>64</v>
      </c>
      <c r="J59" s="24" t="s">
        <v>65</v>
      </c>
    </row>
    <row r="60" spans="1:10" x14ac:dyDescent="0.25">
      <c r="A60" s="20" t="s">
        <v>66</v>
      </c>
      <c r="B60" s="20"/>
      <c r="C60" s="16">
        <f>ROUND(0.7766, 4)</f>
        <v>0.77659999999999996</v>
      </c>
      <c r="D60" s="16">
        <f>ROUND(0.7863, 4)</f>
        <v>0.7863</v>
      </c>
      <c r="E60" s="16">
        <f>ROUND(0.7608, 4)</f>
        <v>0.76080000000000003</v>
      </c>
      <c r="F60" s="9"/>
      <c r="G60" s="15" t="s">
        <v>67</v>
      </c>
      <c r="H60" s="23"/>
      <c r="I60" s="25"/>
      <c r="J60" s="25"/>
    </row>
    <row r="61" spans="1:10" x14ac:dyDescent="0.25">
      <c r="C61" s="9"/>
      <c r="D61" s="9"/>
      <c r="E61" s="9"/>
      <c r="F61" s="9"/>
      <c r="G61" s="9"/>
      <c r="H61" s="9"/>
      <c r="I61" s="10"/>
      <c r="J61" s="10"/>
    </row>
    <row r="62" spans="1:10" x14ac:dyDescent="0.25">
      <c r="C62" s="9"/>
      <c r="D62" s="9"/>
      <c r="E62" s="9"/>
      <c r="F62" s="9"/>
      <c r="G62" s="9"/>
      <c r="H62" s="9"/>
      <c r="I62" s="10"/>
      <c r="J62" s="10"/>
    </row>
    <row r="63" spans="1:10" x14ac:dyDescent="0.25">
      <c r="C63" s="9"/>
      <c r="D63" s="9"/>
      <c r="E63" s="9"/>
      <c r="F63" s="9"/>
      <c r="G63" s="9"/>
      <c r="H63" s="9"/>
      <c r="I63" s="10"/>
      <c r="J63" s="10"/>
    </row>
    <row r="64" spans="1:10" x14ac:dyDescent="0.25">
      <c r="A64" s="21" t="s">
        <v>68</v>
      </c>
      <c r="B64" s="21"/>
      <c r="C64" s="15" t="s">
        <v>2</v>
      </c>
      <c r="D64" s="15" t="s">
        <v>144</v>
      </c>
      <c r="E64" s="15" t="s">
        <v>70</v>
      </c>
      <c r="F64" s="15" t="s">
        <v>71</v>
      </c>
      <c r="G64" s="15" t="s">
        <v>72</v>
      </c>
      <c r="H64" s="14"/>
      <c r="I64" s="18"/>
      <c r="J64" s="18"/>
    </row>
    <row r="65" spans="1:10" x14ac:dyDescent="0.25">
      <c r="A65" s="20" t="s">
        <v>73</v>
      </c>
      <c r="B65" s="20"/>
      <c r="C65" s="17">
        <v>26.46</v>
      </c>
      <c r="D65" s="17">
        <v>67.52</v>
      </c>
      <c r="E65" s="17">
        <v>81.84</v>
      </c>
      <c r="F65" s="17">
        <v>48</v>
      </c>
      <c r="G65" s="17">
        <f>12/4*C65</f>
        <v>79.38</v>
      </c>
      <c r="H65" s="9"/>
      <c r="I65" s="10"/>
      <c r="J65" s="10"/>
    </row>
    <row r="66" spans="1:10" x14ac:dyDescent="0.25">
      <c r="A66" s="20" t="s">
        <v>74</v>
      </c>
      <c r="B66" s="20"/>
      <c r="C66" s="17">
        <v>22.15</v>
      </c>
      <c r="D66" s="17">
        <v>67.05</v>
      </c>
      <c r="E66" s="17">
        <v>55.63</v>
      </c>
      <c r="F66" s="17">
        <v>55.33</v>
      </c>
      <c r="G66" s="17">
        <f>12/4*C66</f>
        <v>66.449999999999989</v>
      </c>
      <c r="H66" s="9"/>
      <c r="I66" s="10"/>
      <c r="J66" s="10"/>
    </row>
    <row r="67" spans="1:10" x14ac:dyDescent="0.25">
      <c r="A67" s="20" t="s">
        <v>75</v>
      </c>
      <c r="B67" s="20"/>
      <c r="C67" s="17">
        <v>95.96</v>
      </c>
      <c r="D67" s="17">
        <v>273.76</v>
      </c>
      <c r="E67" s="17">
        <v>257.88</v>
      </c>
      <c r="F67" s="17">
        <v>242.78</v>
      </c>
      <c r="G67" s="17">
        <f>12/4*C67</f>
        <v>287.88</v>
      </c>
      <c r="H67" s="9"/>
      <c r="I67" s="10"/>
      <c r="J67" s="10"/>
    </row>
    <row r="68" spans="1:10" x14ac:dyDescent="0.25">
      <c r="A68" s="20" t="s">
        <v>76</v>
      </c>
      <c r="B68" s="20"/>
      <c r="C68" s="17">
        <v>38.64</v>
      </c>
      <c r="D68" s="17">
        <v>97.34</v>
      </c>
      <c r="E68" s="17">
        <v>103.14</v>
      </c>
      <c r="F68" s="17">
        <v>68.31</v>
      </c>
      <c r="G68" s="17">
        <f>12/4*C68</f>
        <v>115.92</v>
      </c>
      <c r="H68" s="9"/>
      <c r="I68" s="10"/>
      <c r="J68" s="10"/>
    </row>
    <row r="71" spans="1:10" x14ac:dyDescent="0.25">
      <c r="A71" s="19" t="s">
        <v>60</v>
      </c>
      <c r="B71" s="26"/>
    </row>
    <row r="72" spans="1:10" x14ac:dyDescent="0.25">
      <c r="A72" s="3" t="s">
        <v>77</v>
      </c>
      <c r="B72" s="1" t="s">
        <v>145</v>
      </c>
    </row>
    <row r="73" spans="1:10" x14ac:dyDescent="0.25">
      <c r="A73" s="3" t="s">
        <v>70</v>
      </c>
      <c r="B73" s="1" t="s">
        <v>79</v>
      </c>
    </row>
    <row r="74" spans="1:10" x14ac:dyDescent="0.25">
      <c r="A74" s="3" t="s">
        <v>71</v>
      </c>
      <c r="B74" s="1" t="s">
        <v>80</v>
      </c>
    </row>
    <row r="75" spans="1:10" x14ac:dyDescent="0.25">
      <c r="A75" s="3" t="s">
        <v>72</v>
      </c>
      <c r="B75" s="1" t="s">
        <v>81</v>
      </c>
    </row>
  </sheetData>
  <mergeCells count="19">
    <mergeCell ref="A66:B66"/>
    <mergeCell ref="A67:B67"/>
    <mergeCell ref="A68:B68"/>
    <mergeCell ref="A71:B71"/>
    <mergeCell ref="I59:I60"/>
    <mergeCell ref="J59:J60"/>
    <mergeCell ref="A60:B60"/>
    <mergeCell ref="A64:B64"/>
    <mergeCell ref="A65:B65"/>
    <mergeCell ref="A52:B52"/>
    <mergeCell ref="A53:B53"/>
    <mergeCell ref="A58:B58"/>
    <mergeCell ref="A59:B59"/>
    <mergeCell ref="H59:H60"/>
    <mergeCell ref="C7:G7"/>
    <mergeCell ref="A44:B44"/>
    <mergeCell ref="A45:B45"/>
    <mergeCell ref="A50:B50"/>
    <mergeCell ref="A51:B5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2:J68"/>
  <sheetViews>
    <sheetView workbookViewId="0">
      <selection activeCell="C9" sqref="C9:J52"/>
    </sheetView>
  </sheetViews>
  <sheetFormatPr defaultRowHeight="15" x14ac:dyDescent="0.25"/>
  <cols>
    <col min="1" max="1" width="38.85546875" bestFit="1" customWidth="1"/>
    <col min="2" max="2" width="79" bestFit="1" customWidth="1"/>
    <col min="3" max="3" width="14" bestFit="1" customWidth="1"/>
    <col min="4" max="4" width="23.42578125" bestFit="1" customWidth="1"/>
    <col min="5" max="5" width="16.42578125" bestFit="1" customWidth="1"/>
    <col min="6" max="6" width="10.5703125" bestFit="1" customWidth="1"/>
    <col min="7" max="7" width="68.28515625" bestFit="1" customWidth="1"/>
    <col min="8" max="9" width="20" bestFit="1" customWidth="1"/>
    <col min="10" max="10" width="30.5703125" bestFit="1" customWidth="1"/>
  </cols>
  <sheetData>
    <row r="2" spans="1:10" ht="18.75" x14ac:dyDescent="0.3">
      <c r="A2" s="3" t="s">
        <v>0</v>
      </c>
      <c r="B2" s="4" t="s">
        <v>146</v>
      </c>
    </row>
    <row r="3" spans="1:10" x14ac:dyDescent="0.25">
      <c r="A3" s="3" t="s">
        <v>2</v>
      </c>
      <c r="B3" s="1" t="s">
        <v>3</v>
      </c>
    </row>
    <row r="4" spans="1:10" x14ac:dyDescent="0.25">
      <c r="A4" s="3" t="s">
        <v>4</v>
      </c>
      <c r="B4" s="1">
        <v>2233</v>
      </c>
    </row>
    <row r="7" spans="1:10" x14ac:dyDescent="0.25">
      <c r="C7" s="19" t="s">
        <v>5</v>
      </c>
      <c r="D7" s="20"/>
      <c r="E7" s="20"/>
      <c r="F7" s="20"/>
      <c r="G7" s="20"/>
    </row>
    <row r="8" spans="1:10" x14ac:dyDescent="0.25">
      <c r="A8" s="3" t="s">
        <v>6</v>
      </c>
      <c r="B8" s="3" t="s">
        <v>7</v>
      </c>
      <c r="C8" s="3" t="s">
        <v>8</v>
      </c>
      <c r="D8" s="3" t="s">
        <v>9</v>
      </c>
      <c r="E8" s="3" t="s">
        <v>10</v>
      </c>
      <c r="F8" s="3" t="s">
        <v>11</v>
      </c>
      <c r="G8" s="3" t="s">
        <v>12</v>
      </c>
      <c r="H8" s="3" t="s">
        <v>13</v>
      </c>
      <c r="I8" s="3" t="s">
        <v>14</v>
      </c>
      <c r="J8" s="3" t="s">
        <v>15</v>
      </c>
    </row>
    <row r="9" spans="1:10" x14ac:dyDescent="0.25">
      <c r="A9" s="1" t="s">
        <v>16</v>
      </c>
      <c r="B9" s="1" t="s">
        <v>19</v>
      </c>
      <c r="C9" s="11">
        <v>25800</v>
      </c>
      <c r="D9" s="11"/>
      <c r="E9" s="11"/>
      <c r="F9" s="11"/>
      <c r="G9" s="11">
        <f t="shared" ref="G9:G36" si="0">SUM(C9:F9)</f>
        <v>25800</v>
      </c>
      <c r="H9" s="17">
        <f t="shared" ref="H9:H36" si="1">ROUND(G9/2233,2)</f>
        <v>11.55</v>
      </c>
      <c r="I9" s="16">
        <f t="shared" ref="I9:I36" si="2">ROUND(G9/$G$37,3)</f>
        <v>7.4999999999999997E-2</v>
      </c>
      <c r="J9" s="16">
        <f>ROUND(G9/23900-1,2)</f>
        <v>0.08</v>
      </c>
    </row>
    <row r="10" spans="1:10" x14ac:dyDescent="0.25">
      <c r="A10" s="1" t="s">
        <v>16</v>
      </c>
      <c r="B10" s="1" t="s">
        <v>20</v>
      </c>
      <c r="C10" s="11">
        <v>28170</v>
      </c>
      <c r="D10" s="11"/>
      <c r="E10" s="11"/>
      <c r="F10" s="11"/>
      <c r="G10" s="11">
        <f t="shared" si="0"/>
        <v>28170</v>
      </c>
      <c r="H10" s="17">
        <f t="shared" si="1"/>
        <v>12.62</v>
      </c>
      <c r="I10" s="16">
        <f t="shared" si="2"/>
        <v>8.2000000000000003E-2</v>
      </c>
      <c r="J10" s="16">
        <f>ROUND(G10/28010-1,2)</f>
        <v>0.01</v>
      </c>
    </row>
    <row r="11" spans="1:10" x14ac:dyDescent="0.25">
      <c r="A11" s="1" t="s">
        <v>16</v>
      </c>
      <c r="B11" s="1" t="s">
        <v>23</v>
      </c>
      <c r="C11" s="11"/>
      <c r="D11" s="11"/>
      <c r="E11" s="11">
        <v>36120</v>
      </c>
      <c r="F11" s="11"/>
      <c r="G11" s="11">
        <f t="shared" si="0"/>
        <v>36120</v>
      </c>
      <c r="H11" s="17">
        <f t="shared" si="1"/>
        <v>16.18</v>
      </c>
      <c r="I11" s="16">
        <f t="shared" si="2"/>
        <v>0.105</v>
      </c>
      <c r="J11" s="16">
        <f>ROUND(G11/34780-1,2)</f>
        <v>0.04</v>
      </c>
    </row>
    <row r="12" spans="1:10" x14ac:dyDescent="0.25">
      <c r="A12" s="1" t="s">
        <v>16</v>
      </c>
      <c r="B12" s="1" t="s">
        <v>24</v>
      </c>
      <c r="C12" s="11">
        <v>36460</v>
      </c>
      <c r="D12" s="11"/>
      <c r="E12" s="11"/>
      <c r="F12" s="11"/>
      <c r="G12" s="11">
        <f t="shared" si="0"/>
        <v>36460</v>
      </c>
      <c r="H12" s="17">
        <f t="shared" si="1"/>
        <v>16.329999999999998</v>
      </c>
      <c r="I12" s="16">
        <f t="shared" si="2"/>
        <v>0.106</v>
      </c>
      <c r="J12" s="16">
        <f>ROUND(G12/36940-1,2)</f>
        <v>-0.01</v>
      </c>
    </row>
    <row r="13" spans="1:10" x14ac:dyDescent="0.25">
      <c r="A13" s="1" t="s">
        <v>16</v>
      </c>
      <c r="B13" s="1" t="s">
        <v>25</v>
      </c>
      <c r="C13" s="11"/>
      <c r="D13" s="11"/>
      <c r="E13" s="11">
        <v>2800</v>
      </c>
      <c r="F13" s="11"/>
      <c r="G13" s="11">
        <f t="shared" si="0"/>
        <v>2800</v>
      </c>
      <c r="H13" s="17">
        <f t="shared" si="1"/>
        <v>1.25</v>
      </c>
      <c r="I13" s="16">
        <f t="shared" si="2"/>
        <v>8.0000000000000002E-3</v>
      </c>
      <c r="J13" s="16">
        <f>ROUND(G13/770-1,2)</f>
        <v>2.64</v>
      </c>
    </row>
    <row r="14" spans="1:10" x14ac:dyDescent="0.25">
      <c r="A14" s="1" t="s">
        <v>16</v>
      </c>
      <c r="B14" s="1" t="s">
        <v>26</v>
      </c>
      <c r="C14" s="11">
        <v>58580</v>
      </c>
      <c r="D14" s="11"/>
      <c r="E14" s="11"/>
      <c r="F14" s="11"/>
      <c r="G14" s="11">
        <f t="shared" si="0"/>
        <v>58580</v>
      </c>
      <c r="H14" s="17">
        <f t="shared" si="1"/>
        <v>26.23</v>
      </c>
      <c r="I14" s="16">
        <f t="shared" si="2"/>
        <v>0.17</v>
      </c>
      <c r="J14" s="16">
        <f>ROUND(G14/58530-1,2)</f>
        <v>0</v>
      </c>
    </row>
    <row r="15" spans="1:10" x14ac:dyDescent="0.25">
      <c r="A15" s="1" t="s">
        <v>16</v>
      </c>
      <c r="B15" s="1" t="s">
        <v>27</v>
      </c>
      <c r="C15" s="11"/>
      <c r="D15" s="11"/>
      <c r="E15" s="11">
        <v>104</v>
      </c>
      <c r="F15" s="11"/>
      <c r="G15" s="11">
        <f t="shared" si="0"/>
        <v>104</v>
      </c>
      <c r="H15" s="17">
        <f t="shared" si="1"/>
        <v>0.05</v>
      </c>
      <c r="I15" s="16">
        <f t="shared" si="2"/>
        <v>0</v>
      </c>
      <c r="J15" s="16">
        <f>ROUND(G15/68-1,2)</f>
        <v>0.53</v>
      </c>
    </row>
    <row r="16" spans="1:10" x14ac:dyDescent="0.25">
      <c r="A16" s="1" t="s">
        <v>16</v>
      </c>
      <c r="B16" s="1" t="s">
        <v>28</v>
      </c>
      <c r="C16" s="11"/>
      <c r="D16" s="11"/>
      <c r="E16" s="11">
        <v>55</v>
      </c>
      <c r="F16" s="11"/>
      <c r="G16" s="11">
        <f t="shared" si="0"/>
        <v>55</v>
      </c>
      <c r="H16" s="17">
        <f t="shared" si="1"/>
        <v>0.02</v>
      </c>
      <c r="I16" s="16">
        <f t="shared" si="2"/>
        <v>0</v>
      </c>
      <c r="J16" s="16">
        <f>ROUND(G16/60-1,2)</f>
        <v>-0.08</v>
      </c>
    </row>
    <row r="17" spans="1:10" x14ac:dyDescent="0.25">
      <c r="A17" s="1" t="s">
        <v>16</v>
      </c>
      <c r="B17" s="1" t="s">
        <v>29</v>
      </c>
      <c r="C17" s="11"/>
      <c r="D17" s="11"/>
      <c r="E17" s="11">
        <v>200</v>
      </c>
      <c r="F17" s="11"/>
      <c r="G17" s="11">
        <f t="shared" si="0"/>
        <v>200</v>
      </c>
      <c r="H17" s="17">
        <f t="shared" si="1"/>
        <v>0.09</v>
      </c>
      <c r="I17" s="16">
        <f t="shared" si="2"/>
        <v>1E-3</v>
      </c>
      <c r="J17" s="16">
        <f>ROUND(G17/130-1,2)</f>
        <v>0.54</v>
      </c>
    </row>
    <row r="18" spans="1:10" x14ac:dyDescent="0.25">
      <c r="A18" s="1" t="s">
        <v>16</v>
      </c>
      <c r="B18" s="1" t="s">
        <v>32</v>
      </c>
      <c r="C18" s="11"/>
      <c r="D18" s="11">
        <v>62</v>
      </c>
      <c r="E18" s="11"/>
      <c r="F18" s="11"/>
      <c r="G18" s="11">
        <f t="shared" si="0"/>
        <v>62</v>
      </c>
      <c r="H18" s="17">
        <f t="shared" si="1"/>
        <v>0.03</v>
      </c>
      <c r="I18" s="16">
        <f t="shared" si="2"/>
        <v>0</v>
      </c>
      <c r="J18" s="16">
        <f>ROUND(G18/51-1,2)</f>
        <v>0.22</v>
      </c>
    </row>
    <row r="19" spans="1:10" x14ac:dyDescent="0.25">
      <c r="A19" s="1" t="s">
        <v>16</v>
      </c>
      <c r="B19" s="1" t="s">
        <v>34</v>
      </c>
      <c r="C19" s="11"/>
      <c r="D19" s="11">
        <v>55</v>
      </c>
      <c r="E19" s="11"/>
      <c r="F19" s="11"/>
      <c r="G19" s="11">
        <f t="shared" si="0"/>
        <v>55</v>
      </c>
      <c r="H19" s="17">
        <f t="shared" si="1"/>
        <v>0.02</v>
      </c>
      <c r="I19" s="16">
        <f t="shared" si="2"/>
        <v>0</v>
      </c>
      <c r="J19" s="16">
        <f>ROUND(G19/135-1,2)</f>
        <v>-0.59</v>
      </c>
    </row>
    <row r="20" spans="1:10" x14ac:dyDescent="0.25">
      <c r="A20" s="1" t="s">
        <v>16</v>
      </c>
      <c r="B20" s="1" t="s">
        <v>35</v>
      </c>
      <c r="C20" s="11"/>
      <c r="D20" s="11"/>
      <c r="E20" s="11">
        <v>26460</v>
      </c>
      <c r="F20" s="11"/>
      <c r="G20" s="11">
        <f t="shared" si="0"/>
        <v>26460</v>
      </c>
      <c r="H20" s="17">
        <f t="shared" si="1"/>
        <v>11.85</v>
      </c>
      <c r="I20" s="16">
        <f t="shared" si="2"/>
        <v>7.6999999999999999E-2</v>
      </c>
      <c r="J20" s="16">
        <f>ROUND(G20/17345-1,2)</f>
        <v>0.53</v>
      </c>
    </row>
    <row r="21" spans="1:10" x14ac:dyDescent="0.25">
      <c r="A21" s="1" t="s">
        <v>16</v>
      </c>
      <c r="B21" s="1" t="s">
        <v>37</v>
      </c>
      <c r="C21" s="11"/>
      <c r="D21" s="11"/>
      <c r="E21" s="11">
        <v>5870</v>
      </c>
      <c r="F21" s="11"/>
      <c r="G21" s="11">
        <f t="shared" si="0"/>
        <v>5870</v>
      </c>
      <c r="H21" s="17">
        <f t="shared" si="1"/>
        <v>2.63</v>
      </c>
      <c r="I21" s="16">
        <f t="shared" si="2"/>
        <v>1.7000000000000001E-2</v>
      </c>
      <c r="J21" s="16">
        <f>ROUND(G21/6430-1,2)</f>
        <v>-0.09</v>
      </c>
    </row>
    <row r="22" spans="1:10" x14ac:dyDescent="0.25">
      <c r="A22" s="1" t="s">
        <v>16</v>
      </c>
      <c r="B22" s="1" t="s">
        <v>38</v>
      </c>
      <c r="C22" s="11"/>
      <c r="D22" s="11"/>
      <c r="E22" s="11">
        <v>26380</v>
      </c>
      <c r="F22" s="11"/>
      <c r="G22" s="11">
        <f t="shared" si="0"/>
        <v>26380</v>
      </c>
      <c r="H22" s="17">
        <f t="shared" si="1"/>
        <v>11.81</v>
      </c>
      <c r="I22" s="16">
        <f t="shared" si="2"/>
        <v>7.6999999999999999E-2</v>
      </c>
      <c r="J22" s="16">
        <f>ROUND(G22/27400-1,2)</f>
        <v>-0.04</v>
      </c>
    </row>
    <row r="23" spans="1:10" x14ac:dyDescent="0.25">
      <c r="A23" s="1" t="s">
        <v>16</v>
      </c>
      <c r="B23" s="1" t="s">
        <v>40</v>
      </c>
      <c r="C23" s="11"/>
      <c r="D23" s="11"/>
      <c r="E23" s="11"/>
      <c r="F23" s="11"/>
      <c r="G23" s="11">
        <f t="shared" si="0"/>
        <v>0</v>
      </c>
      <c r="H23" s="17">
        <f t="shared" si="1"/>
        <v>0</v>
      </c>
      <c r="I23" s="16">
        <f t="shared" si="2"/>
        <v>0</v>
      </c>
      <c r="J23" s="16">
        <f>ROUND(G23/810-1,2)</f>
        <v>-1</v>
      </c>
    </row>
    <row r="24" spans="1:10" x14ac:dyDescent="0.25">
      <c r="A24" s="1" t="s">
        <v>16</v>
      </c>
      <c r="B24" s="1" t="s">
        <v>33</v>
      </c>
      <c r="C24" s="11"/>
      <c r="D24" s="11"/>
      <c r="E24" s="11"/>
      <c r="F24" s="11"/>
      <c r="G24" s="11">
        <f t="shared" si="0"/>
        <v>0</v>
      </c>
      <c r="H24" s="17">
        <f t="shared" si="1"/>
        <v>0</v>
      </c>
      <c r="I24" s="16">
        <f t="shared" si="2"/>
        <v>0</v>
      </c>
      <c r="J24" s="16">
        <f>ROUND(G24/610-1,2)</f>
        <v>-1</v>
      </c>
    </row>
    <row r="25" spans="1:10" x14ac:dyDescent="0.25">
      <c r="A25" s="1" t="s">
        <v>16</v>
      </c>
      <c r="B25" s="1" t="s">
        <v>41</v>
      </c>
      <c r="C25" s="11"/>
      <c r="D25" s="11"/>
      <c r="E25" s="11"/>
      <c r="F25" s="11"/>
      <c r="G25" s="11">
        <f t="shared" si="0"/>
        <v>0</v>
      </c>
      <c r="H25" s="17">
        <f t="shared" si="1"/>
        <v>0</v>
      </c>
      <c r="I25" s="16">
        <f t="shared" si="2"/>
        <v>0</v>
      </c>
      <c r="J25" s="16">
        <f>ROUND(G25/1283-1,2)</f>
        <v>-1</v>
      </c>
    </row>
    <row r="26" spans="1:10" x14ac:dyDescent="0.25">
      <c r="A26" s="1" t="s">
        <v>16</v>
      </c>
      <c r="B26" s="1" t="s">
        <v>42</v>
      </c>
      <c r="C26" s="11"/>
      <c r="D26" s="11"/>
      <c r="E26" s="11"/>
      <c r="F26" s="11"/>
      <c r="G26" s="11">
        <f t="shared" si="0"/>
        <v>0</v>
      </c>
      <c r="H26" s="17">
        <f t="shared" si="1"/>
        <v>0</v>
      </c>
      <c r="I26" s="16">
        <f t="shared" si="2"/>
        <v>0</v>
      </c>
      <c r="J26" s="16">
        <f>ROUND(G26/1814-1,2)</f>
        <v>-1</v>
      </c>
    </row>
    <row r="27" spans="1:10" x14ac:dyDescent="0.25">
      <c r="A27" s="1" t="s">
        <v>16</v>
      </c>
      <c r="B27" s="1" t="s">
        <v>43</v>
      </c>
      <c r="C27" s="11"/>
      <c r="D27" s="11"/>
      <c r="E27" s="11"/>
      <c r="F27" s="11"/>
      <c r="G27" s="11">
        <f t="shared" si="0"/>
        <v>0</v>
      </c>
      <c r="H27" s="17">
        <f t="shared" si="1"/>
        <v>0</v>
      </c>
      <c r="I27" s="16">
        <f t="shared" si="2"/>
        <v>0</v>
      </c>
      <c r="J27" s="16">
        <f>ROUND(G27/1926-1,2)</f>
        <v>-1</v>
      </c>
    </row>
    <row r="28" spans="1:10" x14ac:dyDescent="0.25">
      <c r="A28" s="1" t="s">
        <v>16</v>
      </c>
      <c r="B28" s="1" t="s">
        <v>17</v>
      </c>
      <c r="C28" s="11"/>
      <c r="D28" s="11"/>
      <c r="E28" s="11"/>
      <c r="F28" s="11"/>
      <c r="G28" s="11">
        <f t="shared" si="0"/>
        <v>0</v>
      </c>
      <c r="H28" s="17">
        <f t="shared" si="1"/>
        <v>0</v>
      </c>
      <c r="I28" s="16">
        <f t="shared" si="2"/>
        <v>0</v>
      </c>
      <c r="J28" s="16">
        <f>ROUND(G28/25-1,2)</f>
        <v>-1</v>
      </c>
    </row>
    <row r="29" spans="1:10" x14ac:dyDescent="0.25">
      <c r="A29" s="1" t="s">
        <v>16</v>
      </c>
      <c r="B29" s="1" t="s">
        <v>22</v>
      </c>
      <c r="C29" s="11"/>
      <c r="D29" s="11"/>
      <c r="E29" s="11"/>
      <c r="F29" s="11"/>
      <c r="G29" s="11">
        <f t="shared" si="0"/>
        <v>0</v>
      </c>
      <c r="H29" s="17">
        <f t="shared" si="1"/>
        <v>0</v>
      </c>
      <c r="I29" s="16">
        <f t="shared" si="2"/>
        <v>0</v>
      </c>
      <c r="J29" s="16"/>
    </row>
    <row r="30" spans="1:10" x14ac:dyDescent="0.25">
      <c r="A30" s="1" t="s">
        <v>16</v>
      </c>
      <c r="B30" s="1" t="s">
        <v>39</v>
      </c>
      <c r="C30" s="11"/>
      <c r="D30" s="11"/>
      <c r="E30" s="11"/>
      <c r="F30" s="11"/>
      <c r="G30" s="11">
        <f t="shared" si="0"/>
        <v>0</v>
      </c>
      <c r="H30" s="17">
        <f t="shared" si="1"/>
        <v>0</v>
      </c>
      <c r="I30" s="16">
        <f t="shared" si="2"/>
        <v>0</v>
      </c>
      <c r="J30" s="16">
        <f>ROUND(G30/114-1,2)</f>
        <v>-1</v>
      </c>
    </row>
    <row r="31" spans="1:10" x14ac:dyDescent="0.25">
      <c r="A31" s="1" t="s">
        <v>16</v>
      </c>
      <c r="B31" s="1" t="s">
        <v>30</v>
      </c>
      <c r="C31" s="11"/>
      <c r="D31" s="11"/>
      <c r="E31" s="11"/>
      <c r="F31" s="11"/>
      <c r="G31" s="11">
        <f t="shared" si="0"/>
        <v>0</v>
      </c>
      <c r="H31" s="17">
        <f t="shared" si="1"/>
        <v>0</v>
      </c>
      <c r="I31" s="16">
        <f t="shared" si="2"/>
        <v>0</v>
      </c>
      <c r="J31" s="16"/>
    </row>
    <row r="32" spans="1:10" x14ac:dyDescent="0.25">
      <c r="A32" s="1" t="s">
        <v>44</v>
      </c>
      <c r="B32" s="1" t="s">
        <v>45</v>
      </c>
      <c r="C32" s="11">
        <v>58820</v>
      </c>
      <c r="D32" s="11"/>
      <c r="E32" s="11"/>
      <c r="F32" s="11"/>
      <c r="G32" s="11">
        <f t="shared" si="0"/>
        <v>58820</v>
      </c>
      <c r="H32" s="17">
        <f t="shared" si="1"/>
        <v>26.34</v>
      </c>
      <c r="I32" s="16">
        <f t="shared" si="2"/>
        <v>0.17100000000000001</v>
      </c>
      <c r="J32" s="16">
        <f>ROUND(G32/54540-1,2)</f>
        <v>0.08</v>
      </c>
    </row>
    <row r="33" spans="1:10" x14ac:dyDescent="0.25">
      <c r="A33" s="1" t="s">
        <v>44</v>
      </c>
      <c r="B33" s="1" t="s">
        <v>47</v>
      </c>
      <c r="C33" s="11"/>
      <c r="D33" s="11"/>
      <c r="E33" s="11"/>
      <c r="F33" s="11">
        <v>11180</v>
      </c>
      <c r="G33" s="11">
        <f t="shared" si="0"/>
        <v>11180</v>
      </c>
      <c r="H33" s="17">
        <f t="shared" si="1"/>
        <v>5.01</v>
      </c>
      <c r="I33" s="16">
        <f t="shared" si="2"/>
        <v>3.2000000000000001E-2</v>
      </c>
      <c r="J33" s="16">
        <f>ROUND(G33/13580-1,2)</f>
        <v>-0.18</v>
      </c>
    </row>
    <row r="34" spans="1:10" x14ac:dyDescent="0.25">
      <c r="A34" s="1" t="s">
        <v>44</v>
      </c>
      <c r="B34" s="1" t="s">
        <v>46</v>
      </c>
      <c r="C34" s="11"/>
      <c r="D34" s="11"/>
      <c r="E34" s="11">
        <v>27400</v>
      </c>
      <c r="F34" s="11"/>
      <c r="G34" s="11">
        <f t="shared" si="0"/>
        <v>27400</v>
      </c>
      <c r="H34" s="17">
        <f t="shared" si="1"/>
        <v>12.27</v>
      </c>
      <c r="I34" s="16">
        <f t="shared" si="2"/>
        <v>0.08</v>
      </c>
      <c r="J34" s="16">
        <f>ROUND(G34/19420-1,2)</f>
        <v>0.41</v>
      </c>
    </row>
    <row r="35" spans="1:10" x14ac:dyDescent="0.25">
      <c r="A35" s="1" t="s">
        <v>48</v>
      </c>
      <c r="B35" s="1" t="s">
        <v>50</v>
      </c>
      <c r="C35" s="11"/>
      <c r="D35" s="11"/>
      <c r="E35" s="11"/>
      <c r="F35" s="11"/>
      <c r="G35" s="11">
        <f t="shared" si="0"/>
        <v>0</v>
      </c>
      <c r="H35" s="17">
        <f t="shared" si="1"/>
        <v>0</v>
      </c>
      <c r="I35" s="16">
        <f t="shared" si="2"/>
        <v>0</v>
      </c>
      <c r="J35" s="16">
        <f>ROUND(G35/130-1,2)</f>
        <v>-1</v>
      </c>
    </row>
    <row r="36" spans="1:10" x14ac:dyDescent="0.25">
      <c r="A36" s="1" t="s">
        <v>48</v>
      </c>
      <c r="B36" s="1" t="s">
        <v>51</v>
      </c>
      <c r="C36" s="11"/>
      <c r="D36" s="11"/>
      <c r="E36" s="11"/>
      <c r="F36" s="11"/>
      <c r="G36" s="11">
        <f t="shared" si="0"/>
        <v>0</v>
      </c>
      <c r="H36" s="17">
        <f t="shared" si="1"/>
        <v>0</v>
      </c>
      <c r="I36" s="16">
        <f t="shared" si="2"/>
        <v>0</v>
      </c>
      <c r="J36" s="16"/>
    </row>
    <row r="37" spans="1:10" x14ac:dyDescent="0.25">
      <c r="A37" s="21" t="s">
        <v>12</v>
      </c>
      <c r="B37" s="21"/>
      <c r="C37" s="12">
        <f t="shared" ref="C37:H37" si="3">SUM(C8:C36)</f>
        <v>207830</v>
      </c>
      <c r="D37" s="12">
        <f t="shared" si="3"/>
        <v>117</v>
      </c>
      <c r="E37" s="12">
        <f t="shared" si="3"/>
        <v>125389</v>
      </c>
      <c r="F37" s="12">
        <f t="shared" si="3"/>
        <v>11180</v>
      </c>
      <c r="G37" s="12">
        <f t="shared" si="3"/>
        <v>344516</v>
      </c>
      <c r="H37" s="15">
        <f t="shared" si="3"/>
        <v>154.27999999999997</v>
      </c>
      <c r="I37" s="18"/>
      <c r="J37" s="18"/>
    </row>
    <row r="38" spans="1:10" x14ac:dyDescent="0.25">
      <c r="A38" s="21" t="s">
        <v>14</v>
      </c>
      <c r="B38" s="21"/>
      <c r="C38" s="13">
        <f>ROUND(C37/G37,2)</f>
        <v>0.6</v>
      </c>
      <c r="D38" s="13">
        <f>ROUND(D37/G37,2)</f>
        <v>0</v>
      </c>
      <c r="E38" s="13">
        <f>ROUND(E37/G37,2)</f>
        <v>0.36</v>
      </c>
      <c r="F38" s="13">
        <f>ROUND(F37/G37,2)</f>
        <v>0.03</v>
      </c>
      <c r="G38" s="14"/>
      <c r="H38" s="14"/>
      <c r="I38" s="18"/>
      <c r="J38" s="18"/>
    </row>
    <row r="39" spans="1:10" x14ac:dyDescent="0.25">
      <c r="A39" s="2" t="s">
        <v>52</v>
      </c>
      <c r="B39" s="2"/>
      <c r="C39" s="14"/>
      <c r="D39" s="14"/>
      <c r="E39" s="14"/>
      <c r="F39" s="14"/>
      <c r="G39" s="14"/>
      <c r="H39" s="14"/>
      <c r="I39" s="18"/>
      <c r="J39" s="18"/>
    </row>
    <row r="40" spans="1:10" x14ac:dyDescent="0.25">
      <c r="C40" s="9"/>
      <c r="D40" s="9"/>
      <c r="E40" s="9"/>
      <c r="F40" s="9"/>
      <c r="G40" s="9"/>
      <c r="H40" s="9"/>
      <c r="I40" s="10"/>
      <c r="J40" s="10"/>
    </row>
    <row r="41" spans="1:10" x14ac:dyDescent="0.25">
      <c r="C41" s="9"/>
      <c r="D41" s="9"/>
      <c r="E41" s="9"/>
      <c r="F41" s="9"/>
      <c r="G41" s="9"/>
      <c r="H41" s="9"/>
      <c r="I41" s="10"/>
      <c r="J41" s="10"/>
    </row>
    <row r="42" spans="1:10" x14ac:dyDescent="0.25">
      <c r="C42" s="9"/>
      <c r="D42" s="9"/>
      <c r="E42" s="9"/>
      <c r="F42" s="9"/>
      <c r="G42" s="9"/>
      <c r="H42" s="9"/>
      <c r="I42" s="10"/>
      <c r="J42" s="10"/>
    </row>
    <row r="43" spans="1:10" x14ac:dyDescent="0.25">
      <c r="A43" s="21" t="s">
        <v>53</v>
      </c>
      <c r="B43" s="21"/>
      <c r="C43" s="12" t="s">
        <v>8</v>
      </c>
      <c r="D43" s="12" t="s">
        <v>9</v>
      </c>
      <c r="E43" s="12" t="s">
        <v>10</v>
      </c>
      <c r="F43" s="12" t="s">
        <v>11</v>
      </c>
      <c r="G43" s="12" t="s">
        <v>12</v>
      </c>
      <c r="H43" s="15" t="s">
        <v>13</v>
      </c>
      <c r="I43" s="18"/>
      <c r="J43" s="18"/>
    </row>
    <row r="44" spans="1:10" x14ac:dyDescent="0.25">
      <c r="A44" s="20" t="s">
        <v>54</v>
      </c>
      <c r="B44" s="20"/>
      <c r="C44" s="11">
        <v>149010</v>
      </c>
      <c r="D44" s="11">
        <v>117</v>
      </c>
      <c r="E44" s="11">
        <v>97989</v>
      </c>
      <c r="F44" s="11">
        <v>0</v>
      </c>
      <c r="G44" s="11">
        <f>SUM(C44:F44)</f>
        <v>247116</v>
      </c>
      <c r="H44" s="17">
        <f>ROUND(G44/2233,2)</f>
        <v>110.67</v>
      </c>
      <c r="I44" s="10"/>
      <c r="J44" s="10"/>
    </row>
    <row r="45" spans="1:10" x14ac:dyDescent="0.25">
      <c r="A45" s="20" t="s">
        <v>55</v>
      </c>
      <c r="B45" s="20"/>
      <c r="C45" s="11">
        <v>58820</v>
      </c>
      <c r="D45" s="11">
        <v>0</v>
      </c>
      <c r="E45" s="11">
        <v>27400</v>
      </c>
      <c r="F45" s="11">
        <v>11180</v>
      </c>
      <c r="G45" s="11">
        <f>SUM(C45:F45)</f>
        <v>97400</v>
      </c>
      <c r="H45" s="17">
        <f>ROUND(G45/2233,2)</f>
        <v>43.62</v>
      </c>
      <c r="I45" s="10"/>
      <c r="J45" s="10"/>
    </row>
    <row r="46" spans="1:10" x14ac:dyDescent="0.25">
      <c r="A46" s="20" t="s">
        <v>56</v>
      </c>
      <c r="B46" s="20"/>
      <c r="C46" s="11">
        <v>0</v>
      </c>
      <c r="D46" s="11">
        <v>0</v>
      </c>
      <c r="E46" s="11">
        <v>0</v>
      </c>
      <c r="F46" s="11">
        <v>0</v>
      </c>
      <c r="G46" s="11">
        <f>SUM(C46:F46)</f>
        <v>0</v>
      </c>
      <c r="H46" s="17">
        <f>ROUND(G46/2233,2)</f>
        <v>0</v>
      </c>
      <c r="I46" s="10"/>
      <c r="J46" s="10"/>
    </row>
    <row r="47" spans="1:10" x14ac:dyDescent="0.25">
      <c r="C47" s="9"/>
      <c r="D47" s="9"/>
      <c r="E47" s="9"/>
      <c r="F47" s="9"/>
      <c r="G47" s="9"/>
      <c r="H47" s="9"/>
      <c r="I47" s="10"/>
      <c r="J47" s="10"/>
    </row>
    <row r="48" spans="1:10" x14ac:dyDescent="0.25">
      <c r="C48" s="9"/>
      <c r="D48" s="9"/>
      <c r="E48" s="9"/>
      <c r="F48" s="9"/>
      <c r="G48" s="9"/>
      <c r="H48" s="9"/>
      <c r="I48" s="10"/>
      <c r="J48" s="10"/>
    </row>
    <row r="49" spans="1:10" x14ac:dyDescent="0.25">
      <c r="C49" s="9"/>
      <c r="D49" s="9"/>
      <c r="E49" s="9"/>
      <c r="F49" s="9"/>
      <c r="G49" s="9"/>
      <c r="H49" s="9"/>
      <c r="I49" s="10"/>
      <c r="J49" s="10"/>
    </row>
    <row r="50" spans="1:10" x14ac:dyDescent="0.25">
      <c r="C50" s="9"/>
      <c r="D50" s="9"/>
      <c r="E50" s="9"/>
      <c r="F50" s="9"/>
      <c r="G50" s="9"/>
      <c r="H50" s="9"/>
      <c r="I50" s="10"/>
      <c r="J50" s="10"/>
    </row>
    <row r="51" spans="1:10" x14ac:dyDescent="0.25">
      <c r="A51" s="21" t="s">
        <v>57</v>
      </c>
      <c r="B51" s="21"/>
      <c r="C51" s="15" t="s">
        <v>2</v>
      </c>
      <c r="D51" s="15">
        <v>2023</v>
      </c>
      <c r="E51" s="15" t="s">
        <v>59</v>
      </c>
      <c r="F51" s="14"/>
      <c r="G51" s="15" t="s">
        <v>60</v>
      </c>
      <c r="H51" s="15" t="s">
        <v>2</v>
      </c>
      <c r="I51" s="13" t="s">
        <v>61</v>
      </c>
      <c r="J51" s="13" t="s">
        <v>59</v>
      </c>
    </row>
    <row r="52" spans="1:10" x14ac:dyDescent="0.25">
      <c r="A52" s="20" t="s">
        <v>58</v>
      </c>
      <c r="B52" s="20"/>
      <c r="C52" s="16">
        <f>ROUND(0.8041, 4)</f>
        <v>0.80410000000000004</v>
      </c>
      <c r="D52" s="16">
        <f>ROUND(0.8034, 4)</f>
        <v>0.8034</v>
      </c>
      <c r="E52" s="16">
        <f>ROUND(0.777, 4)</f>
        <v>0.77700000000000002</v>
      </c>
      <c r="F52" s="9"/>
      <c r="G52" s="15" t="s">
        <v>62</v>
      </c>
      <c r="H52" s="22" t="s">
        <v>63</v>
      </c>
      <c r="I52" s="24" t="s">
        <v>64</v>
      </c>
      <c r="J52" s="24" t="s">
        <v>65</v>
      </c>
    </row>
    <row r="53" spans="1:10" x14ac:dyDescent="0.25">
      <c r="A53" s="20" t="s">
        <v>66</v>
      </c>
      <c r="B53" s="20"/>
      <c r="C53" s="8">
        <f>ROUND(0.7934, 4)</f>
        <v>0.79339999999999999</v>
      </c>
      <c r="D53" s="8">
        <f>ROUND(0.793, 4)</f>
        <v>0.79300000000000004</v>
      </c>
      <c r="E53" s="8">
        <f>ROUND(0.7608, 4)</f>
        <v>0.76080000000000003</v>
      </c>
      <c r="G53" s="3" t="s">
        <v>67</v>
      </c>
      <c r="H53" s="20"/>
      <c r="I53" s="20"/>
      <c r="J53" s="20"/>
    </row>
    <row r="57" spans="1:10" x14ac:dyDescent="0.25">
      <c r="A57" s="21" t="s">
        <v>68</v>
      </c>
      <c r="B57" s="21"/>
      <c r="C57" s="3" t="s">
        <v>2</v>
      </c>
      <c r="D57" s="3" t="s">
        <v>147</v>
      </c>
      <c r="E57" s="3" t="s">
        <v>70</v>
      </c>
      <c r="F57" s="3" t="s">
        <v>71</v>
      </c>
      <c r="G57" s="3" t="s">
        <v>72</v>
      </c>
      <c r="H57" s="2"/>
      <c r="I57" s="2"/>
      <c r="J57" s="2"/>
    </row>
    <row r="58" spans="1:10" x14ac:dyDescent="0.25">
      <c r="A58" s="20" t="s">
        <v>73</v>
      </c>
      <c r="B58" s="20"/>
      <c r="C58" s="1">
        <v>26.34</v>
      </c>
      <c r="D58" s="1">
        <v>65.290000000000006</v>
      </c>
      <c r="E58" s="1">
        <v>81.84</v>
      </c>
      <c r="F58" s="1">
        <v>48</v>
      </c>
      <c r="G58" s="1">
        <f>12/4*C58</f>
        <v>79.02</v>
      </c>
    </row>
    <row r="59" spans="1:10" x14ac:dyDescent="0.25">
      <c r="A59" s="20" t="s">
        <v>74</v>
      </c>
      <c r="B59" s="20"/>
      <c r="C59" s="1">
        <v>26.23</v>
      </c>
      <c r="D59" s="1">
        <v>74.81</v>
      </c>
      <c r="E59" s="1">
        <v>55.63</v>
      </c>
      <c r="F59" s="1">
        <v>55.33</v>
      </c>
      <c r="G59" s="1">
        <f>12/4*C59</f>
        <v>78.69</v>
      </c>
    </row>
    <row r="60" spans="1:10" x14ac:dyDescent="0.25">
      <c r="A60" s="20" t="s">
        <v>75</v>
      </c>
      <c r="B60" s="20"/>
      <c r="C60" s="1">
        <v>110.67</v>
      </c>
      <c r="D60" s="1">
        <v>302.49</v>
      </c>
      <c r="E60" s="1">
        <v>257.88</v>
      </c>
      <c r="F60" s="1">
        <v>242.78</v>
      </c>
      <c r="G60" s="1">
        <f>12/4*C60</f>
        <v>332.01</v>
      </c>
    </row>
    <row r="61" spans="1:10" x14ac:dyDescent="0.25">
      <c r="A61" s="20" t="s">
        <v>76</v>
      </c>
      <c r="B61" s="20"/>
      <c r="C61" s="1">
        <v>43.62</v>
      </c>
      <c r="D61" s="1">
        <v>98.85</v>
      </c>
      <c r="E61" s="1">
        <v>103.14</v>
      </c>
      <c r="F61" s="1">
        <v>68.31</v>
      </c>
      <c r="G61" s="1">
        <f>12/4*C61</f>
        <v>130.85999999999999</v>
      </c>
    </row>
    <row r="64" spans="1:10" x14ac:dyDescent="0.25">
      <c r="A64" s="19" t="s">
        <v>60</v>
      </c>
      <c r="B64" s="26"/>
    </row>
    <row r="65" spans="1:2" x14ac:dyDescent="0.25">
      <c r="A65" s="3" t="s">
        <v>77</v>
      </c>
      <c r="B65" s="1" t="s">
        <v>148</v>
      </c>
    </row>
    <row r="66" spans="1:2" x14ac:dyDescent="0.25">
      <c r="A66" s="3" t="s">
        <v>70</v>
      </c>
      <c r="B66" s="1" t="s">
        <v>79</v>
      </c>
    </row>
    <row r="67" spans="1:2" x14ac:dyDescent="0.25">
      <c r="A67" s="3" t="s">
        <v>71</v>
      </c>
      <c r="B67" s="1" t="s">
        <v>80</v>
      </c>
    </row>
    <row r="68" spans="1:2" x14ac:dyDescent="0.25">
      <c r="A68" s="3" t="s">
        <v>72</v>
      </c>
      <c r="B68" s="1" t="s">
        <v>81</v>
      </c>
    </row>
  </sheetData>
  <mergeCells count="19">
    <mergeCell ref="A59:B59"/>
    <mergeCell ref="A60:B60"/>
    <mergeCell ref="A61:B61"/>
    <mergeCell ref="A64:B64"/>
    <mergeCell ref="I52:I53"/>
    <mergeCell ref="J52:J53"/>
    <mergeCell ref="A53:B53"/>
    <mergeCell ref="A57:B57"/>
    <mergeCell ref="A58:B58"/>
    <mergeCell ref="A45:B45"/>
    <mergeCell ref="A46:B46"/>
    <mergeCell ref="A51:B51"/>
    <mergeCell ref="A52:B52"/>
    <mergeCell ref="H52:H53"/>
    <mergeCell ref="C7:G7"/>
    <mergeCell ref="A37:B37"/>
    <mergeCell ref="A38:B38"/>
    <mergeCell ref="A43:B43"/>
    <mergeCell ref="A44:B4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2:J73"/>
  <sheetViews>
    <sheetView workbookViewId="0">
      <selection activeCell="C9" sqref="C9:J73"/>
    </sheetView>
  </sheetViews>
  <sheetFormatPr defaultRowHeight="15" x14ac:dyDescent="0.25"/>
  <cols>
    <col min="1" max="1" width="38.85546875" bestFit="1" customWidth="1"/>
    <col min="2" max="2" width="79" bestFit="1" customWidth="1"/>
    <col min="3" max="3" width="14" bestFit="1" customWidth="1"/>
    <col min="4" max="4" width="21.140625" bestFit="1" customWidth="1"/>
    <col min="5" max="5" width="16.42578125" bestFit="1" customWidth="1"/>
    <col min="6" max="6" width="10.5703125" bestFit="1" customWidth="1"/>
    <col min="7" max="7" width="68.28515625" bestFit="1" customWidth="1"/>
    <col min="8" max="9" width="20" bestFit="1" customWidth="1"/>
    <col min="10" max="10" width="30.5703125" bestFit="1" customWidth="1"/>
  </cols>
  <sheetData>
    <row r="2" spans="1:10" ht="18.75" x14ac:dyDescent="0.3">
      <c r="A2" s="3" t="s">
        <v>0</v>
      </c>
      <c r="B2" s="4" t="s">
        <v>149</v>
      </c>
    </row>
    <row r="3" spans="1:10" x14ac:dyDescent="0.25">
      <c r="A3" s="3" t="s">
        <v>2</v>
      </c>
      <c r="B3" s="1" t="s">
        <v>3</v>
      </c>
    </row>
    <row r="4" spans="1:10" x14ac:dyDescent="0.25">
      <c r="A4" s="3" t="s">
        <v>4</v>
      </c>
      <c r="B4" s="1">
        <v>150</v>
      </c>
    </row>
    <row r="7" spans="1:10" x14ac:dyDescent="0.25">
      <c r="C7" s="19" t="s">
        <v>5</v>
      </c>
      <c r="D7" s="20"/>
      <c r="E7" s="20"/>
      <c r="F7" s="20"/>
      <c r="G7" s="20"/>
    </row>
    <row r="8" spans="1:10" x14ac:dyDescent="0.25">
      <c r="A8" s="3" t="s">
        <v>6</v>
      </c>
      <c r="B8" s="3" t="s">
        <v>7</v>
      </c>
      <c r="C8" s="3" t="s">
        <v>8</v>
      </c>
      <c r="D8" s="3" t="s">
        <v>9</v>
      </c>
      <c r="E8" s="3" t="s">
        <v>10</v>
      </c>
      <c r="F8" s="3" t="s">
        <v>11</v>
      </c>
      <c r="G8" s="3" t="s">
        <v>12</v>
      </c>
      <c r="H8" s="3" t="s">
        <v>13</v>
      </c>
      <c r="I8" s="3" t="s">
        <v>14</v>
      </c>
      <c r="J8" s="3" t="s">
        <v>15</v>
      </c>
    </row>
    <row r="9" spans="1:10" x14ac:dyDescent="0.25">
      <c r="A9" s="1" t="s">
        <v>16</v>
      </c>
      <c r="B9" s="1" t="s">
        <v>19</v>
      </c>
      <c r="C9" s="11"/>
      <c r="D9" s="11">
        <v>2605</v>
      </c>
      <c r="E9" s="11"/>
      <c r="F9" s="11"/>
      <c r="G9" s="11">
        <f t="shared" ref="G9:G20" si="0">SUM(C9:F9)</f>
        <v>2605</v>
      </c>
      <c r="H9" s="17">
        <f t="shared" ref="H9:H20" si="1">ROUND(G9/150,2)</f>
        <v>17.37</v>
      </c>
      <c r="I9" s="16">
        <f t="shared" ref="I9:I20" si="2">ROUND(G9/$G$21,3)</f>
        <v>0.121</v>
      </c>
      <c r="J9" s="16">
        <f>ROUND(G9/2080-1,2)</f>
        <v>0.25</v>
      </c>
    </row>
    <row r="10" spans="1:10" x14ac:dyDescent="0.25">
      <c r="A10" s="1" t="s">
        <v>16</v>
      </c>
      <c r="B10" s="1" t="s">
        <v>20</v>
      </c>
      <c r="C10" s="11"/>
      <c r="D10" s="11">
        <v>2380</v>
      </c>
      <c r="E10" s="11"/>
      <c r="F10" s="11"/>
      <c r="G10" s="11">
        <f t="shared" si="0"/>
        <v>2380</v>
      </c>
      <c r="H10" s="17">
        <f t="shared" si="1"/>
        <v>15.87</v>
      </c>
      <c r="I10" s="16">
        <f t="shared" si="2"/>
        <v>0.111</v>
      </c>
      <c r="J10" s="16">
        <f>ROUND(G10/2230-1,2)</f>
        <v>7.0000000000000007E-2</v>
      </c>
    </row>
    <row r="11" spans="1:10" x14ac:dyDescent="0.25">
      <c r="A11" s="1" t="s">
        <v>16</v>
      </c>
      <c r="B11" s="1" t="s">
        <v>24</v>
      </c>
      <c r="C11" s="11"/>
      <c r="D11" s="11">
        <v>2985</v>
      </c>
      <c r="E11" s="11"/>
      <c r="F11" s="11"/>
      <c r="G11" s="11">
        <f t="shared" si="0"/>
        <v>2985</v>
      </c>
      <c r="H11" s="17">
        <f t="shared" si="1"/>
        <v>19.899999999999999</v>
      </c>
      <c r="I11" s="16">
        <f t="shared" si="2"/>
        <v>0.13900000000000001</v>
      </c>
      <c r="J11" s="16">
        <f>ROUND(G11/2540-1,2)</f>
        <v>0.18</v>
      </c>
    </row>
    <row r="12" spans="1:10" x14ac:dyDescent="0.25">
      <c r="A12" s="1" t="s">
        <v>16</v>
      </c>
      <c r="B12" s="1" t="s">
        <v>32</v>
      </c>
      <c r="C12" s="11"/>
      <c r="D12" s="11">
        <v>46</v>
      </c>
      <c r="E12" s="11"/>
      <c r="F12" s="11"/>
      <c r="G12" s="11">
        <f t="shared" si="0"/>
        <v>46</v>
      </c>
      <c r="H12" s="17">
        <f t="shared" si="1"/>
        <v>0.31</v>
      </c>
      <c r="I12" s="16">
        <f t="shared" si="2"/>
        <v>2E-3</v>
      </c>
      <c r="J12" s="16">
        <f>ROUND(G12/10-1,2)</f>
        <v>3.6</v>
      </c>
    </row>
    <row r="13" spans="1:10" x14ac:dyDescent="0.25">
      <c r="A13" s="1" t="s">
        <v>16</v>
      </c>
      <c r="B13" s="1" t="s">
        <v>34</v>
      </c>
      <c r="C13" s="11"/>
      <c r="D13" s="11">
        <v>60</v>
      </c>
      <c r="E13" s="11"/>
      <c r="F13" s="11"/>
      <c r="G13" s="11">
        <f t="shared" si="0"/>
        <v>60</v>
      </c>
      <c r="H13" s="17">
        <f t="shared" si="1"/>
        <v>0.4</v>
      </c>
      <c r="I13" s="16">
        <f t="shared" si="2"/>
        <v>3.0000000000000001E-3</v>
      </c>
      <c r="J13" s="16">
        <f>ROUND(G13/1-1,2)</f>
        <v>59</v>
      </c>
    </row>
    <row r="14" spans="1:10" x14ac:dyDescent="0.25">
      <c r="A14" s="1" t="s">
        <v>16</v>
      </c>
      <c r="B14" s="1" t="s">
        <v>38</v>
      </c>
      <c r="C14" s="11"/>
      <c r="D14" s="11"/>
      <c r="E14" s="11">
        <v>1000</v>
      </c>
      <c r="F14" s="11"/>
      <c r="G14" s="11">
        <f t="shared" si="0"/>
        <v>1000</v>
      </c>
      <c r="H14" s="17">
        <f t="shared" si="1"/>
        <v>6.67</v>
      </c>
      <c r="I14" s="16">
        <f t="shared" si="2"/>
        <v>4.7E-2</v>
      </c>
      <c r="J14" s="16">
        <f>ROUND(G14/1300-1,2)</f>
        <v>-0.23</v>
      </c>
    </row>
    <row r="15" spans="1:10" x14ac:dyDescent="0.25">
      <c r="A15" s="1" t="s">
        <v>16</v>
      </c>
      <c r="B15" s="1" t="s">
        <v>26</v>
      </c>
      <c r="C15" s="11"/>
      <c r="D15" s="11"/>
      <c r="E15" s="11"/>
      <c r="F15" s="11"/>
      <c r="G15" s="11">
        <f t="shared" si="0"/>
        <v>0</v>
      </c>
      <c r="H15" s="17">
        <f t="shared" si="1"/>
        <v>0</v>
      </c>
      <c r="I15" s="16">
        <f t="shared" si="2"/>
        <v>0</v>
      </c>
      <c r="J15" s="16"/>
    </row>
    <row r="16" spans="1:10" x14ac:dyDescent="0.25">
      <c r="A16" s="1" t="s">
        <v>16</v>
      </c>
      <c r="B16" s="1" t="s">
        <v>23</v>
      </c>
      <c r="C16" s="11"/>
      <c r="D16" s="11"/>
      <c r="E16" s="11"/>
      <c r="F16" s="11"/>
      <c r="G16" s="11">
        <f t="shared" si="0"/>
        <v>0</v>
      </c>
      <c r="H16" s="17">
        <f t="shared" si="1"/>
        <v>0</v>
      </c>
      <c r="I16" s="16">
        <f t="shared" si="2"/>
        <v>0</v>
      </c>
      <c r="J16" s="16"/>
    </row>
    <row r="17" spans="1:10" x14ac:dyDescent="0.25">
      <c r="A17" s="1" t="s">
        <v>16</v>
      </c>
      <c r="B17" s="1" t="s">
        <v>37</v>
      </c>
      <c r="C17" s="11"/>
      <c r="D17" s="11"/>
      <c r="E17" s="11"/>
      <c r="F17" s="11"/>
      <c r="G17" s="11">
        <f t="shared" si="0"/>
        <v>0</v>
      </c>
      <c r="H17" s="17">
        <f t="shared" si="1"/>
        <v>0</v>
      </c>
      <c r="I17" s="16">
        <f t="shared" si="2"/>
        <v>0</v>
      </c>
      <c r="J17" s="16"/>
    </row>
    <row r="18" spans="1:10" x14ac:dyDescent="0.25">
      <c r="A18" s="1" t="s">
        <v>44</v>
      </c>
      <c r="B18" s="1" t="s">
        <v>45</v>
      </c>
      <c r="C18" s="11">
        <v>460</v>
      </c>
      <c r="D18" s="11">
        <v>8930</v>
      </c>
      <c r="E18" s="11"/>
      <c r="F18" s="11"/>
      <c r="G18" s="11">
        <f t="shared" si="0"/>
        <v>9390</v>
      </c>
      <c r="H18" s="17">
        <f t="shared" si="1"/>
        <v>62.6</v>
      </c>
      <c r="I18" s="16">
        <f t="shared" si="2"/>
        <v>0.437</v>
      </c>
      <c r="J18" s="16">
        <f>ROUND(G18/9410-1,2)</f>
        <v>0</v>
      </c>
    </row>
    <row r="19" spans="1:10" x14ac:dyDescent="0.25">
      <c r="A19" s="1" t="s">
        <v>44</v>
      </c>
      <c r="B19" s="1" t="s">
        <v>46</v>
      </c>
      <c r="C19" s="11"/>
      <c r="D19" s="11"/>
      <c r="E19" s="11">
        <v>3000</v>
      </c>
      <c r="F19" s="11"/>
      <c r="G19" s="11">
        <f t="shared" si="0"/>
        <v>3000</v>
      </c>
      <c r="H19" s="17">
        <f t="shared" si="1"/>
        <v>20</v>
      </c>
      <c r="I19" s="16">
        <f t="shared" si="2"/>
        <v>0.14000000000000001</v>
      </c>
      <c r="J19" s="16">
        <f>ROUND(G19/2560-1,2)</f>
        <v>0.17</v>
      </c>
    </row>
    <row r="20" spans="1:10" x14ac:dyDescent="0.25">
      <c r="A20" s="1" t="s">
        <v>48</v>
      </c>
      <c r="B20" s="1" t="s">
        <v>51</v>
      </c>
      <c r="C20" s="11"/>
      <c r="D20" s="11"/>
      <c r="E20" s="11"/>
      <c r="F20" s="11"/>
      <c r="G20" s="11">
        <f t="shared" si="0"/>
        <v>0</v>
      </c>
      <c r="H20" s="17">
        <f t="shared" si="1"/>
        <v>0</v>
      </c>
      <c r="I20" s="16">
        <f t="shared" si="2"/>
        <v>0</v>
      </c>
      <c r="J20" s="16"/>
    </row>
    <row r="21" spans="1:10" x14ac:dyDescent="0.25">
      <c r="A21" s="21" t="s">
        <v>12</v>
      </c>
      <c r="B21" s="21"/>
      <c r="C21" s="12">
        <f t="shared" ref="C21:H21" si="3">SUM(C8:C20)</f>
        <v>460</v>
      </c>
      <c r="D21" s="12">
        <f t="shared" si="3"/>
        <v>17006</v>
      </c>
      <c r="E21" s="12">
        <f t="shared" si="3"/>
        <v>4000</v>
      </c>
      <c r="F21" s="12">
        <f t="shared" si="3"/>
        <v>0</v>
      </c>
      <c r="G21" s="12">
        <f t="shared" si="3"/>
        <v>21466</v>
      </c>
      <c r="H21" s="15">
        <f t="shared" si="3"/>
        <v>143.12</v>
      </c>
      <c r="I21" s="18"/>
      <c r="J21" s="18"/>
    </row>
    <row r="22" spans="1:10" x14ac:dyDescent="0.25">
      <c r="A22" s="21" t="s">
        <v>14</v>
      </c>
      <c r="B22" s="21"/>
      <c r="C22" s="13">
        <f>ROUND(C21/G21,2)</f>
        <v>0.02</v>
      </c>
      <c r="D22" s="13">
        <f>ROUND(D21/G21,2)</f>
        <v>0.79</v>
      </c>
      <c r="E22" s="13">
        <f>ROUND(E21/G21,2)</f>
        <v>0.19</v>
      </c>
      <c r="F22" s="13">
        <f>ROUND(F21/G21,2)</f>
        <v>0</v>
      </c>
      <c r="G22" s="14"/>
      <c r="H22" s="14"/>
      <c r="I22" s="18"/>
      <c r="J22" s="18"/>
    </row>
    <row r="23" spans="1:10" x14ac:dyDescent="0.25">
      <c r="A23" s="2" t="s">
        <v>52</v>
      </c>
      <c r="B23" s="2"/>
      <c r="C23" s="14"/>
      <c r="D23" s="14"/>
      <c r="E23" s="14"/>
      <c r="F23" s="14"/>
      <c r="G23" s="14"/>
      <c r="H23" s="14"/>
      <c r="I23" s="18"/>
      <c r="J23" s="18"/>
    </row>
    <row r="24" spans="1:10" x14ac:dyDescent="0.25">
      <c r="C24" s="9"/>
      <c r="D24" s="9"/>
      <c r="E24" s="9"/>
      <c r="F24" s="9"/>
      <c r="G24" s="9"/>
      <c r="H24" s="9"/>
      <c r="I24" s="10"/>
      <c r="J24" s="10"/>
    </row>
    <row r="25" spans="1:10" x14ac:dyDescent="0.25">
      <c r="C25" s="9"/>
      <c r="D25" s="9"/>
      <c r="E25" s="9"/>
      <c r="F25" s="9"/>
      <c r="G25" s="9"/>
      <c r="H25" s="9"/>
      <c r="I25" s="10"/>
      <c r="J25" s="10"/>
    </row>
    <row r="26" spans="1:10" x14ac:dyDescent="0.25">
      <c r="C26" s="9"/>
      <c r="D26" s="9"/>
      <c r="E26" s="9"/>
      <c r="F26" s="9"/>
      <c r="G26" s="9"/>
      <c r="H26" s="9"/>
      <c r="I26" s="10"/>
      <c r="J26" s="10"/>
    </row>
    <row r="27" spans="1:10" x14ac:dyDescent="0.25">
      <c r="A27" s="21" t="s">
        <v>53</v>
      </c>
      <c r="B27" s="21"/>
      <c r="C27" s="12" t="s">
        <v>8</v>
      </c>
      <c r="D27" s="12" t="s">
        <v>9</v>
      </c>
      <c r="E27" s="12" t="s">
        <v>10</v>
      </c>
      <c r="F27" s="12" t="s">
        <v>11</v>
      </c>
      <c r="G27" s="12" t="s">
        <v>12</v>
      </c>
      <c r="H27" s="15" t="s">
        <v>13</v>
      </c>
      <c r="I27" s="18"/>
      <c r="J27" s="18"/>
    </row>
    <row r="28" spans="1:10" x14ac:dyDescent="0.25">
      <c r="A28" s="20" t="s">
        <v>54</v>
      </c>
      <c r="B28" s="20"/>
      <c r="C28" s="11">
        <v>0</v>
      </c>
      <c r="D28" s="11">
        <v>8076</v>
      </c>
      <c r="E28" s="11">
        <v>1000</v>
      </c>
      <c r="F28" s="11">
        <v>0</v>
      </c>
      <c r="G28" s="11">
        <f>SUM(C28:F28)</f>
        <v>9076</v>
      </c>
      <c r="H28" s="17">
        <f>ROUND(G28/150,2)</f>
        <v>60.51</v>
      </c>
      <c r="I28" s="10"/>
      <c r="J28" s="10"/>
    </row>
    <row r="29" spans="1:10" x14ac:dyDescent="0.25">
      <c r="A29" s="20" t="s">
        <v>55</v>
      </c>
      <c r="B29" s="20"/>
      <c r="C29" s="11">
        <v>460</v>
      </c>
      <c r="D29" s="11">
        <v>8930</v>
      </c>
      <c r="E29" s="11">
        <v>3000</v>
      </c>
      <c r="F29" s="11">
        <v>0</v>
      </c>
      <c r="G29" s="11">
        <f>SUM(C29:F29)</f>
        <v>12390</v>
      </c>
      <c r="H29" s="17">
        <f>ROUND(G29/150,2)</f>
        <v>82.6</v>
      </c>
      <c r="I29" s="10"/>
      <c r="J29" s="10"/>
    </row>
    <row r="30" spans="1:10" x14ac:dyDescent="0.25">
      <c r="A30" s="20" t="s">
        <v>56</v>
      </c>
      <c r="B30" s="20"/>
      <c r="C30" s="11">
        <v>0</v>
      </c>
      <c r="D30" s="11">
        <v>0</v>
      </c>
      <c r="E30" s="11">
        <v>0</v>
      </c>
      <c r="F30" s="11">
        <v>0</v>
      </c>
      <c r="G30" s="11">
        <f>SUM(C30:F30)</f>
        <v>0</v>
      </c>
      <c r="H30" s="17">
        <f>ROUND(G30/150,2)</f>
        <v>0</v>
      </c>
      <c r="I30" s="10"/>
      <c r="J30" s="10"/>
    </row>
    <row r="31" spans="1:10" x14ac:dyDescent="0.25">
      <c r="C31" s="9"/>
      <c r="D31" s="9"/>
      <c r="E31" s="9"/>
      <c r="F31" s="9"/>
      <c r="G31" s="9"/>
      <c r="H31" s="9"/>
      <c r="I31" s="10"/>
      <c r="J31" s="10"/>
    </row>
    <row r="32" spans="1:10" x14ac:dyDescent="0.25">
      <c r="C32" s="9"/>
      <c r="D32" s="9"/>
      <c r="E32" s="9"/>
      <c r="F32" s="9"/>
      <c r="G32" s="9"/>
      <c r="H32" s="9"/>
      <c r="I32" s="10"/>
      <c r="J32" s="10"/>
    </row>
    <row r="33" spans="1:10" x14ac:dyDescent="0.25">
      <c r="C33" s="9"/>
      <c r="D33" s="9"/>
      <c r="E33" s="9"/>
      <c r="F33" s="9"/>
      <c r="G33" s="9"/>
      <c r="H33" s="9"/>
      <c r="I33" s="10"/>
      <c r="J33" s="10"/>
    </row>
    <row r="34" spans="1:10" x14ac:dyDescent="0.25">
      <c r="C34" s="9"/>
      <c r="D34" s="9"/>
      <c r="E34" s="9"/>
      <c r="F34" s="9"/>
      <c r="G34" s="9"/>
      <c r="H34" s="9"/>
      <c r="I34" s="10"/>
      <c r="J34" s="10"/>
    </row>
    <row r="35" spans="1:10" x14ac:dyDescent="0.25">
      <c r="A35" s="21" t="s">
        <v>57</v>
      </c>
      <c r="B35" s="21"/>
      <c r="C35" s="15" t="s">
        <v>2</v>
      </c>
      <c r="D35" s="15">
        <v>2023</v>
      </c>
      <c r="E35" s="15" t="s">
        <v>59</v>
      </c>
      <c r="F35" s="14"/>
      <c r="G35" s="15" t="s">
        <v>60</v>
      </c>
      <c r="H35" s="15" t="s">
        <v>2</v>
      </c>
      <c r="I35" s="13" t="s">
        <v>61</v>
      </c>
      <c r="J35" s="13" t="s">
        <v>59</v>
      </c>
    </row>
    <row r="36" spans="1:10" x14ac:dyDescent="0.25">
      <c r="A36" s="20" t="s">
        <v>58</v>
      </c>
      <c r="B36" s="20"/>
      <c r="C36" s="16">
        <f>ROUND(0.5475, 4)</f>
        <v>0.54749999999999999</v>
      </c>
      <c r="D36" s="16">
        <f>ROUND(0.5817, 4)</f>
        <v>0.58169999999999999</v>
      </c>
      <c r="E36" s="16">
        <f>ROUND(0.777, 4)</f>
        <v>0.77700000000000002</v>
      </c>
      <c r="F36" s="9"/>
      <c r="G36" s="15" t="s">
        <v>62</v>
      </c>
      <c r="H36" s="22" t="s">
        <v>63</v>
      </c>
      <c r="I36" s="24" t="s">
        <v>64</v>
      </c>
      <c r="J36" s="24" t="s">
        <v>65</v>
      </c>
    </row>
    <row r="37" spans="1:10" x14ac:dyDescent="0.25">
      <c r="A37" s="20" t="s">
        <v>66</v>
      </c>
      <c r="B37" s="20"/>
      <c r="C37" s="16">
        <f>ROUND(0.5024, 4)</f>
        <v>0.50239999999999996</v>
      </c>
      <c r="D37" s="16">
        <f>ROUND(0.5406, 4)</f>
        <v>0.54059999999999997</v>
      </c>
      <c r="E37" s="16">
        <f>ROUND(0.7608, 4)</f>
        <v>0.76080000000000003</v>
      </c>
      <c r="F37" s="9"/>
      <c r="G37" s="15" t="s">
        <v>67</v>
      </c>
      <c r="H37" s="23"/>
      <c r="I37" s="25"/>
      <c r="J37" s="25"/>
    </row>
    <row r="38" spans="1:10" x14ac:dyDescent="0.25">
      <c r="C38" s="9"/>
      <c r="D38" s="9"/>
      <c r="E38" s="9"/>
      <c r="F38" s="9"/>
      <c r="G38" s="9"/>
      <c r="H38" s="9"/>
      <c r="I38" s="10"/>
      <c r="J38" s="10"/>
    </row>
    <row r="39" spans="1:10" x14ac:dyDescent="0.25">
      <c r="C39" s="9"/>
      <c r="D39" s="9"/>
      <c r="E39" s="9"/>
      <c r="F39" s="9"/>
      <c r="G39" s="9"/>
      <c r="H39" s="9"/>
      <c r="I39" s="10"/>
      <c r="J39" s="10"/>
    </row>
    <row r="40" spans="1:10" x14ac:dyDescent="0.25">
      <c r="C40" s="9"/>
      <c r="D40" s="9"/>
      <c r="E40" s="9"/>
      <c r="F40" s="9"/>
      <c r="G40" s="9"/>
      <c r="H40" s="9"/>
      <c r="I40" s="10"/>
      <c r="J40" s="10"/>
    </row>
    <row r="41" spans="1:10" x14ac:dyDescent="0.25">
      <c r="A41" s="21" t="s">
        <v>68</v>
      </c>
      <c r="B41" s="21"/>
      <c r="C41" s="15" t="s">
        <v>2</v>
      </c>
      <c r="D41" s="15" t="s">
        <v>150</v>
      </c>
      <c r="E41" s="15" t="s">
        <v>70</v>
      </c>
      <c r="F41" s="15" t="s">
        <v>71</v>
      </c>
      <c r="G41" s="15" t="s">
        <v>72</v>
      </c>
      <c r="H41" s="14"/>
      <c r="I41" s="18"/>
      <c r="J41" s="18"/>
    </row>
    <row r="42" spans="1:10" x14ac:dyDescent="0.25">
      <c r="A42" s="20" t="s">
        <v>73</v>
      </c>
      <c r="B42" s="20"/>
      <c r="C42" s="17">
        <v>62.6</v>
      </c>
      <c r="D42" s="17">
        <v>170.88</v>
      </c>
      <c r="E42" s="17">
        <v>81.84</v>
      </c>
      <c r="F42" s="17">
        <v>48</v>
      </c>
      <c r="G42" s="17">
        <f>12/4*C42</f>
        <v>187.8</v>
      </c>
      <c r="H42" s="9"/>
      <c r="I42" s="10"/>
      <c r="J42" s="10"/>
    </row>
    <row r="43" spans="1:10" x14ac:dyDescent="0.25">
      <c r="A43" s="20" t="s">
        <v>74</v>
      </c>
      <c r="B43" s="20"/>
      <c r="C43" s="17"/>
      <c r="D43" s="17">
        <v>36.450000000000003</v>
      </c>
      <c r="E43" s="17">
        <v>55.63</v>
      </c>
      <c r="F43" s="17">
        <v>55.33</v>
      </c>
      <c r="G43" s="17">
        <f>12/4*C43</f>
        <v>0</v>
      </c>
      <c r="H43" s="9"/>
      <c r="I43" s="10"/>
      <c r="J43" s="10"/>
    </row>
    <row r="44" spans="1:10" x14ac:dyDescent="0.25">
      <c r="A44" s="20" t="s">
        <v>75</v>
      </c>
      <c r="B44" s="20"/>
      <c r="C44" s="17">
        <v>60.51</v>
      </c>
      <c r="D44" s="17">
        <v>247.09</v>
      </c>
      <c r="E44" s="17">
        <v>257.88</v>
      </c>
      <c r="F44" s="17">
        <v>242.78</v>
      </c>
      <c r="G44" s="17">
        <f>12/4*C44</f>
        <v>181.53</v>
      </c>
      <c r="H44" s="9"/>
      <c r="I44" s="10"/>
      <c r="J44" s="10"/>
    </row>
    <row r="45" spans="1:10" x14ac:dyDescent="0.25">
      <c r="A45" s="20" t="s">
        <v>76</v>
      </c>
      <c r="B45" s="20"/>
      <c r="C45" s="17">
        <v>82.6</v>
      </c>
      <c r="D45" s="17">
        <v>229.16</v>
      </c>
      <c r="E45" s="17">
        <v>103.14</v>
      </c>
      <c r="F45" s="17">
        <v>68.31</v>
      </c>
      <c r="G45" s="17">
        <f>12/4*C45</f>
        <v>247.79999999999998</v>
      </c>
      <c r="H45" s="9"/>
      <c r="I45" s="10"/>
      <c r="J45" s="10"/>
    </row>
    <row r="46" spans="1:10" x14ac:dyDescent="0.25">
      <c r="C46" s="9"/>
      <c r="D46" s="9"/>
      <c r="E46" s="9"/>
      <c r="F46" s="9"/>
      <c r="G46" s="9"/>
      <c r="H46" s="9"/>
      <c r="I46" s="10"/>
      <c r="J46" s="10"/>
    </row>
    <row r="47" spans="1:10" x14ac:dyDescent="0.25">
      <c r="C47" s="9"/>
      <c r="D47" s="9"/>
      <c r="E47" s="9"/>
      <c r="F47" s="9"/>
      <c r="G47" s="9"/>
      <c r="H47" s="9"/>
      <c r="I47" s="10"/>
      <c r="J47" s="10"/>
    </row>
    <row r="48" spans="1:10" x14ac:dyDescent="0.25">
      <c r="A48" s="19" t="s">
        <v>60</v>
      </c>
      <c r="B48" s="26"/>
      <c r="C48" s="9"/>
      <c r="D48" s="9"/>
      <c r="E48" s="9"/>
      <c r="F48" s="9"/>
      <c r="G48" s="9"/>
      <c r="H48" s="9"/>
      <c r="I48" s="10"/>
      <c r="J48" s="10"/>
    </row>
    <row r="49" spans="1:10" x14ac:dyDescent="0.25">
      <c r="A49" s="3" t="s">
        <v>77</v>
      </c>
      <c r="B49" s="1" t="s">
        <v>151</v>
      </c>
      <c r="C49" s="9"/>
      <c r="D49" s="9"/>
      <c r="E49" s="9"/>
      <c r="F49" s="9"/>
      <c r="G49" s="9"/>
      <c r="H49" s="9"/>
      <c r="I49" s="10"/>
      <c r="J49" s="10"/>
    </row>
    <row r="50" spans="1:10" x14ac:dyDescent="0.25">
      <c r="A50" s="3" t="s">
        <v>70</v>
      </c>
      <c r="B50" s="1" t="s">
        <v>79</v>
      </c>
      <c r="C50" s="9"/>
      <c r="D50" s="9"/>
      <c r="E50" s="9"/>
      <c r="F50" s="9"/>
      <c r="G50" s="9"/>
      <c r="H50" s="9"/>
      <c r="I50" s="10"/>
      <c r="J50" s="10"/>
    </row>
    <row r="51" spans="1:10" x14ac:dyDescent="0.25">
      <c r="A51" s="3" t="s">
        <v>71</v>
      </c>
      <c r="B51" s="1" t="s">
        <v>80</v>
      </c>
      <c r="C51" s="9"/>
      <c r="D51" s="9"/>
      <c r="E51" s="9"/>
      <c r="F51" s="9"/>
      <c r="G51" s="9"/>
      <c r="H51" s="9"/>
      <c r="I51" s="10"/>
      <c r="J51" s="10"/>
    </row>
    <row r="52" spans="1:10" x14ac:dyDescent="0.25">
      <c r="A52" s="3" t="s">
        <v>72</v>
      </c>
      <c r="B52" s="1" t="s">
        <v>81</v>
      </c>
      <c r="C52" s="9"/>
      <c r="D52" s="9"/>
      <c r="E52" s="9"/>
      <c r="F52" s="9"/>
      <c r="G52" s="9"/>
      <c r="H52" s="9"/>
      <c r="I52" s="10"/>
      <c r="J52" s="10"/>
    </row>
    <row r="53" spans="1:10" x14ac:dyDescent="0.25">
      <c r="C53" s="9"/>
      <c r="D53" s="9"/>
      <c r="E53" s="9"/>
      <c r="F53" s="9"/>
      <c r="G53" s="9"/>
      <c r="H53" s="9"/>
      <c r="I53" s="10"/>
      <c r="J53" s="10"/>
    </row>
    <row r="54" spans="1:10" x14ac:dyDescent="0.25">
      <c r="C54" s="9"/>
      <c r="D54" s="9"/>
      <c r="E54" s="9"/>
      <c r="F54" s="9"/>
      <c r="G54" s="9"/>
      <c r="H54" s="9"/>
      <c r="I54" s="10"/>
      <c r="J54" s="10"/>
    </row>
    <row r="55" spans="1:10" x14ac:dyDescent="0.25">
      <c r="C55" s="9"/>
      <c r="D55" s="9"/>
      <c r="E55" s="9"/>
      <c r="F55" s="9"/>
      <c r="G55" s="9"/>
      <c r="H55" s="9"/>
      <c r="I55" s="10"/>
      <c r="J55" s="10"/>
    </row>
    <row r="56" spans="1:10" x14ac:dyDescent="0.25">
      <c r="C56" s="9"/>
      <c r="D56" s="9"/>
      <c r="E56" s="9"/>
      <c r="F56" s="9"/>
      <c r="G56" s="9"/>
      <c r="H56" s="9"/>
      <c r="I56" s="10"/>
      <c r="J56" s="10"/>
    </row>
    <row r="57" spans="1:10" x14ac:dyDescent="0.25">
      <c r="C57" s="9"/>
      <c r="D57" s="9"/>
      <c r="E57" s="9"/>
      <c r="F57" s="9"/>
      <c r="G57" s="9"/>
      <c r="H57" s="9"/>
      <c r="I57" s="10"/>
      <c r="J57" s="10"/>
    </row>
    <row r="58" spans="1:10" x14ac:dyDescent="0.25">
      <c r="C58" s="9"/>
      <c r="D58" s="9"/>
      <c r="E58" s="9"/>
      <c r="F58" s="9"/>
      <c r="G58" s="9"/>
      <c r="H58" s="9"/>
      <c r="I58" s="10"/>
      <c r="J58" s="10"/>
    </row>
    <row r="59" spans="1:10" x14ac:dyDescent="0.25">
      <c r="C59" s="9"/>
      <c r="D59" s="9"/>
      <c r="E59" s="9"/>
      <c r="F59" s="9"/>
      <c r="G59" s="9"/>
      <c r="H59" s="9"/>
      <c r="I59" s="10"/>
      <c r="J59" s="10"/>
    </row>
    <row r="60" spans="1:10" x14ac:dyDescent="0.25">
      <c r="C60" s="9"/>
      <c r="D60" s="9"/>
      <c r="E60" s="9"/>
      <c r="F60" s="9"/>
      <c r="G60" s="9"/>
      <c r="H60" s="9"/>
      <c r="I60" s="10"/>
      <c r="J60" s="10"/>
    </row>
    <row r="61" spans="1:10" x14ac:dyDescent="0.25">
      <c r="C61" s="9"/>
      <c r="D61" s="9"/>
      <c r="E61" s="9"/>
      <c r="F61" s="9"/>
      <c r="G61" s="9"/>
      <c r="H61" s="9"/>
      <c r="I61" s="10"/>
      <c r="J61" s="10"/>
    </row>
    <row r="62" spans="1:10" x14ac:dyDescent="0.25">
      <c r="C62" s="9"/>
      <c r="D62" s="9"/>
      <c r="E62" s="9"/>
      <c r="F62" s="9"/>
      <c r="G62" s="9"/>
      <c r="H62" s="9"/>
      <c r="I62" s="10"/>
      <c r="J62" s="10"/>
    </row>
    <row r="63" spans="1:10" x14ac:dyDescent="0.25">
      <c r="C63" s="9"/>
      <c r="D63" s="9"/>
      <c r="E63" s="9"/>
      <c r="F63" s="9"/>
      <c r="G63" s="9"/>
      <c r="H63" s="9"/>
      <c r="I63" s="10"/>
      <c r="J63" s="10"/>
    </row>
    <row r="64" spans="1:10" x14ac:dyDescent="0.25">
      <c r="C64" s="9"/>
      <c r="D64" s="9"/>
      <c r="E64" s="9"/>
      <c r="F64" s="9"/>
      <c r="G64" s="9"/>
      <c r="H64" s="9"/>
      <c r="I64" s="10"/>
      <c r="J64" s="10"/>
    </row>
    <row r="65" spans="3:10" x14ac:dyDescent="0.25">
      <c r="C65" s="9"/>
      <c r="D65" s="9"/>
      <c r="E65" s="9"/>
      <c r="F65" s="9"/>
      <c r="G65" s="9"/>
      <c r="H65" s="9"/>
      <c r="I65" s="10"/>
      <c r="J65" s="10"/>
    </row>
    <row r="66" spans="3:10" x14ac:dyDescent="0.25">
      <c r="C66" s="9"/>
      <c r="D66" s="9"/>
      <c r="E66" s="9"/>
      <c r="F66" s="9"/>
      <c r="G66" s="9"/>
      <c r="H66" s="9"/>
      <c r="I66" s="10"/>
      <c r="J66" s="10"/>
    </row>
    <row r="67" spans="3:10" x14ac:dyDescent="0.25">
      <c r="C67" s="9"/>
      <c r="D67" s="9"/>
      <c r="E67" s="9"/>
      <c r="F67" s="9"/>
      <c r="G67" s="9"/>
      <c r="H67" s="9"/>
      <c r="I67" s="10"/>
      <c r="J67" s="10"/>
    </row>
    <row r="68" spans="3:10" x14ac:dyDescent="0.25">
      <c r="C68" s="9"/>
      <c r="D68" s="9"/>
      <c r="E68" s="9"/>
      <c r="F68" s="9"/>
      <c r="G68" s="9"/>
      <c r="H68" s="9"/>
      <c r="I68" s="10"/>
      <c r="J68" s="10"/>
    </row>
    <row r="69" spans="3:10" x14ac:dyDescent="0.25">
      <c r="C69" s="9"/>
      <c r="D69" s="9"/>
      <c r="E69" s="9"/>
      <c r="F69" s="9"/>
      <c r="G69" s="9"/>
      <c r="H69" s="9"/>
      <c r="I69" s="10"/>
      <c r="J69" s="10"/>
    </row>
    <row r="70" spans="3:10" x14ac:dyDescent="0.25">
      <c r="C70" s="9"/>
      <c r="D70" s="9"/>
      <c r="E70" s="9"/>
      <c r="F70" s="9"/>
      <c r="G70" s="9"/>
      <c r="H70" s="9"/>
      <c r="I70" s="10"/>
      <c r="J70" s="10"/>
    </row>
    <row r="71" spans="3:10" x14ac:dyDescent="0.25">
      <c r="C71" s="9"/>
      <c r="D71" s="9"/>
      <c r="E71" s="9"/>
      <c r="F71" s="9"/>
      <c r="G71" s="9"/>
      <c r="H71" s="9"/>
      <c r="I71" s="10"/>
      <c r="J71" s="10"/>
    </row>
    <row r="72" spans="3:10" x14ac:dyDescent="0.25">
      <c r="C72" s="9"/>
      <c r="D72" s="9"/>
      <c r="E72" s="9"/>
      <c r="F72" s="9"/>
      <c r="G72" s="9"/>
      <c r="H72" s="9"/>
      <c r="I72" s="10"/>
      <c r="J72" s="10"/>
    </row>
    <row r="73" spans="3:10" x14ac:dyDescent="0.25">
      <c r="C73" s="9"/>
      <c r="D73" s="9"/>
      <c r="E73" s="9"/>
      <c r="F73" s="9"/>
      <c r="G73" s="9"/>
      <c r="H73" s="9"/>
      <c r="I73" s="10"/>
      <c r="J73" s="10"/>
    </row>
  </sheetData>
  <mergeCells count="19">
    <mergeCell ref="A43:B43"/>
    <mergeCell ref="A44:B44"/>
    <mergeCell ref="A45:B45"/>
    <mergeCell ref="A48:B48"/>
    <mergeCell ref="I36:I37"/>
    <mergeCell ref="J36:J37"/>
    <mergeCell ref="A37:B37"/>
    <mergeCell ref="A41:B41"/>
    <mergeCell ref="A42:B42"/>
    <mergeCell ref="A29:B29"/>
    <mergeCell ref="A30:B30"/>
    <mergeCell ref="A35:B35"/>
    <mergeCell ref="A36:B36"/>
    <mergeCell ref="H36:H37"/>
    <mergeCell ref="C7:G7"/>
    <mergeCell ref="A21:B21"/>
    <mergeCell ref="A22:B22"/>
    <mergeCell ref="A27:B27"/>
    <mergeCell ref="A28:B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74"/>
  <sheetViews>
    <sheetView topLeftCell="A24" zoomScale="80" zoomScaleNormal="80" workbookViewId="0">
      <selection activeCell="C65" sqref="C65"/>
    </sheetView>
  </sheetViews>
  <sheetFormatPr defaultRowHeight="15" x14ac:dyDescent="0.25"/>
  <cols>
    <col min="1" max="1" width="38.85546875" bestFit="1" customWidth="1"/>
    <col min="2" max="2" width="79" bestFit="1" customWidth="1"/>
    <col min="3" max="3" width="14" bestFit="1" customWidth="1"/>
    <col min="4" max="4" width="23.42578125" bestFit="1" customWidth="1"/>
    <col min="5" max="5" width="16.42578125" bestFit="1" customWidth="1"/>
    <col min="6" max="6" width="10.5703125" bestFit="1" customWidth="1"/>
    <col min="7" max="7" width="68.28515625" bestFit="1" customWidth="1"/>
    <col min="8" max="9" width="20" bestFit="1" customWidth="1"/>
    <col min="10" max="10" width="30.5703125" bestFit="1" customWidth="1"/>
  </cols>
  <sheetData>
    <row r="2" spans="1:10" ht="18.75" x14ac:dyDescent="0.3">
      <c r="A2" s="3" t="s">
        <v>0</v>
      </c>
      <c r="B2" s="4" t="s">
        <v>82</v>
      </c>
    </row>
    <row r="3" spans="1:10" x14ac:dyDescent="0.25">
      <c r="A3" s="3" t="s">
        <v>2</v>
      </c>
      <c r="B3" s="1" t="s">
        <v>3</v>
      </c>
    </row>
    <row r="4" spans="1:10" x14ac:dyDescent="0.25">
      <c r="A4" s="3" t="s">
        <v>4</v>
      </c>
      <c r="B4" s="1">
        <v>894</v>
      </c>
    </row>
    <row r="7" spans="1:10" x14ac:dyDescent="0.25">
      <c r="C7" s="19" t="s">
        <v>5</v>
      </c>
      <c r="D7" s="20"/>
      <c r="E7" s="20"/>
      <c r="F7" s="20"/>
      <c r="G7" s="20"/>
    </row>
    <row r="8" spans="1:10" x14ac:dyDescent="0.25">
      <c r="A8" s="3" t="s">
        <v>6</v>
      </c>
      <c r="B8" s="3" t="s">
        <v>7</v>
      </c>
      <c r="C8" s="3" t="s">
        <v>8</v>
      </c>
      <c r="D8" s="3" t="s">
        <v>9</v>
      </c>
      <c r="E8" s="3" t="s">
        <v>10</v>
      </c>
      <c r="F8" s="3" t="s">
        <v>11</v>
      </c>
      <c r="G8" s="3" t="s">
        <v>12</v>
      </c>
      <c r="H8" s="3" t="s">
        <v>13</v>
      </c>
      <c r="I8" s="3" t="s">
        <v>14</v>
      </c>
      <c r="J8" s="3" t="s">
        <v>15</v>
      </c>
    </row>
    <row r="9" spans="1:10" x14ac:dyDescent="0.25">
      <c r="A9" s="1" t="s">
        <v>16</v>
      </c>
      <c r="B9" s="1" t="s">
        <v>17</v>
      </c>
      <c r="C9" s="11"/>
      <c r="D9" s="11"/>
      <c r="E9" s="11">
        <v>2</v>
      </c>
      <c r="F9" s="11"/>
      <c r="G9" s="11">
        <f t="shared" ref="G9:G36" si="0">SUM(C9:F9)</f>
        <v>2</v>
      </c>
      <c r="H9" s="17">
        <f t="shared" ref="H9:H36" si="1">ROUND(G9/894,2)</f>
        <v>0</v>
      </c>
      <c r="I9" s="16">
        <f t="shared" ref="I9:I36" si="2">ROUND(G9/$G$37,3)</f>
        <v>0</v>
      </c>
      <c r="J9" s="16"/>
    </row>
    <row r="10" spans="1:10" x14ac:dyDescent="0.25">
      <c r="A10" s="1" t="s">
        <v>16</v>
      </c>
      <c r="B10" s="1" t="s">
        <v>19</v>
      </c>
      <c r="C10" s="11">
        <v>8750</v>
      </c>
      <c r="D10" s="11"/>
      <c r="E10" s="11">
        <v>2133</v>
      </c>
      <c r="F10" s="11"/>
      <c r="G10" s="11">
        <f t="shared" si="0"/>
        <v>10883</v>
      </c>
      <c r="H10" s="17">
        <f t="shared" si="1"/>
        <v>12.17</v>
      </c>
      <c r="I10" s="16">
        <f t="shared" si="2"/>
        <v>8.8999999999999996E-2</v>
      </c>
      <c r="J10" s="16">
        <f>ROUND(G10/8058.2-1,2)</f>
        <v>0.35</v>
      </c>
    </row>
    <row r="11" spans="1:10" x14ac:dyDescent="0.25">
      <c r="A11" s="1" t="s">
        <v>16</v>
      </c>
      <c r="B11" s="1" t="s">
        <v>20</v>
      </c>
      <c r="C11" s="11">
        <v>13345</v>
      </c>
      <c r="D11" s="11"/>
      <c r="E11" s="11"/>
      <c r="F11" s="11"/>
      <c r="G11" s="11">
        <f t="shared" si="0"/>
        <v>13345</v>
      </c>
      <c r="H11" s="17">
        <f t="shared" si="1"/>
        <v>14.93</v>
      </c>
      <c r="I11" s="16">
        <f t="shared" si="2"/>
        <v>0.109</v>
      </c>
      <c r="J11" s="16">
        <f>ROUND(G11/10775-1,2)</f>
        <v>0.24</v>
      </c>
    </row>
    <row r="12" spans="1:10" x14ac:dyDescent="0.25">
      <c r="A12" s="1" t="s">
        <v>16</v>
      </c>
      <c r="B12" s="1" t="s">
        <v>21</v>
      </c>
      <c r="C12" s="11"/>
      <c r="D12" s="11"/>
      <c r="E12" s="11">
        <v>60</v>
      </c>
      <c r="F12" s="11"/>
      <c r="G12" s="11">
        <f t="shared" si="0"/>
        <v>60</v>
      </c>
      <c r="H12" s="17">
        <f t="shared" si="1"/>
        <v>7.0000000000000007E-2</v>
      </c>
      <c r="I12" s="16">
        <f t="shared" si="2"/>
        <v>0</v>
      </c>
      <c r="J12" s="16">
        <f>ROUND(G12/70-1,2)</f>
        <v>-0.14000000000000001</v>
      </c>
    </row>
    <row r="13" spans="1:10" x14ac:dyDescent="0.25">
      <c r="A13" s="1" t="s">
        <v>16</v>
      </c>
      <c r="B13" s="1" t="s">
        <v>22</v>
      </c>
      <c r="C13" s="11"/>
      <c r="D13" s="11"/>
      <c r="E13" s="11">
        <v>616</v>
      </c>
      <c r="F13" s="11"/>
      <c r="G13" s="11">
        <f t="shared" si="0"/>
        <v>616</v>
      </c>
      <c r="H13" s="17">
        <f t="shared" si="1"/>
        <v>0.69</v>
      </c>
      <c r="I13" s="16">
        <f t="shared" si="2"/>
        <v>5.0000000000000001E-3</v>
      </c>
      <c r="J13" s="16"/>
    </row>
    <row r="14" spans="1:10" x14ac:dyDescent="0.25">
      <c r="A14" s="1" t="s">
        <v>16</v>
      </c>
      <c r="B14" s="1" t="s">
        <v>23</v>
      </c>
      <c r="C14" s="11"/>
      <c r="D14" s="11"/>
      <c r="E14" s="11">
        <v>9901</v>
      </c>
      <c r="F14" s="11"/>
      <c r="G14" s="11">
        <f t="shared" si="0"/>
        <v>9901</v>
      </c>
      <c r="H14" s="17">
        <f t="shared" si="1"/>
        <v>11.07</v>
      </c>
      <c r="I14" s="16">
        <f t="shared" si="2"/>
        <v>8.1000000000000003E-2</v>
      </c>
      <c r="J14" s="16">
        <f>ROUND(G14/1276.45-1,2)</f>
        <v>6.76</v>
      </c>
    </row>
    <row r="15" spans="1:10" x14ac:dyDescent="0.25">
      <c r="A15" s="1" t="s">
        <v>16</v>
      </c>
      <c r="B15" s="1" t="s">
        <v>24</v>
      </c>
      <c r="C15" s="11">
        <v>9150</v>
      </c>
      <c r="D15" s="11"/>
      <c r="E15" s="11">
        <v>5128</v>
      </c>
      <c r="F15" s="11"/>
      <c r="G15" s="11">
        <f t="shared" si="0"/>
        <v>14278</v>
      </c>
      <c r="H15" s="17">
        <f t="shared" si="1"/>
        <v>15.97</v>
      </c>
      <c r="I15" s="16">
        <f t="shared" si="2"/>
        <v>0.11600000000000001</v>
      </c>
      <c r="J15" s="16">
        <f>ROUND(G15/10808.35-1,2)</f>
        <v>0.32</v>
      </c>
    </row>
    <row r="16" spans="1:10" x14ac:dyDescent="0.25">
      <c r="A16" s="1" t="s">
        <v>16</v>
      </c>
      <c r="B16" s="1" t="s">
        <v>25</v>
      </c>
      <c r="C16" s="11"/>
      <c r="D16" s="11"/>
      <c r="E16" s="11">
        <v>1022</v>
      </c>
      <c r="F16" s="11"/>
      <c r="G16" s="11">
        <f t="shared" si="0"/>
        <v>1022</v>
      </c>
      <c r="H16" s="17">
        <f t="shared" si="1"/>
        <v>1.1399999999999999</v>
      </c>
      <c r="I16" s="16">
        <f t="shared" si="2"/>
        <v>8.0000000000000002E-3</v>
      </c>
      <c r="J16" s="16"/>
    </row>
    <row r="17" spans="1:10" x14ac:dyDescent="0.25">
      <c r="A17" s="1" t="s">
        <v>16</v>
      </c>
      <c r="B17" s="1" t="s">
        <v>26</v>
      </c>
      <c r="C17" s="11">
        <v>9900</v>
      </c>
      <c r="D17" s="11"/>
      <c r="E17" s="11"/>
      <c r="F17" s="11"/>
      <c r="G17" s="11">
        <f t="shared" si="0"/>
        <v>9900</v>
      </c>
      <c r="H17" s="17">
        <f t="shared" si="1"/>
        <v>11.07</v>
      </c>
      <c r="I17" s="16">
        <f t="shared" si="2"/>
        <v>8.1000000000000003E-2</v>
      </c>
      <c r="J17" s="16">
        <f>ROUND(G17/10000-1,2)</f>
        <v>-0.01</v>
      </c>
    </row>
    <row r="18" spans="1:10" x14ac:dyDescent="0.25">
      <c r="A18" s="1" t="s">
        <v>16</v>
      </c>
      <c r="B18" s="1" t="s">
        <v>27</v>
      </c>
      <c r="C18" s="11"/>
      <c r="D18" s="11"/>
      <c r="E18" s="11">
        <v>104</v>
      </c>
      <c r="F18" s="11"/>
      <c r="G18" s="11">
        <f t="shared" si="0"/>
        <v>104</v>
      </c>
      <c r="H18" s="17">
        <f t="shared" si="1"/>
        <v>0.12</v>
      </c>
      <c r="I18" s="16">
        <f t="shared" si="2"/>
        <v>1E-3</v>
      </c>
      <c r="J18" s="16"/>
    </row>
    <row r="19" spans="1:10" x14ac:dyDescent="0.25">
      <c r="A19" s="1" t="s">
        <v>16</v>
      </c>
      <c r="B19" s="1" t="s">
        <v>28</v>
      </c>
      <c r="C19" s="11"/>
      <c r="D19" s="11"/>
      <c r="E19" s="11">
        <v>69</v>
      </c>
      <c r="F19" s="11"/>
      <c r="G19" s="11">
        <f t="shared" si="0"/>
        <v>69</v>
      </c>
      <c r="H19" s="17">
        <f t="shared" si="1"/>
        <v>0.08</v>
      </c>
      <c r="I19" s="16">
        <f t="shared" si="2"/>
        <v>1E-3</v>
      </c>
      <c r="J19" s="16"/>
    </row>
    <row r="20" spans="1:10" x14ac:dyDescent="0.25">
      <c r="A20" s="1" t="s">
        <v>16</v>
      </c>
      <c r="B20" s="1" t="s">
        <v>29</v>
      </c>
      <c r="C20" s="11"/>
      <c r="D20" s="11"/>
      <c r="E20" s="11">
        <v>91</v>
      </c>
      <c r="F20" s="11"/>
      <c r="G20" s="11">
        <f t="shared" si="0"/>
        <v>91</v>
      </c>
      <c r="H20" s="17">
        <f t="shared" si="1"/>
        <v>0.1</v>
      </c>
      <c r="I20" s="16">
        <f t="shared" si="2"/>
        <v>1E-3</v>
      </c>
      <c r="J20" s="16">
        <f>ROUND(G20/70.97-1,2)</f>
        <v>0.28000000000000003</v>
      </c>
    </row>
    <row r="21" spans="1:10" x14ac:dyDescent="0.25">
      <c r="A21" s="1" t="s">
        <v>16</v>
      </c>
      <c r="B21" s="1" t="s">
        <v>31</v>
      </c>
      <c r="C21" s="11"/>
      <c r="D21" s="11"/>
      <c r="E21" s="11">
        <v>325</v>
      </c>
      <c r="F21" s="11"/>
      <c r="G21" s="11">
        <f t="shared" si="0"/>
        <v>325</v>
      </c>
      <c r="H21" s="17">
        <f t="shared" si="1"/>
        <v>0.36</v>
      </c>
      <c r="I21" s="16">
        <f t="shared" si="2"/>
        <v>3.0000000000000001E-3</v>
      </c>
      <c r="J21" s="16"/>
    </row>
    <row r="22" spans="1:10" x14ac:dyDescent="0.25">
      <c r="A22" s="1" t="s">
        <v>16</v>
      </c>
      <c r="B22" s="1" t="s">
        <v>32</v>
      </c>
      <c r="C22" s="11"/>
      <c r="D22" s="11"/>
      <c r="E22" s="11">
        <v>47</v>
      </c>
      <c r="F22" s="11"/>
      <c r="G22" s="11">
        <f t="shared" si="0"/>
        <v>47</v>
      </c>
      <c r="H22" s="17">
        <f t="shared" si="1"/>
        <v>0.05</v>
      </c>
      <c r="I22" s="16">
        <f t="shared" si="2"/>
        <v>0</v>
      </c>
      <c r="J22" s="16"/>
    </row>
    <row r="23" spans="1:10" x14ac:dyDescent="0.25">
      <c r="A23" s="1" t="s">
        <v>16</v>
      </c>
      <c r="B23" s="1" t="s">
        <v>35</v>
      </c>
      <c r="C23" s="11"/>
      <c r="D23" s="11"/>
      <c r="E23" s="11">
        <v>14095</v>
      </c>
      <c r="F23" s="11"/>
      <c r="G23" s="11">
        <f t="shared" si="0"/>
        <v>14095</v>
      </c>
      <c r="H23" s="17">
        <f t="shared" si="1"/>
        <v>15.77</v>
      </c>
      <c r="I23" s="16">
        <f t="shared" si="2"/>
        <v>0.115</v>
      </c>
      <c r="J23" s="16">
        <f>ROUND(G23/4738.86-1,2)</f>
        <v>1.97</v>
      </c>
    </row>
    <row r="24" spans="1:10" x14ac:dyDescent="0.25">
      <c r="A24" s="1" t="s">
        <v>16</v>
      </c>
      <c r="B24" s="1" t="s">
        <v>37</v>
      </c>
      <c r="C24" s="11"/>
      <c r="D24" s="11"/>
      <c r="E24" s="11">
        <v>4393</v>
      </c>
      <c r="F24" s="11"/>
      <c r="G24" s="11">
        <f t="shared" si="0"/>
        <v>4393</v>
      </c>
      <c r="H24" s="17">
        <f t="shared" si="1"/>
        <v>4.91</v>
      </c>
      <c r="I24" s="16">
        <f t="shared" si="2"/>
        <v>3.5999999999999997E-2</v>
      </c>
      <c r="J24" s="16">
        <f>ROUND(G24/1896.24-1,2)</f>
        <v>1.32</v>
      </c>
    </row>
    <row r="25" spans="1:10" x14ac:dyDescent="0.25">
      <c r="A25" s="1" t="s">
        <v>16</v>
      </c>
      <c r="B25" s="1" t="s">
        <v>38</v>
      </c>
      <c r="C25" s="11"/>
      <c r="D25" s="11"/>
      <c r="E25" s="11">
        <v>6213</v>
      </c>
      <c r="F25" s="11"/>
      <c r="G25" s="11">
        <f t="shared" si="0"/>
        <v>6213</v>
      </c>
      <c r="H25" s="17">
        <f t="shared" si="1"/>
        <v>6.95</v>
      </c>
      <c r="I25" s="16">
        <f t="shared" si="2"/>
        <v>5.0999999999999997E-2</v>
      </c>
      <c r="J25" s="16">
        <f>ROUND(G25/316.22-1,2)</f>
        <v>18.649999999999999</v>
      </c>
    </row>
    <row r="26" spans="1:10" x14ac:dyDescent="0.25">
      <c r="A26" s="1" t="s">
        <v>16</v>
      </c>
      <c r="B26" s="1" t="s">
        <v>40</v>
      </c>
      <c r="C26" s="11"/>
      <c r="D26" s="11"/>
      <c r="E26" s="11"/>
      <c r="F26" s="11"/>
      <c r="G26" s="11">
        <f t="shared" si="0"/>
        <v>0</v>
      </c>
      <c r="H26" s="17">
        <f t="shared" si="1"/>
        <v>0</v>
      </c>
      <c r="I26" s="16">
        <f t="shared" si="2"/>
        <v>0</v>
      </c>
      <c r="J26" s="16">
        <f>ROUND(G26/476.07-1,2)</f>
        <v>-1</v>
      </c>
    </row>
    <row r="27" spans="1:10" x14ac:dyDescent="0.25">
      <c r="A27" s="1" t="s">
        <v>16</v>
      </c>
      <c r="B27" s="1" t="s">
        <v>42</v>
      </c>
      <c r="C27" s="11"/>
      <c r="D27" s="11"/>
      <c r="E27" s="11"/>
      <c r="F27" s="11"/>
      <c r="G27" s="11">
        <f t="shared" si="0"/>
        <v>0</v>
      </c>
      <c r="H27" s="17">
        <f t="shared" si="1"/>
        <v>0</v>
      </c>
      <c r="I27" s="16">
        <f t="shared" si="2"/>
        <v>0</v>
      </c>
      <c r="J27" s="16">
        <f>ROUND(G27/208.86-1,2)</f>
        <v>-1</v>
      </c>
    </row>
    <row r="28" spans="1:10" x14ac:dyDescent="0.25">
      <c r="A28" s="1" t="s">
        <v>16</v>
      </c>
      <c r="B28" s="1" t="s">
        <v>41</v>
      </c>
      <c r="C28" s="11"/>
      <c r="D28" s="11"/>
      <c r="E28" s="11"/>
      <c r="F28" s="11"/>
      <c r="G28" s="11">
        <f t="shared" si="0"/>
        <v>0</v>
      </c>
      <c r="H28" s="17">
        <f t="shared" si="1"/>
        <v>0</v>
      </c>
      <c r="I28" s="16">
        <f t="shared" si="2"/>
        <v>0</v>
      </c>
      <c r="J28" s="16">
        <f>ROUND(G28/425.81-1,2)</f>
        <v>-1</v>
      </c>
    </row>
    <row r="29" spans="1:10" x14ac:dyDescent="0.25">
      <c r="A29" s="1" t="s">
        <v>16</v>
      </c>
      <c r="B29" s="1" t="s">
        <v>39</v>
      </c>
      <c r="C29" s="11"/>
      <c r="D29" s="11"/>
      <c r="E29" s="11"/>
      <c r="F29" s="11"/>
      <c r="G29" s="11">
        <f t="shared" si="0"/>
        <v>0</v>
      </c>
      <c r="H29" s="17">
        <f t="shared" si="1"/>
        <v>0</v>
      </c>
      <c r="I29" s="16">
        <f t="shared" si="2"/>
        <v>0</v>
      </c>
      <c r="J29" s="16">
        <f>ROUND(G29/7.45-1,2)</f>
        <v>-1</v>
      </c>
    </row>
    <row r="30" spans="1:10" x14ac:dyDescent="0.25">
      <c r="A30" s="1" t="s">
        <v>16</v>
      </c>
      <c r="B30" s="1" t="s">
        <v>30</v>
      </c>
      <c r="C30" s="11"/>
      <c r="D30" s="11"/>
      <c r="E30" s="11"/>
      <c r="F30" s="11"/>
      <c r="G30" s="11">
        <f t="shared" si="0"/>
        <v>0</v>
      </c>
      <c r="H30" s="17">
        <f t="shared" si="1"/>
        <v>0</v>
      </c>
      <c r="I30" s="16">
        <f t="shared" si="2"/>
        <v>0</v>
      </c>
      <c r="J30" s="16"/>
    </row>
    <row r="31" spans="1:10" x14ac:dyDescent="0.25">
      <c r="A31" s="1" t="s">
        <v>16</v>
      </c>
      <c r="B31" s="1" t="s">
        <v>34</v>
      </c>
      <c r="C31" s="11"/>
      <c r="D31" s="11"/>
      <c r="E31" s="11"/>
      <c r="F31" s="11"/>
      <c r="G31" s="11">
        <f t="shared" si="0"/>
        <v>0</v>
      </c>
      <c r="H31" s="17">
        <f t="shared" si="1"/>
        <v>0</v>
      </c>
      <c r="I31" s="16">
        <f t="shared" si="2"/>
        <v>0</v>
      </c>
      <c r="J31" s="16"/>
    </row>
    <row r="32" spans="1:10" x14ac:dyDescent="0.25">
      <c r="A32" s="1" t="s">
        <v>16</v>
      </c>
      <c r="B32" s="1" t="s">
        <v>36</v>
      </c>
      <c r="C32" s="11"/>
      <c r="D32" s="11"/>
      <c r="E32" s="11"/>
      <c r="F32" s="11"/>
      <c r="G32" s="11">
        <f t="shared" si="0"/>
        <v>0</v>
      </c>
      <c r="H32" s="17">
        <f t="shared" si="1"/>
        <v>0</v>
      </c>
      <c r="I32" s="16">
        <f t="shared" si="2"/>
        <v>0</v>
      </c>
      <c r="J32" s="16"/>
    </row>
    <row r="33" spans="1:10" x14ac:dyDescent="0.25">
      <c r="A33" s="1" t="s">
        <v>44</v>
      </c>
      <c r="B33" s="1" t="s">
        <v>45</v>
      </c>
      <c r="C33" s="11">
        <v>28950</v>
      </c>
      <c r="D33" s="11"/>
      <c r="E33" s="11"/>
      <c r="F33" s="11"/>
      <c r="G33" s="11">
        <f t="shared" si="0"/>
        <v>28950</v>
      </c>
      <c r="H33" s="17">
        <f t="shared" si="1"/>
        <v>32.380000000000003</v>
      </c>
      <c r="I33" s="16">
        <f t="shared" si="2"/>
        <v>0.23599999999999999</v>
      </c>
      <c r="J33" s="16">
        <f>ROUND(G33/26550-1,2)</f>
        <v>0.09</v>
      </c>
    </row>
    <row r="34" spans="1:10" x14ac:dyDescent="0.25">
      <c r="A34" s="1" t="s">
        <v>44</v>
      </c>
      <c r="B34" s="1" t="s">
        <v>46</v>
      </c>
      <c r="C34" s="11"/>
      <c r="D34" s="11"/>
      <c r="E34" s="11">
        <v>8319</v>
      </c>
      <c r="F34" s="11"/>
      <c r="G34" s="11">
        <f t="shared" si="0"/>
        <v>8319</v>
      </c>
      <c r="H34" s="17">
        <f t="shared" si="1"/>
        <v>9.31</v>
      </c>
      <c r="I34" s="16">
        <f t="shared" si="2"/>
        <v>6.8000000000000005E-2</v>
      </c>
      <c r="J34" s="16">
        <f>ROUND(G34/2260.14-1,2)</f>
        <v>2.68</v>
      </c>
    </row>
    <row r="35" spans="1:10" x14ac:dyDescent="0.25">
      <c r="A35" s="1" t="s">
        <v>44</v>
      </c>
      <c r="B35" s="1" t="s">
        <v>47</v>
      </c>
      <c r="C35" s="11"/>
      <c r="D35" s="11"/>
      <c r="E35" s="11"/>
      <c r="F35" s="11"/>
      <c r="G35" s="11">
        <f t="shared" si="0"/>
        <v>0</v>
      </c>
      <c r="H35" s="17">
        <f t="shared" si="1"/>
        <v>0</v>
      </c>
      <c r="I35" s="16">
        <f t="shared" si="2"/>
        <v>0</v>
      </c>
      <c r="J35" s="16"/>
    </row>
    <row r="36" spans="1:10" x14ac:dyDescent="0.25">
      <c r="A36" s="1" t="s">
        <v>48</v>
      </c>
      <c r="B36" s="1" t="s">
        <v>51</v>
      </c>
      <c r="C36" s="11"/>
      <c r="D36" s="11"/>
      <c r="E36" s="11"/>
      <c r="F36" s="11"/>
      <c r="G36" s="11">
        <f t="shared" si="0"/>
        <v>0</v>
      </c>
      <c r="H36" s="17">
        <f t="shared" si="1"/>
        <v>0</v>
      </c>
      <c r="I36" s="16">
        <f t="shared" si="2"/>
        <v>0</v>
      </c>
      <c r="J36" s="16"/>
    </row>
    <row r="37" spans="1:10" x14ac:dyDescent="0.25">
      <c r="A37" s="21" t="s">
        <v>12</v>
      </c>
      <c r="B37" s="21"/>
      <c r="C37" s="12">
        <f t="shared" ref="C37:H37" si="3">SUM(C8:C36)</f>
        <v>70095</v>
      </c>
      <c r="D37" s="12">
        <f t="shared" si="3"/>
        <v>0</v>
      </c>
      <c r="E37" s="12">
        <f t="shared" si="3"/>
        <v>52518</v>
      </c>
      <c r="F37" s="12">
        <f t="shared" si="3"/>
        <v>0</v>
      </c>
      <c r="G37" s="12">
        <f t="shared" si="3"/>
        <v>122613</v>
      </c>
      <c r="H37" s="15">
        <f t="shared" si="3"/>
        <v>137.14000000000001</v>
      </c>
      <c r="I37" s="18"/>
      <c r="J37" s="18"/>
    </row>
    <row r="38" spans="1:10" x14ac:dyDescent="0.25">
      <c r="A38" s="21" t="s">
        <v>14</v>
      </c>
      <c r="B38" s="21"/>
      <c r="C38" s="13">
        <f>ROUND(C37/G37,2)</f>
        <v>0.56999999999999995</v>
      </c>
      <c r="D38" s="13">
        <f>ROUND(D37/G37,2)</f>
        <v>0</v>
      </c>
      <c r="E38" s="13">
        <f>ROUND(E37/G37,2)</f>
        <v>0.43</v>
      </c>
      <c r="F38" s="13">
        <f>ROUND(F37/G37,2)</f>
        <v>0</v>
      </c>
      <c r="G38" s="14"/>
      <c r="H38" s="14"/>
      <c r="I38" s="18"/>
      <c r="J38" s="18"/>
    </row>
    <row r="39" spans="1:10" x14ac:dyDescent="0.25">
      <c r="A39" s="2" t="s">
        <v>52</v>
      </c>
      <c r="B39" s="2"/>
      <c r="C39" s="14"/>
      <c r="D39" s="14"/>
      <c r="E39" s="14"/>
      <c r="F39" s="14"/>
      <c r="G39" s="14"/>
      <c r="H39" s="14"/>
      <c r="I39" s="18"/>
      <c r="J39" s="18"/>
    </row>
    <row r="40" spans="1:10" x14ac:dyDescent="0.25">
      <c r="C40" s="9"/>
      <c r="D40" s="9"/>
      <c r="E40" s="9"/>
      <c r="F40" s="9"/>
      <c r="G40" s="9"/>
      <c r="H40" s="9"/>
      <c r="I40" s="10"/>
      <c r="J40" s="10"/>
    </row>
    <row r="41" spans="1:10" x14ac:dyDescent="0.25">
      <c r="C41" s="9"/>
      <c r="D41" s="9"/>
      <c r="E41" s="9"/>
      <c r="F41" s="9"/>
      <c r="G41" s="9"/>
      <c r="H41" s="9"/>
      <c r="I41" s="10"/>
      <c r="J41" s="10"/>
    </row>
    <row r="42" spans="1:10" x14ac:dyDescent="0.25">
      <c r="C42" s="9"/>
      <c r="D42" s="9"/>
      <c r="E42" s="9"/>
      <c r="F42" s="9"/>
      <c r="G42" s="9"/>
      <c r="H42" s="9"/>
      <c r="I42" s="10"/>
      <c r="J42" s="10"/>
    </row>
    <row r="43" spans="1:10" x14ac:dyDescent="0.25">
      <c r="A43" s="21" t="s">
        <v>53</v>
      </c>
      <c r="B43" s="21"/>
      <c r="C43" s="12" t="s">
        <v>8</v>
      </c>
      <c r="D43" s="12" t="s">
        <v>9</v>
      </c>
      <c r="E43" s="12" t="s">
        <v>10</v>
      </c>
      <c r="F43" s="12" t="s">
        <v>11</v>
      </c>
      <c r="G43" s="12" t="s">
        <v>12</v>
      </c>
      <c r="H43" s="15" t="s">
        <v>13</v>
      </c>
      <c r="I43" s="18"/>
      <c r="J43" s="18"/>
    </row>
    <row r="44" spans="1:10" x14ac:dyDescent="0.25">
      <c r="A44" s="20" t="s">
        <v>54</v>
      </c>
      <c r="B44" s="20"/>
      <c r="C44" s="11">
        <v>41145</v>
      </c>
      <c r="D44" s="11">
        <v>0</v>
      </c>
      <c r="E44" s="11">
        <v>44199</v>
      </c>
      <c r="F44" s="11">
        <v>0</v>
      </c>
      <c r="G44" s="11">
        <f>SUM(C44:F44)</f>
        <v>85344</v>
      </c>
      <c r="H44" s="17">
        <f>ROUND(G44/894,2)</f>
        <v>95.46</v>
      </c>
      <c r="I44" s="10"/>
      <c r="J44" s="10"/>
    </row>
    <row r="45" spans="1:10" x14ac:dyDescent="0.25">
      <c r="A45" s="20" t="s">
        <v>55</v>
      </c>
      <c r="B45" s="20"/>
      <c r="C45" s="11">
        <v>28950</v>
      </c>
      <c r="D45" s="11">
        <v>0</v>
      </c>
      <c r="E45" s="11">
        <v>8319</v>
      </c>
      <c r="F45" s="11">
        <v>0</v>
      </c>
      <c r="G45" s="11">
        <f>SUM(C45:F45)</f>
        <v>37269</v>
      </c>
      <c r="H45" s="17">
        <f>ROUND(G45/894,2)</f>
        <v>41.69</v>
      </c>
      <c r="I45" s="10"/>
      <c r="J45" s="10"/>
    </row>
    <row r="46" spans="1:10" x14ac:dyDescent="0.25">
      <c r="A46" s="20" t="s">
        <v>56</v>
      </c>
      <c r="B46" s="20"/>
      <c r="C46" s="11">
        <v>0</v>
      </c>
      <c r="D46" s="11">
        <v>0</v>
      </c>
      <c r="E46" s="11">
        <v>0</v>
      </c>
      <c r="F46" s="11">
        <v>0</v>
      </c>
      <c r="G46" s="11">
        <f>SUM(C46:F46)</f>
        <v>0</v>
      </c>
      <c r="H46" s="17">
        <f>ROUND(G46/894,2)</f>
        <v>0</v>
      </c>
      <c r="I46" s="10"/>
      <c r="J46" s="10"/>
    </row>
    <row r="47" spans="1:10" x14ac:dyDescent="0.25">
      <c r="C47" s="9"/>
      <c r="D47" s="9"/>
      <c r="E47" s="9"/>
      <c r="F47" s="9"/>
      <c r="G47" s="9"/>
      <c r="H47" s="9"/>
      <c r="I47" s="10"/>
      <c r="J47" s="10"/>
    </row>
    <row r="48" spans="1:10" x14ac:dyDescent="0.25">
      <c r="C48" s="9"/>
      <c r="D48" s="9"/>
      <c r="E48" s="9"/>
      <c r="F48" s="9"/>
      <c r="G48" s="9"/>
      <c r="H48" s="9"/>
      <c r="I48" s="10"/>
      <c r="J48" s="10"/>
    </row>
    <row r="49" spans="1:10" x14ac:dyDescent="0.25">
      <c r="C49" s="9"/>
      <c r="D49" s="9"/>
      <c r="E49" s="9"/>
      <c r="F49" s="9"/>
      <c r="G49" s="9"/>
      <c r="H49" s="9"/>
      <c r="I49" s="10"/>
      <c r="J49" s="10"/>
    </row>
    <row r="50" spans="1:10" x14ac:dyDescent="0.25">
      <c r="C50" s="9"/>
      <c r="D50" s="9"/>
      <c r="E50" s="9"/>
      <c r="F50" s="9"/>
      <c r="G50" s="9"/>
      <c r="H50" s="9"/>
      <c r="I50" s="10"/>
      <c r="J50" s="10"/>
    </row>
    <row r="51" spans="1:10" x14ac:dyDescent="0.25">
      <c r="A51" s="21" t="s">
        <v>57</v>
      </c>
      <c r="B51" s="21"/>
      <c r="C51" s="15" t="s">
        <v>2</v>
      </c>
      <c r="D51" s="15">
        <v>2023</v>
      </c>
      <c r="E51" s="15" t="s">
        <v>59</v>
      </c>
      <c r="F51" s="14"/>
      <c r="G51" s="15" t="s">
        <v>60</v>
      </c>
      <c r="H51" s="15" t="s">
        <v>2</v>
      </c>
      <c r="I51" s="13" t="s">
        <v>61</v>
      </c>
      <c r="J51" s="13" t="s">
        <v>59</v>
      </c>
    </row>
    <row r="52" spans="1:10" x14ac:dyDescent="0.25">
      <c r="A52" s="20" t="s">
        <v>58</v>
      </c>
      <c r="B52" s="20"/>
      <c r="C52" s="16">
        <f>ROUND(0.7418, 4)</f>
        <v>0.74180000000000001</v>
      </c>
      <c r="D52" s="16">
        <f>ROUND(0.6032, 4)</f>
        <v>0.60319999999999996</v>
      </c>
      <c r="E52" s="16">
        <f>ROUND(0.777, 4)</f>
        <v>0.77700000000000002</v>
      </c>
      <c r="F52" s="9"/>
      <c r="G52" s="15" t="s">
        <v>62</v>
      </c>
      <c r="H52" s="22" t="s">
        <v>63</v>
      </c>
      <c r="I52" s="24" t="s">
        <v>64</v>
      </c>
      <c r="J52" s="24" t="s">
        <v>65</v>
      </c>
    </row>
    <row r="53" spans="1:10" x14ac:dyDescent="0.25">
      <c r="A53" s="20" t="s">
        <v>66</v>
      </c>
      <c r="B53" s="20"/>
      <c r="C53" s="16">
        <f>ROUND(0.7057, 4)</f>
        <v>0.70569999999999999</v>
      </c>
      <c r="D53" s="16">
        <f>ROUND(0.5621, 4)</f>
        <v>0.56210000000000004</v>
      </c>
      <c r="E53" s="16">
        <f>ROUND(0.7608, 4)</f>
        <v>0.76080000000000003</v>
      </c>
      <c r="F53" s="9"/>
      <c r="G53" s="15" t="s">
        <v>67</v>
      </c>
      <c r="H53" s="23"/>
      <c r="I53" s="25"/>
      <c r="J53" s="25"/>
    </row>
    <row r="54" spans="1:10" x14ac:dyDescent="0.25">
      <c r="C54" s="9"/>
      <c r="D54" s="9"/>
      <c r="E54" s="9"/>
      <c r="F54" s="9"/>
      <c r="G54" s="9"/>
      <c r="H54" s="9"/>
      <c r="I54" s="10"/>
      <c r="J54" s="10"/>
    </row>
    <row r="55" spans="1:10" x14ac:dyDescent="0.25">
      <c r="C55" s="9"/>
      <c r="D55" s="9"/>
      <c r="E55" s="9"/>
      <c r="F55" s="9"/>
      <c r="G55" s="9"/>
      <c r="H55" s="9"/>
      <c r="I55" s="10"/>
      <c r="J55" s="10"/>
    </row>
    <row r="56" spans="1:10" x14ac:dyDescent="0.25">
      <c r="C56" s="9"/>
      <c r="D56" s="9"/>
      <c r="E56" s="9"/>
      <c r="F56" s="9"/>
      <c r="G56" s="9"/>
      <c r="H56" s="9"/>
      <c r="I56" s="10"/>
      <c r="J56" s="10"/>
    </row>
    <row r="57" spans="1:10" x14ac:dyDescent="0.25">
      <c r="A57" s="21" t="s">
        <v>68</v>
      </c>
      <c r="B57" s="21"/>
      <c r="C57" s="15" t="s">
        <v>2</v>
      </c>
      <c r="D57" s="15" t="s">
        <v>83</v>
      </c>
      <c r="E57" s="15" t="s">
        <v>70</v>
      </c>
      <c r="F57" s="15" t="s">
        <v>71</v>
      </c>
      <c r="G57" s="15" t="s">
        <v>72</v>
      </c>
      <c r="H57" s="14"/>
      <c r="I57" s="18"/>
      <c r="J57" s="18"/>
    </row>
    <row r="58" spans="1:10" x14ac:dyDescent="0.25">
      <c r="A58" s="20" t="s">
        <v>73</v>
      </c>
      <c r="B58" s="20"/>
      <c r="C58" s="17">
        <v>32.380000000000003</v>
      </c>
      <c r="D58" s="17">
        <v>97.71</v>
      </c>
      <c r="E58" s="17">
        <v>81.84</v>
      </c>
      <c r="F58" s="17">
        <v>48</v>
      </c>
      <c r="G58" s="17">
        <f>12/4*C58</f>
        <v>97.140000000000015</v>
      </c>
      <c r="H58" s="9"/>
      <c r="I58" s="10"/>
      <c r="J58" s="10"/>
    </row>
    <row r="59" spans="1:10" x14ac:dyDescent="0.25">
      <c r="A59" s="20" t="s">
        <v>74</v>
      </c>
      <c r="B59" s="20"/>
      <c r="C59" s="17">
        <v>11.07</v>
      </c>
      <c r="D59" s="17">
        <v>38.47</v>
      </c>
      <c r="E59" s="17">
        <v>55.63</v>
      </c>
      <c r="F59" s="17">
        <v>55.33</v>
      </c>
      <c r="G59" s="17">
        <f>12/4*C59</f>
        <v>33.21</v>
      </c>
      <c r="H59" s="9"/>
      <c r="I59" s="10"/>
      <c r="J59" s="10"/>
    </row>
    <row r="60" spans="1:10" x14ac:dyDescent="0.25">
      <c r="A60" s="20" t="s">
        <v>75</v>
      </c>
      <c r="B60" s="20"/>
      <c r="C60" s="17">
        <v>95.46</v>
      </c>
      <c r="D60" s="17">
        <v>174.98</v>
      </c>
      <c r="E60" s="17">
        <v>257.88</v>
      </c>
      <c r="F60" s="17">
        <v>242.78</v>
      </c>
      <c r="G60" s="17">
        <f>12/4*C60</f>
        <v>286.38</v>
      </c>
      <c r="H60" s="9"/>
      <c r="I60" s="10"/>
      <c r="J60" s="10"/>
    </row>
    <row r="61" spans="1:10" x14ac:dyDescent="0.25">
      <c r="A61" s="20" t="s">
        <v>76</v>
      </c>
      <c r="B61" s="20"/>
      <c r="C61" s="17">
        <v>41.69</v>
      </c>
      <c r="D61" s="17">
        <v>105.2</v>
      </c>
      <c r="E61" s="17">
        <v>103.14</v>
      </c>
      <c r="F61" s="17">
        <v>68.31</v>
      </c>
      <c r="G61" s="17">
        <f>12/4*C61</f>
        <v>125.07</v>
      </c>
      <c r="H61" s="9"/>
      <c r="I61" s="10"/>
      <c r="J61" s="10"/>
    </row>
    <row r="62" spans="1:10" x14ac:dyDescent="0.25">
      <c r="C62" s="9"/>
      <c r="D62" s="9"/>
      <c r="E62" s="9"/>
      <c r="F62" s="9"/>
      <c r="G62" s="9"/>
      <c r="H62" s="9"/>
      <c r="I62" s="10"/>
      <c r="J62" s="10"/>
    </row>
    <row r="63" spans="1:10" x14ac:dyDescent="0.25">
      <c r="C63" s="9"/>
      <c r="D63" s="9"/>
      <c r="E63" s="9"/>
      <c r="F63" s="9"/>
      <c r="G63" s="9"/>
      <c r="H63" s="9"/>
      <c r="I63" s="10"/>
      <c r="J63" s="10"/>
    </row>
    <row r="64" spans="1:10" x14ac:dyDescent="0.25">
      <c r="A64" s="19" t="s">
        <v>60</v>
      </c>
      <c r="B64" s="26"/>
      <c r="C64" s="9"/>
      <c r="D64" s="9"/>
      <c r="E64" s="9"/>
      <c r="F64" s="9"/>
      <c r="G64" s="9"/>
      <c r="H64" s="9"/>
      <c r="I64" s="10"/>
      <c r="J64" s="10"/>
    </row>
    <row r="65" spans="1:10" x14ac:dyDescent="0.25">
      <c r="A65" s="3" t="s">
        <v>77</v>
      </c>
      <c r="B65" s="1" t="s">
        <v>84</v>
      </c>
      <c r="C65" s="9"/>
      <c r="D65" s="9"/>
      <c r="E65" s="9"/>
      <c r="F65" s="9"/>
      <c r="G65" s="9"/>
      <c r="H65" s="9"/>
      <c r="I65" s="10"/>
      <c r="J65" s="10"/>
    </row>
    <row r="66" spans="1:10" x14ac:dyDescent="0.25">
      <c r="A66" s="3" t="s">
        <v>70</v>
      </c>
      <c r="B66" s="1" t="s">
        <v>79</v>
      </c>
      <c r="C66" s="9"/>
      <c r="D66" s="9"/>
      <c r="E66" s="9"/>
      <c r="F66" s="9"/>
      <c r="G66" s="9"/>
      <c r="H66" s="9"/>
      <c r="I66" s="10"/>
      <c r="J66" s="10"/>
    </row>
    <row r="67" spans="1:10" x14ac:dyDescent="0.25">
      <c r="A67" s="3" t="s">
        <v>71</v>
      </c>
      <c r="B67" s="1" t="s">
        <v>80</v>
      </c>
      <c r="C67" s="9"/>
      <c r="D67" s="9"/>
      <c r="E67" s="9"/>
      <c r="F67" s="9"/>
      <c r="G67" s="9"/>
      <c r="H67" s="9"/>
      <c r="I67" s="10"/>
      <c r="J67" s="10"/>
    </row>
    <row r="68" spans="1:10" x14ac:dyDescent="0.25">
      <c r="A68" s="3" t="s">
        <v>72</v>
      </c>
      <c r="B68" s="1" t="s">
        <v>81</v>
      </c>
      <c r="C68" s="9"/>
      <c r="D68" s="9"/>
      <c r="E68" s="9"/>
      <c r="F68" s="9"/>
      <c r="G68" s="9"/>
      <c r="H68" s="9"/>
      <c r="I68" s="10"/>
      <c r="J68" s="10"/>
    </row>
    <row r="69" spans="1:10" x14ac:dyDescent="0.25">
      <c r="C69" s="9"/>
      <c r="D69" s="9"/>
      <c r="E69" s="9"/>
      <c r="F69" s="9"/>
      <c r="G69" s="9"/>
      <c r="H69" s="9"/>
      <c r="I69" s="10"/>
      <c r="J69" s="10"/>
    </row>
    <row r="70" spans="1:10" x14ac:dyDescent="0.25">
      <c r="C70" s="9"/>
      <c r="D70" s="9"/>
      <c r="E70" s="9"/>
      <c r="F70" s="9"/>
      <c r="G70" s="9"/>
      <c r="H70" s="9"/>
      <c r="I70" s="10"/>
      <c r="J70" s="10"/>
    </row>
    <row r="71" spans="1:10" x14ac:dyDescent="0.25">
      <c r="C71" s="9"/>
      <c r="D71" s="9"/>
      <c r="E71" s="9"/>
      <c r="F71" s="9"/>
      <c r="G71" s="9"/>
      <c r="H71" s="9"/>
      <c r="I71" s="10"/>
      <c r="J71" s="10"/>
    </row>
    <row r="72" spans="1:10" x14ac:dyDescent="0.25">
      <c r="C72" s="9"/>
      <c r="D72" s="9"/>
      <c r="E72" s="9"/>
      <c r="F72" s="9"/>
      <c r="G72" s="9"/>
      <c r="H72" s="9"/>
      <c r="I72" s="10"/>
      <c r="J72" s="10"/>
    </row>
    <row r="73" spans="1:10" x14ac:dyDescent="0.25">
      <c r="C73" s="9"/>
      <c r="D73" s="9"/>
      <c r="E73" s="9"/>
      <c r="F73" s="9"/>
      <c r="G73" s="9"/>
      <c r="H73" s="9"/>
      <c r="I73" s="10"/>
      <c r="J73" s="10"/>
    </row>
    <row r="74" spans="1:10" x14ac:dyDescent="0.25">
      <c r="C74" s="9"/>
      <c r="D74" s="9"/>
      <c r="E74" s="9"/>
      <c r="F74" s="9"/>
      <c r="G74" s="9"/>
      <c r="H74" s="9"/>
      <c r="I74" s="10"/>
      <c r="J74" s="10"/>
    </row>
  </sheetData>
  <mergeCells count="19">
    <mergeCell ref="A59:B59"/>
    <mergeCell ref="A60:B60"/>
    <mergeCell ref="A61:B61"/>
    <mergeCell ref="A64:B64"/>
    <mergeCell ref="I52:I53"/>
    <mergeCell ref="J52:J53"/>
    <mergeCell ref="A53:B53"/>
    <mergeCell ref="A57:B57"/>
    <mergeCell ref="A58:B58"/>
    <mergeCell ref="A45:B45"/>
    <mergeCell ref="A46:B46"/>
    <mergeCell ref="A51:B51"/>
    <mergeCell ref="A52:B52"/>
    <mergeCell ref="H52:H53"/>
    <mergeCell ref="C7:G7"/>
    <mergeCell ref="A37:B37"/>
    <mergeCell ref="A38:B38"/>
    <mergeCell ref="A43:B43"/>
    <mergeCell ref="A44:B4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2:J76"/>
  <sheetViews>
    <sheetView workbookViewId="0">
      <selection activeCell="C9" sqref="C9:J76"/>
    </sheetView>
  </sheetViews>
  <sheetFormatPr defaultRowHeight="15" x14ac:dyDescent="0.25"/>
  <cols>
    <col min="1" max="1" width="38.85546875" bestFit="1" customWidth="1"/>
    <col min="2" max="2" width="79" bestFit="1" customWidth="1"/>
    <col min="3" max="3" width="14" bestFit="1" customWidth="1"/>
    <col min="4" max="4" width="24.7109375" bestFit="1" customWidth="1"/>
    <col min="5" max="5" width="16.42578125" bestFit="1" customWidth="1"/>
    <col min="6" max="6" width="10.5703125" bestFit="1" customWidth="1"/>
    <col min="7" max="7" width="68.28515625" bestFit="1" customWidth="1"/>
    <col min="8" max="9" width="20" bestFit="1" customWidth="1"/>
    <col min="10" max="10" width="30.5703125" bestFit="1" customWidth="1"/>
  </cols>
  <sheetData>
    <row r="2" spans="1:10" ht="18.75" x14ac:dyDescent="0.3">
      <c r="A2" s="3" t="s">
        <v>0</v>
      </c>
      <c r="B2" s="4" t="s">
        <v>152</v>
      </c>
    </row>
    <row r="3" spans="1:10" x14ac:dyDescent="0.25">
      <c r="A3" s="3" t="s">
        <v>2</v>
      </c>
      <c r="B3" s="1" t="s">
        <v>3</v>
      </c>
    </row>
    <row r="4" spans="1:10" x14ac:dyDescent="0.25">
      <c r="A4" s="3" t="s">
        <v>4</v>
      </c>
      <c r="B4" s="1">
        <v>1264</v>
      </c>
    </row>
    <row r="7" spans="1:10" x14ac:dyDescent="0.25">
      <c r="C7" s="19" t="s">
        <v>5</v>
      </c>
      <c r="D7" s="20"/>
      <c r="E7" s="20"/>
      <c r="F7" s="20"/>
      <c r="G7" s="20"/>
    </row>
    <row r="8" spans="1:10" x14ac:dyDescent="0.25">
      <c r="A8" s="3" t="s">
        <v>6</v>
      </c>
      <c r="B8" s="3" t="s">
        <v>7</v>
      </c>
      <c r="C8" s="3" t="s">
        <v>8</v>
      </c>
      <c r="D8" s="3" t="s">
        <v>9</v>
      </c>
      <c r="E8" s="3" t="s">
        <v>10</v>
      </c>
      <c r="F8" s="3" t="s">
        <v>11</v>
      </c>
      <c r="G8" s="3" t="s">
        <v>12</v>
      </c>
      <c r="H8" s="3" t="s">
        <v>13</v>
      </c>
      <c r="I8" s="3" t="s">
        <v>14</v>
      </c>
      <c r="J8" s="3" t="s">
        <v>15</v>
      </c>
    </row>
    <row r="9" spans="1:10" x14ac:dyDescent="0.25">
      <c r="A9" s="1" t="s">
        <v>16</v>
      </c>
      <c r="B9" s="1" t="s">
        <v>19</v>
      </c>
      <c r="C9" s="11">
        <v>11710</v>
      </c>
      <c r="D9" s="11"/>
      <c r="E9" s="11"/>
      <c r="F9" s="11"/>
      <c r="G9" s="11">
        <f t="shared" ref="G9:G41" si="0">SUM(C9:F9)</f>
        <v>11710</v>
      </c>
      <c r="H9" s="17">
        <f t="shared" ref="H9:H41" si="1">ROUND(G9/1264,2)</f>
        <v>9.26</v>
      </c>
      <c r="I9" s="16">
        <f t="shared" ref="I9:I41" si="2">ROUND(G9/$G$42,3)</f>
        <v>9.5000000000000001E-2</v>
      </c>
      <c r="J9" s="16">
        <f>ROUND(G9/9330-1,2)</f>
        <v>0.26</v>
      </c>
    </row>
    <row r="10" spans="1:10" x14ac:dyDescent="0.25">
      <c r="A10" s="1" t="s">
        <v>16</v>
      </c>
      <c r="B10" s="1" t="s">
        <v>20</v>
      </c>
      <c r="C10" s="11">
        <v>15275</v>
      </c>
      <c r="D10" s="11"/>
      <c r="E10" s="11"/>
      <c r="F10" s="11"/>
      <c r="G10" s="11">
        <f t="shared" si="0"/>
        <v>15275</v>
      </c>
      <c r="H10" s="17">
        <f t="shared" si="1"/>
        <v>12.08</v>
      </c>
      <c r="I10" s="16">
        <f t="shared" si="2"/>
        <v>0.124</v>
      </c>
      <c r="J10" s="16">
        <f>ROUND(G10/15600-1,2)</f>
        <v>-0.02</v>
      </c>
    </row>
    <row r="11" spans="1:10" x14ac:dyDescent="0.25">
      <c r="A11" s="1" t="s">
        <v>16</v>
      </c>
      <c r="B11" s="1" t="s">
        <v>21</v>
      </c>
      <c r="C11" s="11"/>
      <c r="D11" s="11"/>
      <c r="E11" s="11">
        <v>100</v>
      </c>
      <c r="F11" s="11"/>
      <c r="G11" s="11">
        <f t="shared" si="0"/>
        <v>100</v>
      </c>
      <c r="H11" s="17">
        <f t="shared" si="1"/>
        <v>0.08</v>
      </c>
      <c r="I11" s="16">
        <f t="shared" si="2"/>
        <v>1E-3</v>
      </c>
      <c r="J11" s="16">
        <f>ROUND(G11/105-1,2)</f>
        <v>-0.05</v>
      </c>
    </row>
    <row r="12" spans="1:10" x14ac:dyDescent="0.25">
      <c r="A12" s="1" t="s">
        <v>16</v>
      </c>
      <c r="B12" s="1" t="s">
        <v>23</v>
      </c>
      <c r="C12" s="11"/>
      <c r="D12" s="11"/>
      <c r="E12" s="11">
        <v>9800</v>
      </c>
      <c r="F12" s="11"/>
      <c r="G12" s="11">
        <f t="shared" si="0"/>
        <v>9800</v>
      </c>
      <c r="H12" s="17">
        <f t="shared" si="1"/>
        <v>7.75</v>
      </c>
      <c r="I12" s="16">
        <f t="shared" si="2"/>
        <v>0.08</v>
      </c>
      <c r="J12" s="16">
        <f>ROUND(G12/12370-1,2)</f>
        <v>-0.21</v>
      </c>
    </row>
    <row r="13" spans="1:10" x14ac:dyDescent="0.25">
      <c r="A13" s="1" t="s">
        <v>16</v>
      </c>
      <c r="B13" s="1" t="s">
        <v>24</v>
      </c>
      <c r="C13" s="11">
        <v>11920</v>
      </c>
      <c r="D13" s="11"/>
      <c r="E13" s="11">
        <v>3130</v>
      </c>
      <c r="F13" s="11"/>
      <c r="G13" s="11">
        <f t="shared" si="0"/>
        <v>15050</v>
      </c>
      <c r="H13" s="17">
        <f t="shared" si="1"/>
        <v>11.91</v>
      </c>
      <c r="I13" s="16">
        <f t="shared" si="2"/>
        <v>0.123</v>
      </c>
      <c r="J13" s="16">
        <f>ROUND(G13/12740-1,2)</f>
        <v>0.18</v>
      </c>
    </row>
    <row r="14" spans="1:10" x14ac:dyDescent="0.25">
      <c r="A14" s="1" t="s">
        <v>16</v>
      </c>
      <c r="B14" s="1" t="s">
        <v>25</v>
      </c>
      <c r="C14" s="11"/>
      <c r="D14" s="11"/>
      <c r="E14" s="11">
        <v>845</v>
      </c>
      <c r="F14" s="11"/>
      <c r="G14" s="11">
        <f t="shared" si="0"/>
        <v>845</v>
      </c>
      <c r="H14" s="17">
        <f t="shared" si="1"/>
        <v>0.67</v>
      </c>
      <c r="I14" s="16">
        <f t="shared" si="2"/>
        <v>7.0000000000000001E-3</v>
      </c>
      <c r="J14" s="16"/>
    </row>
    <row r="15" spans="1:10" x14ac:dyDescent="0.25">
      <c r="A15" s="1" t="s">
        <v>16</v>
      </c>
      <c r="B15" s="1" t="s">
        <v>26</v>
      </c>
      <c r="C15" s="11">
        <v>12480</v>
      </c>
      <c r="D15" s="11"/>
      <c r="E15" s="11"/>
      <c r="F15" s="11"/>
      <c r="G15" s="11">
        <f t="shared" si="0"/>
        <v>12480</v>
      </c>
      <c r="H15" s="17">
        <f t="shared" si="1"/>
        <v>9.8699999999999992</v>
      </c>
      <c r="I15" s="16">
        <f t="shared" si="2"/>
        <v>0.10199999999999999</v>
      </c>
      <c r="J15" s="16">
        <f>ROUND(G15/11030-1,2)</f>
        <v>0.13</v>
      </c>
    </row>
    <row r="16" spans="1:10" x14ac:dyDescent="0.25">
      <c r="A16" s="1" t="s">
        <v>16</v>
      </c>
      <c r="B16" s="1" t="s">
        <v>27</v>
      </c>
      <c r="C16" s="11"/>
      <c r="D16" s="11"/>
      <c r="E16" s="11">
        <v>206</v>
      </c>
      <c r="F16" s="11"/>
      <c r="G16" s="11">
        <f t="shared" si="0"/>
        <v>206</v>
      </c>
      <c r="H16" s="17">
        <f t="shared" si="1"/>
        <v>0.16</v>
      </c>
      <c r="I16" s="16">
        <f t="shared" si="2"/>
        <v>2E-3</v>
      </c>
      <c r="J16" s="16">
        <f>ROUND(G16/104-1,2)</f>
        <v>0.98</v>
      </c>
    </row>
    <row r="17" spans="1:10" x14ac:dyDescent="0.25">
      <c r="A17" s="1" t="s">
        <v>16</v>
      </c>
      <c r="B17" s="1" t="s">
        <v>28</v>
      </c>
      <c r="C17" s="11"/>
      <c r="D17" s="11"/>
      <c r="E17" s="11">
        <v>40</v>
      </c>
      <c r="F17" s="11"/>
      <c r="G17" s="11">
        <f t="shared" si="0"/>
        <v>40</v>
      </c>
      <c r="H17" s="17">
        <f t="shared" si="1"/>
        <v>0.03</v>
      </c>
      <c r="I17" s="16">
        <f t="shared" si="2"/>
        <v>0</v>
      </c>
      <c r="J17" s="16">
        <f>ROUND(G17/50-1,2)</f>
        <v>-0.2</v>
      </c>
    </row>
    <row r="18" spans="1:10" x14ac:dyDescent="0.25">
      <c r="A18" s="1" t="s">
        <v>16</v>
      </c>
      <c r="B18" s="1" t="s">
        <v>29</v>
      </c>
      <c r="C18" s="11"/>
      <c r="D18" s="11"/>
      <c r="E18" s="11">
        <v>150</v>
      </c>
      <c r="F18" s="11"/>
      <c r="G18" s="11">
        <f t="shared" si="0"/>
        <v>150</v>
      </c>
      <c r="H18" s="17">
        <f t="shared" si="1"/>
        <v>0.12</v>
      </c>
      <c r="I18" s="16">
        <f t="shared" si="2"/>
        <v>1E-3</v>
      </c>
      <c r="J18" s="16"/>
    </row>
    <row r="19" spans="1:10" x14ac:dyDescent="0.25">
      <c r="A19" s="1" t="s">
        <v>16</v>
      </c>
      <c r="B19" s="1" t="s">
        <v>30</v>
      </c>
      <c r="C19" s="11"/>
      <c r="D19" s="11"/>
      <c r="E19" s="11">
        <v>130</v>
      </c>
      <c r="F19" s="11"/>
      <c r="G19" s="11">
        <f t="shared" si="0"/>
        <v>130</v>
      </c>
      <c r="H19" s="17">
        <f t="shared" si="1"/>
        <v>0.1</v>
      </c>
      <c r="I19" s="16">
        <f t="shared" si="2"/>
        <v>1E-3</v>
      </c>
      <c r="J19" s="16">
        <f>ROUND(G19/180-1,2)</f>
        <v>-0.28000000000000003</v>
      </c>
    </row>
    <row r="20" spans="1:10" x14ac:dyDescent="0.25">
      <c r="A20" s="1" t="s">
        <v>16</v>
      </c>
      <c r="B20" s="1" t="s">
        <v>31</v>
      </c>
      <c r="C20" s="11"/>
      <c r="D20" s="11"/>
      <c r="E20" s="11">
        <v>260</v>
      </c>
      <c r="F20" s="11"/>
      <c r="G20" s="11">
        <f t="shared" si="0"/>
        <v>260</v>
      </c>
      <c r="H20" s="17">
        <f t="shared" si="1"/>
        <v>0.21</v>
      </c>
      <c r="I20" s="16">
        <f t="shared" si="2"/>
        <v>2E-3</v>
      </c>
      <c r="J20" s="16"/>
    </row>
    <row r="21" spans="1:10" x14ac:dyDescent="0.25">
      <c r="A21" s="1" t="s">
        <v>16</v>
      </c>
      <c r="B21" s="1" t="s">
        <v>35</v>
      </c>
      <c r="C21" s="11"/>
      <c r="D21" s="11"/>
      <c r="E21" s="11">
        <v>8585</v>
      </c>
      <c r="F21" s="11"/>
      <c r="G21" s="11">
        <f t="shared" si="0"/>
        <v>8585</v>
      </c>
      <c r="H21" s="17">
        <f t="shared" si="1"/>
        <v>6.79</v>
      </c>
      <c r="I21" s="16">
        <f t="shared" si="2"/>
        <v>7.0000000000000007E-2</v>
      </c>
      <c r="J21" s="16">
        <f>ROUND(G21/5155-1,2)</f>
        <v>0.67</v>
      </c>
    </row>
    <row r="22" spans="1:10" x14ac:dyDescent="0.25">
      <c r="A22" s="1" t="s">
        <v>16</v>
      </c>
      <c r="B22" s="1" t="s">
        <v>37</v>
      </c>
      <c r="C22" s="11"/>
      <c r="D22" s="11"/>
      <c r="E22" s="11">
        <v>5530</v>
      </c>
      <c r="F22" s="11"/>
      <c r="G22" s="11">
        <f t="shared" si="0"/>
        <v>5530</v>
      </c>
      <c r="H22" s="17">
        <f t="shared" si="1"/>
        <v>4.38</v>
      </c>
      <c r="I22" s="16">
        <f t="shared" si="2"/>
        <v>4.4999999999999998E-2</v>
      </c>
      <c r="J22" s="16">
        <f>ROUND(G22/3630-1,2)</f>
        <v>0.52</v>
      </c>
    </row>
    <row r="23" spans="1:10" x14ac:dyDescent="0.25">
      <c r="A23" s="1" t="s">
        <v>16</v>
      </c>
      <c r="B23" s="1" t="s">
        <v>38</v>
      </c>
      <c r="C23" s="11"/>
      <c r="D23" s="11"/>
      <c r="E23" s="11">
        <v>3310</v>
      </c>
      <c r="F23" s="11"/>
      <c r="G23" s="11">
        <f t="shared" si="0"/>
        <v>3310</v>
      </c>
      <c r="H23" s="17">
        <f t="shared" si="1"/>
        <v>2.62</v>
      </c>
      <c r="I23" s="16">
        <f t="shared" si="2"/>
        <v>2.7E-2</v>
      </c>
      <c r="J23" s="16">
        <f>ROUND(G23/3735-1,2)</f>
        <v>-0.11</v>
      </c>
    </row>
    <row r="24" spans="1:10" x14ac:dyDescent="0.25">
      <c r="A24" s="1" t="s">
        <v>16</v>
      </c>
      <c r="B24" s="1" t="s">
        <v>17</v>
      </c>
      <c r="C24" s="11"/>
      <c r="D24" s="11"/>
      <c r="E24" s="11"/>
      <c r="F24" s="11"/>
      <c r="G24" s="11">
        <f t="shared" si="0"/>
        <v>0</v>
      </c>
      <c r="H24" s="17">
        <f t="shared" si="1"/>
        <v>0</v>
      </c>
      <c r="I24" s="16">
        <f t="shared" si="2"/>
        <v>0</v>
      </c>
      <c r="J24" s="16"/>
    </row>
    <row r="25" spans="1:10" x14ac:dyDescent="0.25">
      <c r="A25" s="1" t="s">
        <v>16</v>
      </c>
      <c r="B25" s="1" t="s">
        <v>40</v>
      </c>
      <c r="C25" s="11"/>
      <c r="D25" s="11"/>
      <c r="E25" s="11"/>
      <c r="F25" s="11"/>
      <c r="G25" s="11">
        <f t="shared" si="0"/>
        <v>0</v>
      </c>
      <c r="H25" s="17">
        <f t="shared" si="1"/>
        <v>0</v>
      </c>
      <c r="I25" s="16">
        <f t="shared" si="2"/>
        <v>0</v>
      </c>
      <c r="J25" s="16">
        <f>ROUND(G25/327-1,2)</f>
        <v>-1</v>
      </c>
    </row>
    <row r="26" spans="1:10" x14ac:dyDescent="0.25">
      <c r="A26" s="1" t="s">
        <v>16</v>
      </c>
      <c r="B26" s="1" t="s">
        <v>33</v>
      </c>
      <c r="C26" s="11"/>
      <c r="D26" s="11"/>
      <c r="E26" s="11"/>
      <c r="F26" s="11"/>
      <c r="G26" s="11">
        <f t="shared" si="0"/>
        <v>0</v>
      </c>
      <c r="H26" s="17">
        <f t="shared" si="1"/>
        <v>0</v>
      </c>
      <c r="I26" s="16">
        <f t="shared" si="2"/>
        <v>0</v>
      </c>
      <c r="J26" s="16">
        <f>ROUND(G26/330-1,2)</f>
        <v>-1</v>
      </c>
    </row>
    <row r="27" spans="1:10" x14ac:dyDescent="0.25">
      <c r="A27" s="1" t="s">
        <v>16</v>
      </c>
      <c r="B27" s="1" t="s">
        <v>42</v>
      </c>
      <c r="C27" s="11"/>
      <c r="D27" s="11"/>
      <c r="E27" s="11"/>
      <c r="F27" s="11"/>
      <c r="G27" s="11">
        <f t="shared" si="0"/>
        <v>0</v>
      </c>
      <c r="H27" s="17">
        <f t="shared" si="1"/>
        <v>0</v>
      </c>
      <c r="I27" s="16">
        <f t="shared" si="2"/>
        <v>0</v>
      </c>
      <c r="J27" s="16">
        <f>ROUND(G27/1611-1,2)</f>
        <v>-1</v>
      </c>
    </row>
    <row r="28" spans="1:10" x14ac:dyDescent="0.25">
      <c r="A28" s="1" t="s">
        <v>16</v>
      </c>
      <c r="B28" s="1" t="s">
        <v>43</v>
      </c>
      <c r="C28" s="11"/>
      <c r="D28" s="11"/>
      <c r="E28" s="11"/>
      <c r="F28" s="11"/>
      <c r="G28" s="11">
        <f t="shared" si="0"/>
        <v>0</v>
      </c>
      <c r="H28" s="17">
        <f t="shared" si="1"/>
        <v>0</v>
      </c>
      <c r="I28" s="16">
        <f t="shared" si="2"/>
        <v>0</v>
      </c>
      <c r="J28" s="16">
        <f>ROUND(G28/660-1,2)</f>
        <v>-1</v>
      </c>
    </row>
    <row r="29" spans="1:10" x14ac:dyDescent="0.25">
      <c r="A29" s="1" t="s">
        <v>16</v>
      </c>
      <c r="B29" s="1" t="s">
        <v>118</v>
      </c>
      <c r="C29" s="11"/>
      <c r="D29" s="11"/>
      <c r="E29" s="11"/>
      <c r="F29" s="11"/>
      <c r="G29" s="11">
        <f t="shared" si="0"/>
        <v>0</v>
      </c>
      <c r="H29" s="17">
        <f t="shared" si="1"/>
        <v>0</v>
      </c>
      <c r="I29" s="16">
        <f t="shared" si="2"/>
        <v>0</v>
      </c>
      <c r="J29" s="16"/>
    </row>
    <row r="30" spans="1:10" x14ac:dyDescent="0.25">
      <c r="A30" s="1" t="s">
        <v>16</v>
      </c>
      <c r="B30" s="1" t="s">
        <v>41</v>
      </c>
      <c r="C30" s="11"/>
      <c r="D30" s="11"/>
      <c r="E30" s="11"/>
      <c r="F30" s="11"/>
      <c r="G30" s="11">
        <f t="shared" si="0"/>
        <v>0</v>
      </c>
      <c r="H30" s="17">
        <f t="shared" si="1"/>
        <v>0</v>
      </c>
      <c r="I30" s="16">
        <f t="shared" si="2"/>
        <v>0</v>
      </c>
      <c r="J30" s="16"/>
    </row>
    <row r="31" spans="1:10" x14ac:dyDescent="0.25">
      <c r="A31" s="1" t="s">
        <v>16</v>
      </c>
      <c r="B31" s="1" t="s">
        <v>34</v>
      </c>
      <c r="C31" s="11"/>
      <c r="D31" s="11"/>
      <c r="E31" s="11"/>
      <c r="F31" s="11"/>
      <c r="G31" s="11">
        <f t="shared" si="0"/>
        <v>0</v>
      </c>
      <c r="H31" s="17">
        <f t="shared" si="1"/>
        <v>0</v>
      </c>
      <c r="I31" s="16">
        <f t="shared" si="2"/>
        <v>0</v>
      </c>
      <c r="J31" s="16"/>
    </row>
    <row r="32" spans="1:10" x14ac:dyDescent="0.25">
      <c r="A32" s="1" t="s">
        <v>16</v>
      </c>
      <c r="B32" s="1" t="s">
        <v>32</v>
      </c>
      <c r="C32" s="11"/>
      <c r="D32" s="11"/>
      <c r="E32" s="11"/>
      <c r="F32" s="11"/>
      <c r="G32" s="11">
        <f t="shared" si="0"/>
        <v>0</v>
      </c>
      <c r="H32" s="17">
        <f t="shared" si="1"/>
        <v>0</v>
      </c>
      <c r="I32" s="16">
        <f t="shared" si="2"/>
        <v>0</v>
      </c>
      <c r="J32" s="16"/>
    </row>
    <row r="33" spans="1:10" x14ac:dyDescent="0.25">
      <c r="A33" s="1" t="s">
        <v>16</v>
      </c>
      <c r="B33" s="1" t="s">
        <v>36</v>
      </c>
      <c r="C33" s="11"/>
      <c r="D33" s="11"/>
      <c r="E33" s="11"/>
      <c r="F33" s="11"/>
      <c r="G33" s="11">
        <f t="shared" si="0"/>
        <v>0</v>
      </c>
      <c r="H33" s="17">
        <f t="shared" si="1"/>
        <v>0</v>
      </c>
      <c r="I33" s="16">
        <f t="shared" si="2"/>
        <v>0</v>
      </c>
      <c r="J33" s="16"/>
    </row>
    <row r="34" spans="1:10" x14ac:dyDescent="0.25">
      <c r="A34" s="1" t="s">
        <v>16</v>
      </c>
      <c r="B34" s="1" t="s">
        <v>22</v>
      </c>
      <c r="C34" s="11"/>
      <c r="D34" s="11"/>
      <c r="E34" s="11"/>
      <c r="F34" s="11"/>
      <c r="G34" s="11">
        <f t="shared" si="0"/>
        <v>0</v>
      </c>
      <c r="H34" s="17">
        <f t="shared" si="1"/>
        <v>0</v>
      </c>
      <c r="I34" s="16">
        <f t="shared" si="2"/>
        <v>0</v>
      </c>
      <c r="J34" s="16"/>
    </row>
    <row r="35" spans="1:10" x14ac:dyDescent="0.25">
      <c r="A35" s="1" t="s">
        <v>16</v>
      </c>
      <c r="B35" s="1" t="s">
        <v>153</v>
      </c>
      <c r="C35" s="11"/>
      <c r="D35" s="11"/>
      <c r="E35" s="11"/>
      <c r="F35" s="11"/>
      <c r="G35" s="11">
        <f t="shared" si="0"/>
        <v>0</v>
      </c>
      <c r="H35" s="17">
        <f t="shared" si="1"/>
        <v>0</v>
      </c>
      <c r="I35" s="16">
        <f t="shared" si="2"/>
        <v>0</v>
      </c>
      <c r="J35" s="16"/>
    </row>
    <row r="36" spans="1:10" x14ac:dyDescent="0.25">
      <c r="A36" s="1" t="s">
        <v>16</v>
      </c>
      <c r="B36" s="1" t="s">
        <v>39</v>
      </c>
      <c r="C36" s="11"/>
      <c r="D36" s="11"/>
      <c r="E36" s="11"/>
      <c r="F36" s="11"/>
      <c r="G36" s="11">
        <f t="shared" si="0"/>
        <v>0</v>
      </c>
      <c r="H36" s="17">
        <f t="shared" si="1"/>
        <v>0</v>
      </c>
      <c r="I36" s="16">
        <f t="shared" si="2"/>
        <v>0</v>
      </c>
      <c r="J36" s="16"/>
    </row>
    <row r="37" spans="1:10" x14ac:dyDescent="0.25">
      <c r="A37" s="1" t="s">
        <v>44</v>
      </c>
      <c r="B37" s="1" t="s">
        <v>45</v>
      </c>
      <c r="C37" s="11">
        <v>30810</v>
      </c>
      <c r="D37" s="11"/>
      <c r="E37" s="11"/>
      <c r="F37" s="11"/>
      <c r="G37" s="11">
        <f t="shared" si="0"/>
        <v>30810</v>
      </c>
      <c r="H37" s="17">
        <f t="shared" si="1"/>
        <v>24.38</v>
      </c>
      <c r="I37" s="16">
        <f t="shared" si="2"/>
        <v>0.251</v>
      </c>
      <c r="J37" s="16">
        <f>ROUND(G37/32690-1,2)</f>
        <v>-0.06</v>
      </c>
    </row>
    <row r="38" spans="1:10" x14ac:dyDescent="0.25">
      <c r="A38" s="1" t="s">
        <v>44</v>
      </c>
      <c r="B38" s="1" t="s">
        <v>46</v>
      </c>
      <c r="C38" s="11"/>
      <c r="D38" s="11"/>
      <c r="E38" s="11">
        <v>8490</v>
      </c>
      <c r="F38" s="11"/>
      <c r="G38" s="11">
        <f t="shared" si="0"/>
        <v>8490</v>
      </c>
      <c r="H38" s="17">
        <f t="shared" si="1"/>
        <v>6.72</v>
      </c>
      <c r="I38" s="16">
        <f t="shared" si="2"/>
        <v>6.9000000000000006E-2</v>
      </c>
      <c r="J38" s="16">
        <f>ROUND(G38/11140-1,2)</f>
        <v>-0.24</v>
      </c>
    </row>
    <row r="39" spans="1:10" x14ac:dyDescent="0.25">
      <c r="A39" s="1" t="s">
        <v>44</v>
      </c>
      <c r="B39" s="1" t="s">
        <v>47</v>
      </c>
      <c r="C39" s="11"/>
      <c r="D39" s="11"/>
      <c r="E39" s="11"/>
      <c r="F39" s="11"/>
      <c r="G39" s="11">
        <f t="shared" si="0"/>
        <v>0</v>
      </c>
      <c r="H39" s="17">
        <f t="shared" si="1"/>
        <v>0</v>
      </c>
      <c r="I39" s="16">
        <f t="shared" si="2"/>
        <v>0</v>
      </c>
      <c r="J39" s="16"/>
    </row>
    <row r="40" spans="1:10" x14ac:dyDescent="0.25">
      <c r="A40" s="1" t="s">
        <v>48</v>
      </c>
      <c r="B40" s="1" t="s">
        <v>51</v>
      </c>
      <c r="C40" s="11"/>
      <c r="D40" s="11"/>
      <c r="E40" s="11"/>
      <c r="F40" s="11"/>
      <c r="G40" s="11">
        <f t="shared" si="0"/>
        <v>0</v>
      </c>
      <c r="H40" s="17">
        <f t="shared" si="1"/>
        <v>0</v>
      </c>
      <c r="I40" s="16">
        <f t="shared" si="2"/>
        <v>0</v>
      </c>
      <c r="J40" s="16"/>
    </row>
    <row r="41" spans="1:10" x14ac:dyDescent="0.25">
      <c r="A41" s="1" t="s">
        <v>48</v>
      </c>
      <c r="B41" s="1" t="s">
        <v>49</v>
      </c>
      <c r="C41" s="11"/>
      <c r="D41" s="11"/>
      <c r="E41" s="11"/>
      <c r="F41" s="11"/>
      <c r="G41" s="11">
        <f t="shared" si="0"/>
        <v>0</v>
      </c>
      <c r="H41" s="17">
        <f t="shared" si="1"/>
        <v>0</v>
      </c>
      <c r="I41" s="16">
        <f t="shared" si="2"/>
        <v>0</v>
      </c>
      <c r="J41" s="16"/>
    </row>
    <row r="42" spans="1:10" x14ac:dyDescent="0.25">
      <c r="A42" s="21" t="s">
        <v>12</v>
      </c>
      <c r="B42" s="21"/>
      <c r="C42" s="12">
        <f t="shared" ref="C42:H42" si="3">SUM(C8:C41)</f>
        <v>82195</v>
      </c>
      <c r="D42" s="12">
        <f t="shared" si="3"/>
        <v>0</v>
      </c>
      <c r="E42" s="12">
        <f t="shared" si="3"/>
        <v>40576</v>
      </c>
      <c r="F42" s="12">
        <f t="shared" si="3"/>
        <v>0</v>
      </c>
      <c r="G42" s="12">
        <f t="shared" si="3"/>
        <v>122771</v>
      </c>
      <c r="H42" s="15">
        <f t="shared" si="3"/>
        <v>97.13</v>
      </c>
      <c r="I42" s="18"/>
      <c r="J42" s="18"/>
    </row>
    <row r="43" spans="1:10" x14ac:dyDescent="0.25">
      <c r="A43" s="21" t="s">
        <v>14</v>
      </c>
      <c r="B43" s="21"/>
      <c r="C43" s="13">
        <f>ROUND(C42/G42,2)</f>
        <v>0.67</v>
      </c>
      <c r="D43" s="13">
        <f>ROUND(D42/G42,2)</f>
        <v>0</v>
      </c>
      <c r="E43" s="13">
        <f>ROUND(E42/G42,2)</f>
        <v>0.33</v>
      </c>
      <c r="F43" s="13">
        <f>ROUND(F42/G42,2)</f>
        <v>0</v>
      </c>
      <c r="G43" s="14"/>
      <c r="H43" s="14"/>
      <c r="I43" s="18"/>
      <c r="J43" s="18"/>
    </row>
    <row r="44" spans="1:10" x14ac:dyDescent="0.25">
      <c r="A44" s="2" t="s">
        <v>52</v>
      </c>
      <c r="B44" s="2"/>
      <c r="C44" s="14"/>
      <c r="D44" s="14"/>
      <c r="E44" s="14"/>
      <c r="F44" s="14"/>
      <c r="G44" s="14"/>
      <c r="H44" s="14"/>
      <c r="I44" s="18"/>
      <c r="J44" s="18"/>
    </row>
    <row r="45" spans="1:10" x14ac:dyDescent="0.25">
      <c r="C45" s="9"/>
      <c r="D45" s="9"/>
      <c r="E45" s="9"/>
      <c r="F45" s="9"/>
      <c r="G45" s="9"/>
      <c r="H45" s="9"/>
      <c r="I45" s="10"/>
      <c r="J45" s="10"/>
    </row>
    <row r="46" spans="1:10" x14ac:dyDescent="0.25">
      <c r="C46" s="9"/>
      <c r="D46" s="9"/>
      <c r="E46" s="9"/>
      <c r="F46" s="9"/>
      <c r="G46" s="9"/>
      <c r="H46" s="9"/>
      <c r="I46" s="10"/>
      <c r="J46" s="10"/>
    </row>
    <row r="47" spans="1:10" x14ac:dyDescent="0.25">
      <c r="C47" s="9"/>
      <c r="D47" s="9"/>
      <c r="E47" s="9"/>
      <c r="F47" s="9"/>
      <c r="G47" s="9"/>
      <c r="H47" s="9"/>
      <c r="I47" s="10"/>
      <c r="J47" s="10"/>
    </row>
    <row r="48" spans="1:10" x14ac:dyDescent="0.25">
      <c r="A48" s="21" t="s">
        <v>53</v>
      </c>
      <c r="B48" s="21"/>
      <c r="C48" s="12" t="s">
        <v>8</v>
      </c>
      <c r="D48" s="12" t="s">
        <v>9</v>
      </c>
      <c r="E48" s="12" t="s">
        <v>10</v>
      </c>
      <c r="F48" s="12" t="s">
        <v>11</v>
      </c>
      <c r="G48" s="12" t="s">
        <v>12</v>
      </c>
      <c r="H48" s="15" t="s">
        <v>13</v>
      </c>
      <c r="I48" s="18"/>
      <c r="J48" s="18"/>
    </row>
    <row r="49" spans="1:10" x14ac:dyDescent="0.25">
      <c r="A49" s="20" t="s">
        <v>54</v>
      </c>
      <c r="B49" s="20"/>
      <c r="C49" s="11">
        <v>51385</v>
      </c>
      <c r="D49" s="11">
        <v>0</v>
      </c>
      <c r="E49" s="11">
        <v>32086</v>
      </c>
      <c r="F49" s="11">
        <v>0</v>
      </c>
      <c r="G49" s="11">
        <f>SUM(C49:F49)</f>
        <v>83471</v>
      </c>
      <c r="H49" s="17">
        <f>ROUND(G49/1264,2)</f>
        <v>66.040000000000006</v>
      </c>
      <c r="I49" s="10"/>
      <c r="J49" s="10"/>
    </row>
    <row r="50" spans="1:10" x14ac:dyDescent="0.25">
      <c r="A50" s="20" t="s">
        <v>55</v>
      </c>
      <c r="B50" s="20"/>
      <c r="C50" s="11">
        <v>30810</v>
      </c>
      <c r="D50" s="11">
        <v>0</v>
      </c>
      <c r="E50" s="11">
        <v>8490</v>
      </c>
      <c r="F50" s="11">
        <v>0</v>
      </c>
      <c r="G50" s="11">
        <f>SUM(C50:F50)</f>
        <v>39300</v>
      </c>
      <c r="H50" s="17">
        <f>ROUND(G50/1264,2)</f>
        <v>31.09</v>
      </c>
      <c r="I50" s="10"/>
      <c r="J50" s="10"/>
    </row>
    <row r="51" spans="1:10" x14ac:dyDescent="0.25">
      <c r="A51" s="20" t="s">
        <v>56</v>
      </c>
      <c r="B51" s="20"/>
      <c r="C51" s="11">
        <v>0</v>
      </c>
      <c r="D51" s="11">
        <v>0</v>
      </c>
      <c r="E51" s="11">
        <v>0</v>
      </c>
      <c r="F51" s="11">
        <v>0</v>
      </c>
      <c r="G51" s="11">
        <f>SUM(C51:F51)</f>
        <v>0</v>
      </c>
      <c r="H51" s="17">
        <f>ROUND(G51/1264,2)</f>
        <v>0</v>
      </c>
      <c r="I51" s="10"/>
      <c r="J51" s="10"/>
    </row>
    <row r="52" spans="1:10" x14ac:dyDescent="0.25">
      <c r="C52" s="9"/>
      <c r="D52" s="9"/>
      <c r="E52" s="9"/>
      <c r="F52" s="9"/>
      <c r="G52" s="9"/>
      <c r="H52" s="9"/>
      <c r="I52" s="10"/>
      <c r="J52" s="10"/>
    </row>
    <row r="53" spans="1:10" x14ac:dyDescent="0.25">
      <c r="C53" s="9"/>
      <c r="D53" s="9"/>
      <c r="E53" s="9"/>
      <c r="F53" s="9"/>
      <c r="G53" s="9"/>
      <c r="H53" s="9"/>
      <c r="I53" s="10"/>
      <c r="J53" s="10"/>
    </row>
    <row r="54" spans="1:10" x14ac:dyDescent="0.25">
      <c r="C54" s="9"/>
      <c r="D54" s="9"/>
      <c r="E54" s="9"/>
      <c r="F54" s="9"/>
      <c r="G54" s="9"/>
      <c r="H54" s="9"/>
      <c r="I54" s="10"/>
      <c r="J54" s="10"/>
    </row>
    <row r="55" spans="1:10" x14ac:dyDescent="0.25">
      <c r="C55" s="9"/>
      <c r="D55" s="9"/>
      <c r="E55" s="9"/>
      <c r="F55" s="9"/>
      <c r="G55" s="9"/>
      <c r="H55" s="9"/>
      <c r="I55" s="10"/>
      <c r="J55" s="10"/>
    </row>
    <row r="56" spans="1:10" x14ac:dyDescent="0.25">
      <c r="A56" s="21" t="s">
        <v>57</v>
      </c>
      <c r="B56" s="21"/>
      <c r="C56" s="15" t="s">
        <v>2</v>
      </c>
      <c r="D56" s="15">
        <v>2023</v>
      </c>
      <c r="E56" s="15" t="s">
        <v>59</v>
      </c>
      <c r="F56" s="14"/>
      <c r="G56" s="15" t="s">
        <v>60</v>
      </c>
      <c r="H56" s="15" t="s">
        <v>2</v>
      </c>
      <c r="I56" s="13" t="s">
        <v>61</v>
      </c>
      <c r="J56" s="13" t="s">
        <v>59</v>
      </c>
    </row>
    <row r="57" spans="1:10" x14ac:dyDescent="0.25">
      <c r="A57" s="20" t="s">
        <v>58</v>
      </c>
      <c r="B57" s="20"/>
      <c r="C57" s="16">
        <f>ROUND(0.7192, 4)</f>
        <v>0.71919999999999995</v>
      </c>
      <c r="D57" s="16">
        <f>ROUND(0.6897, 4)</f>
        <v>0.68969999999999998</v>
      </c>
      <c r="E57" s="16">
        <f>ROUND(0.777, 4)</f>
        <v>0.77700000000000002</v>
      </c>
      <c r="F57" s="9"/>
      <c r="G57" s="15" t="s">
        <v>62</v>
      </c>
      <c r="H57" s="22" t="s">
        <v>63</v>
      </c>
      <c r="I57" s="24" t="s">
        <v>64</v>
      </c>
      <c r="J57" s="24" t="s">
        <v>65</v>
      </c>
    </row>
    <row r="58" spans="1:10" x14ac:dyDescent="0.25">
      <c r="A58" s="20" t="s">
        <v>66</v>
      </c>
      <c r="B58" s="20"/>
      <c r="C58" s="16">
        <f>ROUND(0.6806, 4)</f>
        <v>0.68059999999999998</v>
      </c>
      <c r="D58" s="16">
        <f>ROUND(0.6575, 4)</f>
        <v>0.65749999999999997</v>
      </c>
      <c r="E58" s="16">
        <f>ROUND(0.7608, 4)</f>
        <v>0.76080000000000003</v>
      </c>
      <c r="F58" s="9"/>
      <c r="G58" s="15" t="s">
        <v>67</v>
      </c>
      <c r="H58" s="23"/>
      <c r="I58" s="25"/>
      <c r="J58" s="25"/>
    </row>
    <row r="59" spans="1:10" x14ac:dyDescent="0.25">
      <c r="C59" s="9"/>
      <c r="D59" s="9"/>
      <c r="E59" s="9"/>
      <c r="F59" s="9"/>
      <c r="G59" s="9"/>
      <c r="H59" s="9"/>
      <c r="I59" s="10"/>
      <c r="J59" s="10"/>
    </row>
    <row r="60" spans="1:10" x14ac:dyDescent="0.25">
      <c r="C60" s="9"/>
      <c r="D60" s="9"/>
      <c r="E60" s="9"/>
      <c r="F60" s="9"/>
      <c r="G60" s="9"/>
      <c r="H60" s="9"/>
      <c r="I60" s="10"/>
      <c r="J60" s="10"/>
    </row>
    <row r="61" spans="1:10" x14ac:dyDescent="0.25">
      <c r="C61" s="9"/>
      <c r="D61" s="9"/>
      <c r="E61" s="9"/>
      <c r="F61" s="9"/>
      <c r="G61" s="9"/>
      <c r="H61" s="9"/>
      <c r="I61" s="10"/>
      <c r="J61" s="10"/>
    </row>
    <row r="62" spans="1:10" x14ac:dyDescent="0.25">
      <c r="A62" s="21" t="s">
        <v>68</v>
      </c>
      <c r="B62" s="21"/>
      <c r="C62" s="15" t="s">
        <v>2</v>
      </c>
      <c r="D62" s="15" t="s">
        <v>154</v>
      </c>
      <c r="E62" s="15" t="s">
        <v>70</v>
      </c>
      <c r="F62" s="15" t="s">
        <v>71</v>
      </c>
      <c r="G62" s="15" t="s">
        <v>72</v>
      </c>
      <c r="H62" s="14"/>
      <c r="I62" s="18"/>
      <c r="J62" s="18"/>
    </row>
    <row r="63" spans="1:10" x14ac:dyDescent="0.25">
      <c r="A63" s="20" t="s">
        <v>73</v>
      </c>
      <c r="B63" s="20"/>
      <c r="C63" s="17">
        <v>24.37</v>
      </c>
      <c r="D63" s="17">
        <v>63.07</v>
      </c>
      <c r="E63" s="17">
        <v>81.84</v>
      </c>
      <c r="F63" s="17">
        <v>48</v>
      </c>
      <c r="G63" s="17">
        <f>12/4*C63</f>
        <v>73.11</v>
      </c>
      <c r="H63" s="9"/>
      <c r="I63" s="10"/>
      <c r="J63" s="10"/>
    </row>
    <row r="64" spans="1:10" x14ac:dyDescent="0.25">
      <c r="A64" s="20" t="s">
        <v>74</v>
      </c>
      <c r="B64" s="20"/>
      <c r="C64" s="17">
        <v>9.8699999999999992</v>
      </c>
      <c r="D64" s="17">
        <v>37.94</v>
      </c>
      <c r="E64" s="17">
        <v>55.63</v>
      </c>
      <c r="F64" s="17">
        <v>55.33</v>
      </c>
      <c r="G64" s="17">
        <f>12/4*C64</f>
        <v>29.61</v>
      </c>
      <c r="H64" s="9"/>
      <c r="I64" s="10"/>
      <c r="J64" s="10"/>
    </row>
    <row r="65" spans="1:10" x14ac:dyDescent="0.25">
      <c r="A65" s="20" t="s">
        <v>75</v>
      </c>
      <c r="B65" s="20"/>
      <c r="C65" s="17">
        <v>66.040000000000006</v>
      </c>
      <c r="D65" s="17">
        <v>202.93</v>
      </c>
      <c r="E65" s="17">
        <v>257.88</v>
      </c>
      <c r="F65" s="17">
        <v>242.78</v>
      </c>
      <c r="G65" s="17">
        <f>12/4*C65</f>
        <v>198.12</v>
      </c>
      <c r="H65" s="9"/>
      <c r="I65" s="10"/>
      <c r="J65" s="10"/>
    </row>
    <row r="66" spans="1:10" x14ac:dyDescent="0.25">
      <c r="A66" s="20" t="s">
        <v>76</v>
      </c>
      <c r="B66" s="20"/>
      <c r="C66" s="17">
        <v>31.09</v>
      </c>
      <c r="D66" s="17">
        <v>84.31</v>
      </c>
      <c r="E66" s="17">
        <v>103.14</v>
      </c>
      <c r="F66" s="17">
        <v>68.31</v>
      </c>
      <c r="G66" s="17">
        <f>12/4*C66</f>
        <v>93.27</v>
      </c>
      <c r="H66" s="9"/>
      <c r="I66" s="10"/>
      <c r="J66" s="10"/>
    </row>
    <row r="67" spans="1:10" x14ac:dyDescent="0.25">
      <c r="C67" s="9"/>
      <c r="D67" s="9"/>
      <c r="E67" s="9"/>
      <c r="F67" s="9"/>
      <c r="G67" s="9"/>
      <c r="H67" s="9"/>
      <c r="I67" s="10"/>
      <c r="J67" s="10"/>
    </row>
    <row r="68" spans="1:10" x14ac:dyDescent="0.25">
      <c r="C68" s="9"/>
      <c r="D68" s="9"/>
      <c r="E68" s="9"/>
      <c r="F68" s="9"/>
      <c r="G68" s="9"/>
      <c r="H68" s="9"/>
      <c r="I68" s="10"/>
      <c r="J68" s="10"/>
    </row>
    <row r="69" spans="1:10" x14ac:dyDescent="0.25">
      <c r="A69" s="19" t="s">
        <v>60</v>
      </c>
      <c r="B69" s="26"/>
      <c r="C69" s="9"/>
      <c r="D69" s="9"/>
      <c r="E69" s="9"/>
      <c r="F69" s="9"/>
      <c r="G69" s="9"/>
      <c r="H69" s="9"/>
      <c r="I69" s="10"/>
      <c r="J69" s="10"/>
    </row>
    <row r="70" spans="1:10" x14ac:dyDescent="0.25">
      <c r="A70" s="3" t="s">
        <v>77</v>
      </c>
      <c r="B70" s="1" t="s">
        <v>155</v>
      </c>
      <c r="C70" s="9"/>
      <c r="D70" s="9"/>
      <c r="E70" s="9"/>
      <c r="F70" s="9"/>
      <c r="G70" s="9"/>
      <c r="H70" s="9"/>
      <c r="I70" s="10"/>
      <c r="J70" s="10"/>
    </row>
    <row r="71" spans="1:10" x14ac:dyDescent="0.25">
      <c r="A71" s="3" t="s">
        <v>70</v>
      </c>
      <c r="B71" s="1" t="s">
        <v>79</v>
      </c>
      <c r="C71" s="9"/>
      <c r="D71" s="9"/>
      <c r="E71" s="9"/>
      <c r="F71" s="9"/>
      <c r="G71" s="9"/>
      <c r="H71" s="9"/>
      <c r="I71" s="10"/>
      <c r="J71" s="10"/>
    </row>
    <row r="72" spans="1:10" x14ac:dyDescent="0.25">
      <c r="A72" s="3" t="s">
        <v>71</v>
      </c>
      <c r="B72" s="1" t="s">
        <v>80</v>
      </c>
      <c r="C72" s="9"/>
      <c r="D72" s="9"/>
      <c r="E72" s="9"/>
      <c r="F72" s="9"/>
      <c r="G72" s="9"/>
      <c r="H72" s="9"/>
      <c r="I72" s="10"/>
      <c r="J72" s="10"/>
    </row>
    <row r="73" spans="1:10" x14ac:dyDescent="0.25">
      <c r="A73" s="3" t="s">
        <v>72</v>
      </c>
      <c r="B73" s="1" t="s">
        <v>81</v>
      </c>
      <c r="C73" s="9"/>
      <c r="D73" s="9"/>
      <c r="E73" s="9"/>
      <c r="F73" s="9"/>
      <c r="G73" s="9"/>
      <c r="H73" s="9"/>
      <c r="I73" s="10"/>
      <c r="J73" s="10"/>
    </row>
    <row r="74" spans="1:10" x14ac:dyDescent="0.25">
      <c r="C74" s="9"/>
      <c r="D74" s="9"/>
      <c r="E74" s="9"/>
      <c r="F74" s="9"/>
      <c r="G74" s="9"/>
      <c r="H74" s="9"/>
      <c r="I74" s="10"/>
      <c r="J74" s="10"/>
    </row>
    <row r="75" spans="1:10" x14ac:dyDescent="0.25">
      <c r="C75" s="9"/>
      <c r="D75" s="9"/>
      <c r="E75" s="9"/>
      <c r="F75" s="9"/>
      <c r="G75" s="9"/>
      <c r="H75" s="9"/>
      <c r="I75" s="10"/>
      <c r="J75" s="10"/>
    </row>
    <row r="76" spans="1:10" x14ac:dyDescent="0.25">
      <c r="C76" s="9"/>
      <c r="D76" s="9"/>
      <c r="E76" s="9"/>
      <c r="F76" s="9"/>
      <c r="G76" s="9"/>
      <c r="H76" s="9"/>
      <c r="I76" s="10"/>
      <c r="J76" s="10"/>
    </row>
  </sheetData>
  <mergeCells count="19">
    <mergeCell ref="A64:B64"/>
    <mergeCell ref="A65:B65"/>
    <mergeCell ref="A66:B66"/>
    <mergeCell ref="A69:B69"/>
    <mergeCell ref="I57:I58"/>
    <mergeCell ref="J57:J58"/>
    <mergeCell ref="A58:B58"/>
    <mergeCell ref="A62:B62"/>
    <mergeCell ref="A63:B63"/>
    <mergeCell ref="A50:B50"/>
    <mergeCell ref="A51:B51"/>
    <mergeCell ref="A56:B56"/>
    <mergeCell ref="A57:B57"/>
    <mergeCell ref="H57:H58"/>
    <mergeCell ref="C7:G7"/>
    <mergeCell ref="A42:B42"/>
    <mergeCell ref="A43:B43"/>
    <mergeCell ref="A48:B48"/>
    <mergeCell ref="A49:B49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2:J76"/>
  <sheetViews>
    <sheetView workbookViewId="0">
      <selection activeCell="C9" sqref="C9:J60"/>
    </sheetView>
  </sheetViews>
  <sheetFormatPr defaultRowHeight="15" x14ac:dyDescent="0.25"/>
  <cols>
    <col min="1" max="1" width="38.85546875" bestFit="1" customWidth="1"/>
    <col min="2" max="2" width="79" bestFit="1" customWidth="1"/>
    <col min="3" max="3" width="14" bestFit="1" customWidth="1"/>
    <col min="4" max="4" width="23.42578125" bestFit="1" customWidth="1"/>
    <col min="5" max="5" width="16.42578125" bestFit="1" customWidth="1"/>
    <col min="6" max="6" width="10.5703125" bestFit="1" customWidth="1"/>
    <col min="7" max="7" width="68.28515625" bestFit="1" customWidth="1"/>
    <col min="8" max="9" width="20" bestFit="1" customWidth="1"/>
    <col min="10" max="10" width="30.5703125" bestFit="1" customWidth="1"/>
  </cols>
  <sheetData>
    <row r="2" spans="1:10" ht="18.75" x14ac:dyDescent="0.3">
      <c r="A2" s="3" t="s">
        <v>0</v>
      </c>
      <c r="B2" s="4" t="s">
        <v>156</v>
      </c>
    </row>
    <row r="3" spans="1:10" x14ac:dyDescent="0.25">
      <c r="A3" s="3" t="s">
        <v>2</v>
      </c>
      <c r="B3" s="1" t="s">
        <v>3</v>
      </c>
    </row>
    <row r="4" spans="1:10" x14ac:dyDescent="0.25">
      <c r="A4" s="3" t="s">
        <v>4</v>
      </c>
      <c r="B4" s="1">
        <v>5993</v>
      </c>
    </row>
    <row r="7" spans="1:10" x14ac:dyDescent="0.25">
      <c r="C7" s="19" t="s">
        <v>5</v>
      </c>
      <c r="D7" s="20"/>
      <c r="E7" s="20"/>
      <c r="F7" s="20"/>
      <c r="G7" s="20"/>
    </row>
    <row r="8" spans="1:10" x14ac:dyDescent="0.25">
      <c r="A8" s="3" t="s">
        <v>6</v>
      </c>
      <c r="B8" s="3" t="s">
        <v>7</v>
      </c>
      <c r="C8" s="3" t="s">
        <v>8</v>
      </c>
      <c r="D8" s="3" t="s">
        <v>9</v>
      </c>
      <c r="E8" s="3" t="s">
        <v>10</v>
      </c>
      <c r="F8" s="3" t="s">
        <v>11</v>
      </c>
      <c r="G8" s="3" t="s">
        <v>12</v>
      </c>
      <c r="H8" s="3" t="s">
        <v>13</v>
      </c>
      <c r="I8" s="3" t="s">
        <v>14</v>
      </c>
      <c r="J8" s="3" t="s">
        <v>15</v>
      </c>
    </row>
    <row r="9" spans="1:10" x14ac:dyDescent="0.25">
      <c r="A9" s="1" t="s">
        <v>16</v>
      </c>
      <c r="B9" s="1" t="s">
        <v>17</v>
      </c>
      <c r="C9" s="11"/>
      <c r="D9" s="11"/>
      <c r="E9" s="11">
        <v>70</v>
      </c>
      <c r="F9" s="11"/>
      <c r="G9" s="11">
        <f t="shared" ref="G9:G44" si="0">SUM(C9:F9)</f>
        <v>70</v>
      </c>
      <c r="H9" s="17">
        <f t="shared" ref="H9:H44" si="1">ROUND(G9/5993,2)</f>
        <v>0.01</v>
      </c>
      <c r="I9" s="16">
        <f t="shared" ref="I9:I44" si="2">ROUND(G9/$G$45,3)</f>
        <v>0</v>
      </c>
      <c r="J9" s="16">
        <f>ROUND(G9/81-1,2)</f>
        <v>-0.14000000000000001</v>
      </c>
    </row>
    <row r="10" spans="1:10" x14ac:dyDescent="0.25">
      <c r="A10" s="1" t="s">
        <v>16</v>
      </c>
      <c r="B10" s="1" t="s">
        <v>19</v>
      </c>
      <c r="C10" s="11">
        <v>75380</v>
      </c>
      <c r="D10" s="11"/>
      <c r="E10" s="11">
        <v>1600</v>
      </c>
      <c r="F10" s="11"/>
      <c r="G10" s="11">
        <f t="shared" si="0"/>
        <v>76980</v>
      </c>
      <c r="H10" s="17">
        <f t="shared" si="1"/>
        <v>12.84</v>
      </c>
      <c r="I10" s="16">
        <f t="shared" si="2"/>
        <v>8.1000000000000003E-2</v>
      </c>
      <c r="J10" s="16">
        <f>ROUND(G10/67380-1,2)</f>
        <v>0.14000000000000001</v>
      </c>
    </row>
    <row r="11" spans="1:10" x14ac:dyDescent="0.25">
      <c r="A11" s="1" t="s">
        <v>16</v>
      </c>
      <c r="B11" s="1" t="s">
        <v>20</v>
      </c>
      <c r="C11" s="11">
        <v>95760</v>
      </c>
      <c r="D11" s="11"/>
      <c r="E11" s="11"/>
      <c r="F11" s="11"/>
      <c r="G11" s="11">
        <f t="shared" si="0"/>
        <v>95760</v>
      </c>
      <c r="H11" s="17">
        <f t="shared" si="1"/>
        <v>15.98</v>
      </c>
      <c r="I11" s="16">
        <f t="shared" si="2"/>
        <v>0.10100000000000001</v>
      </c>
      <c r="J11" s="16">
        <f>ROUND(G11/94830-1,2)</f>
        <v>0.01</v>
      </c>
    </row>
    <row r="12" spans="1:10" x14ac:dyDescent="0.25">
      <c r="A12" s="1" t="s">
        <v>16</v>
      </c>
      <c r="B12" s="1" t="s">
        <v>94</v>
      </c>
      <c r="C12" s="11"/>
      <c r="D12" s="11"/>
      <c r="E12" s="11">
        <v>98</v>
      </c>
      <c r="F12" s="11"/>
      <c r="G12" s="11">
        <f t="shared" si="0"/>
        <v>98</v>
      </c>
      <c r="H12" s="17">
        <f t="shared" si="1"/>
        <v>0.02</v>
      </c>
      <c r="I12" s="16">
        <f t="shared" si="2"/>
        <v>0</v>
      </c>
      <c r="J12" s="16">
        <f>ROUND(G12/93-1,2)</f>
        <v>0.05</v>
      </c>
    </row>
    <row r="13" spans="1:10" x14ac:dyDescent="0.25">
      <c r="A13" s="1" t="s">
        <v>16</v>
      </c>
      <c r="B13" s="1" t="s">
        <v>21</v>
      </c>
      <c r="C13" s="11"/>
      <c r="D13" s="11"/>
      <c r="E13" s="11">
        <v>65</v>
      </c>
      <c r="F13" s="11"/>
      <c r="G13" s="11">
        <f t="shared" si="0"/>
        <v>65</v>
      </c>
      <c r="H13" s="17">
        <f t="shared" si="1"/>
        <v>0.01</v>
      </c>
      <c r="I13" s="16">
        <f t="shared" si="2"/>
        <v>0</v>
      </c>
      <c r="J13" s="16">
        <f>ROUND(G13/50-1,2)</f>
        <v>0.3</v>
      </c>
    </row>
    <row r="14" spans="1:10" x14ac:dyDescent="0.25">
      <c r="A14" s="1" t="s">
        <v>16</v>
      </c>
      <c r="B14" s="1" t="s">
        <v>22</v>
      </c>
      <c r="C14" s="11"/>
      <c r="D14" s="11"/>
      <c r="E14" s="11">
        <v>1100</v>
      </c>
      <c r="F14" s="11"/>
      <c r="G14" s="11">
        <f t="shared" si="0"/>
        <v>1100</v>
      </c>
      <c r="H14" s="17">
        <f t="shared" si="1"/>
        <v>0.18</v>
      </c>
      <c r="I14" s="16">
        <f t="shared" si="2"/>
        <v>1E-3</v>
      </c>
      <c r="J14" s="16">
        <f>ROUND(G14/1060-1,2)</f>
        <v>0.04</v>
      </c>
    </row>
    <row r="15" spans="1:10" x14ac:dyDescent="0.25">
      <c r="A15" s="1" t="s">
        <v>16</v>
      </c>
      <c r="B15" s="1" t="s">
        <v>23</v>
      </c>
      <c r="C15" s="11"/>
      <c r="D15" s="11"/>
      <c r="E15" s="11">
        <v>21500</v>
      </c>
      <c r="F15" s="11"/>
      <c r="G15" s="11">
        <f t="shared" si="0"/>
        <v>21500</v>
      </c>
      <c r="H15" s="17">
        <f t="shared" si="1"/>
        <v>3.59</v>
      </c>
      <c r="I15" s="16">
        <f t="shared" si="2"/>
        <v>2.3E-2</v>
      </c>
      <c r="J15" s="16">
        <f>ROUND(G15/19000-1,2)</f>
        <v>0.13</v>
      </c>
    </row>
    <row r="16" spans="1:10" x14ac:dyDescent="0.25">
      <c r="A16" s="1" t="s">
        <v>16</v>
      </c>
      <c r="B16" s="1" t="s">
        <v>24</v>
      </c>
      <c r="C16" s="11">
        <v>111520</v>
      </c>
      <c r="D16" s="11"/>
      <c r="E16" s="11">
        <v>12860</v>
      </c>
      <c r="F16" s="11"/>
      <c r="G16" s="11">
        <f t="shared" si="0"/>
        <v>124380</v>
      </c>
      <c r="H16" s="17">
        <f t="shared" si="1"/>
        <v>20.75</v>
      </c>
      <c r="I16" s="16">
        <f t="shared" si="2"/>
        <v>0.13100000000000001</v>
      </c>
      <c r="J16" s="16">
        <f>ROUND(G16/118540-1,2)</f>
        <v>0.05</v>
      </c>
    </row>
    <row r="17" spans="1:10" x14ac:dyDescent="0.25">
      <c r="A17" s="1" t="s">
        <v>16</v>
      </c>
      <c r="B17" s="1" t="s">
        <v>25</v>
      </c>
      <c r="C17" s="11"/>
      <c r="D17" s="11"/>
      <c r="E17" s="11">
        <v>4190</v>
      </c>
      <c r="F17" s="11"/>
      <c r="G17" s="11">
        <f t="shared" si="0"/>
        <v>4190</v>
      </c>
      <c r="H17" s="17">
        <f t="shared" si="1"/>
        <v>0.7</v>
      </c>
      <c r="I17" s="16">
        <f t="shared" si="2"/>
        <v>4.0000000000000001E-3</v>
      </c>
      <c r="J17" s="16">
        <f>ROUND(G17/2625-1,2)</f>
        <v>0.6</v>
      </c>
    </row>
    <row r="18" spans="1:10" x14ac:dyDescent="0.25">
      <c r="A18" s="1" t="s">
        <v>16</v>
      </c>
      <c r="B18" s="1" t="s">
        <v>26</v>
      </c>
      <c r="C18" s="11">
        <v>140940</v>
      </c>
      <c r="D18" s="11"/>
      <c r="E18" s="11"/>
      <c r="F18" s="11"/>
      <c r="G18" s="11">
        <f t="shared" si="0"/>
        <v>140940</v>
      </c>
      <c r="H18" s="17">
        <f t="shared" si="1"/>
        <v>23.52</v>
      </c>
      <c r="I18" s="16">
        <f t="shared" si="2"/>
        <v>0.14799999999999999</v>
      </c>
      <c r="J18" s="16">
        <f>ROUND(G18/140920-1,2)</f>
        <v>0</v>
      </c>
    </row>
    <row r="19" spans="1:10" x14ac:dyDescent="0.25">
      <c r="A19" s="1" t="s">
        <v>16</v>
      </c>
      <c r="B19" s="1" t="s">
        <v>27</v>
      </c>
      <c r="C19" s="11"/>
      <c r="D19" s="11"/>
      <c r="E19" s="11">
        <v>411</v>
      </c>
      <c r="F19" s="11"/>
      <c r="G19" s="11">
        <f t="shared" si="0"/>
        <v>411</v>
      </c>
      <c r="H19" s="17">
        <f t="shared" si="1"/>
        <v>7.0000000000000007E-2</v>
      </c>
      <c r="I19" s="16">
        <f t="shared" si="2"/>
        <v>0</v>
      </c>
      <c r="J19" s="16">
        <f>ROUND(G19/470-1,2)</f>
        <v>-0.13</v>
      </c>
    </row>
    <row r="20" spans="1:10" x14ac:dyDescent="0.25">
      <c r="A20" s="1" t="s">
        <v>16</v>
      </c>
      <c r="B20" s="1" t="s">
        <v>28</v>
      </c>
      <c r="C20" s="11"/>
      <c r="D20" s="11"/>
      <c r="E20" s="11">
        <v>177</v>
      </c>
      <c r="F20" s="11"/>
      <c r="G20" s="11">
        <f t="shared" si="0"/>
        <v>177</v>
      </c>
      <c r="H20" s="17">
        <f t="shared" si="1"/>
        <v>0.03</v>
      </c>
      <c r="I20" s="16">
        <f t="shared" si="2"/>
        <v>0</v>
      </c>
      <c r="J20" s="16">
        <f>ROUND(G20/50-1,2)</f>
        <v>2.54</v>
      </c>
    </row>
    <row r="21" spans="1:10" x14ac:dyDescent="0.25">
      <c r="A21" s="1" t="s">
        <v>16</v>
      </c>
      <c r="B21" s="1" t="s">
        <v>29</v>
      </c>
      <c r="C21" s="11"/>
      <c r="D21" s="11"/>
      <c r="E21" s="11">
        <v>880</v>
      </c>
      <c r="F21" s="11"/>
      <c r="G21" s="11">
        <f t="shared" si="0"/>
        <v>880</v>
      </c>
      <c r="H21" s="17">
        <f t="shared" si="1"/>
        <v>0.15</v>
      </c>
      <c r="I21" s="16">
        <f t="shared" si="2"/>
        <v>1E-3</v>
      </c>
      <c r="J21" s="16">
        <f>ROUND(G21/680-1,2)</f>
        <v>0.28999999999999998</v>
      </c>
    </row>
    <row r="22" spans="1:10" x14ac:dyDescent="0.25">
      <c r="A22" s="1" t="s">
        <v>16</v>
      </c>
      <c r="B22" s="1" t="s">
        <v>30</v>
      </c>
      <c r="C22" s="11"/>
      <c r="D22" s="11"/>
      <c r="E22" s="11">
        <v>600</v>
      </c>
      <c r="F22" s="11"/>
      <c r="G22" s="11">
        <f t="shared" si="0"/>
        <v>600</v>
      </c>
      <c r="H22" s="17">
        <f t="shared" si="1"/>
        <v>0.1</v>
      </c>
      <c r="I22" s="16">
        <f t="shared" si="2"/>
        <v>1E-3</v>
      </c>
      <c r="J22" s="16"/>
    </row>
    <row r="23" spans="1:10" x14ac:dyDescent="0.25">
      <c r="A23" s="1" t="s">
        <v>16</v>
      </c>
      <c r="B23" s="1" t="s">
        <v>31</v>
      </c>
      <c r="C23" s="11"/>
      <c r="D23" s="11"/>
      <c r="E23" s="11">
        <v>850</v>
      </c>
      <c r="F23" s="11"/>
      <c r="G23" s="11">
        <f t="shared" si="0"/>
        <v>850</v>
      </c>
      <c r="H23" s="17">
        <f t="shared" si="1"/>
        <v>0.14000000000000001</v>
      </c>
      <c r="I23" s="16">
        <f t="shared" si="2"/>
        <v>1E-3</v>
      </c>
      <c r="J23" s="16">
        <f>ROUND(G23/545-1,2)</f>
        <v>0.56000000000000005</v>
      </c>
    </row>
    <row r="24" spans="1:10" x14ac:dyDescent="0.25">
      <c r="A24" s="1" t="s">
        <v>16</v>
      </c>
      <c r="B24" s="1" t="s">
        <v>32</v>
      </c>
      <c r="C24" s="11"/>
      <c r="D24" s="11">
        <v>217</v>
      </c>
      <c r="E24" s="11"/>
      <c r="F24" s="11"/>
      <c r="G24" s="11">
        <f t="shared" si="0"/>
        <v>217</v>
      </c>
      <c r="H24" s="17">
        <f t="shared" si="1"/>
        <v>0.04</v>
      </c>
      <c r="I24" s="16">
        <f t="shared" si="2"/>
        <v>0</v>
      </c>
      <c r="J24" s="16">
        <f>ROUND(G24/249-1,2)</f>
        <v>-0.13</v>
      </c>
    </row>
    <row r="25" spans="1:10" x14ac:dyDescent="0.25">
      <c r="A25" s="1" t="s">
        <v>16</v>
      </c>
      <c r="B25" s="1" t="s">
        <v>34</v>
      </c>
      <c r="C25" s="11"/>
      <c r="D25" s="11">
        <v>190</v>
      </c>
      <c r="E25" s="11">
        <v>260</v>
      </c>
      <c r="F25" s="11"/>
      <c r="G25" s="11">
        <f t="shared" si="0"/>
        <v>450</v>
      </c>
      <c r="H25" s="17">
        <f t="shared" si="1"/>
        <v>0.08</v>
      </c>
      <c r="I25" s="16">
        <f t="shared" si="2"/>
        <v>0</v>
      </c>
      <c r="J25" s="16">
        <f>ROUND(G25/440-1,2)</f>
        <v>0.02</v>
      </c>
    </row>
    <row r="26" spans="1:10" x14ac:dyDescent="0.25">
      <c r="A26" s="1" t="s">
        <v>16</v>
      </c>
      <c r="B26" s="1" t="s">
        <v>35</v>
      </c>
      <c r="C26" s="11"/>
      <c r="D26" s="11"/>
      <c r="E26" s="11">
        <v>65700</v>
      </c>
      <c r="F26" s="11"/>
      <c r="G26" s="11">
        <f t="shared" si="0"/>
        <v>65700</v>
      </c>
      <c r="H26" s="17">
        <f t="shared" si="1"/>
        <v>10.96</v>
      </c>
      <c r="I26" s="16">
        <f t="shared" si="2"/>
        <v>6.9000000000000006E-2</v>
      </c>
      <c r="J26" s="16">
        <f>ROUND(G26/42125-1,2)</f>
        <v>0.56000000000000005</v>
      </c>
    </row>
    <row r="27" spans="1:10" x14ac:dyDescent="0.25">
      <c r="A27" s="1" t="s">
        <v>16</v>
      </c>
      <c r="B27" s="1" t="s">
        <v>36</v>
      </c>
      <c r="C27" s="11"/>
      <c r="D27" s="11"/>
      <c r="E27" s="11">
        <v>740</v>
      </c>
      <c r="F27" s="11"/>
      <c r="G27" s="11">
        <f t="shared" si="0"/>
        <v>740</v>
      </c>
      <c r="H27" s="17">
        <f t="shared" si="1"/>
        <v>0.12</v>
      </c>
      <c r="I27" s="16">
        <f t="shared" si="2"/>
        <v>1E-3</v>
      </c>
      <c r="J27" s="16">
        <f>ROUND(G27/4140-1,2)</f>
        <v>-0.82</v>
      </c>
    </row>
    <row r="28" spans="1:10" x14ac:dyDescent="0.25">
      <c r="A28" s="1" t="s">
        <v>16</v>
      </c>
      <c r="B28" s="1" t="s">
        <v>37</v>
      </c>
      <c r="C28" s="11"/>
      <c r="D28" s="11"/>
      <c r="E28" s="11">
        <v>12840</v>
      </c>
      <c r="F28" s="11"/>
      <c r="G28" s="11">
        <f t="shared" si="0"/>
        <v>12840</v>
      </c>
      <c r="H28" s="17">
        <f t="shared" si="1"/>
        <v>2.14</v>
      </c>
      <c r="I28" s="16">
        <f t="shared" si="2"/>
        <v>1.4E-2</v>
      </c>
      <c r="J28" s="16">
        <f>ROUND(G28/4930-1,2)</f>
        <v>1.6</v>
      </c>
    </row>
    <row r="29" spans="1:10" x14ac:dyDescent="0.25">
      <c r="A29" s="1" t="s">
        <v>16</v>
      </c>
      <c r="B29" s="1" t="s">
        <v>38</v>
      </c>
      <c r="C29" s="11"/>
      <c r="D29" s="11"/>
      <c r="E29" s="11">
        <v>121060</v>
      </c>
      <c r="F29" s="11"/>
      <c r="G29" s="11">
        <f t="shared" si="0"/>
        <v>121060</v>
      </c>
      <c r="H29" s="17">
        <f t="shared" si="1"/>
        <v>20.2</v>
      </c>
      <c r="I29" s="16">
        <f t="shared" si="2"/>
        <v>0.127</v>
      </c>
      <c r="J29" s="16">
        <f>ROUND(G29/105920-1,2)</f>
        <v>0.14000000000000001</v>
      </c>
    </row>
    <row r="30" spans="1:10" x14ac:dyDescent="0.25">
      <c r="A30" s="1" t="s">
        <v>16</v>
      </c>
      <c r="B30" s="1" t="s">
        <v>39</v>
      </c>
      <c r="C30" s="11"/>
      <c r="D30" s="11"/>
      <c r="E30" s="11"/>
      <c r="F30" s="11"/>
      <c r="G30" s="11">
        <f t="shared" si="0"/>
        <v>0</v>
      </c>
      <c r="H30" s="17">
        <f t="shared" si="1"/>
        <v>0</v>
      </c>
      <c r="I30" s="16">
        <f t="shared" si="2"/>
        <v>0</v>
      </c>
      <c r="J30" s="16">
        <f>ROUND(G30/42-1,2)</f>
        <v>-1</v>
      </c>
    </row>
    <row r="31" spans="1:10" x14ac:dyDescent="0.25">
      <c r="A31" s="1" t="s">
        <v>16</v>
      </c>
      <c r="B31" s="1" t="s">
        <v>40</v>
      </c>
      <c r="C31" s="11"/>
      <c r="D31" s="11"/>
      <c r="E31" s="11"/>
      <c r="F31" s="11"/>
      <c r="G31" s="11">
        <f t="shared" si="0"/>
        <v>0</v>
      </c>
      <c r="H31" s="17">
        <f t="shared" si="1"/>
        <v>0</v>
      </c>
      <c r="I31" s="16">
        <f t="shared" si="2"/>
        <v>0</v>
      </c>
      <c r="J31" s="16">
        <f>ROUND(G31/1010-1,2)</f>
        <v>-1</v>
      </c>
    </row>
    <row r="32" spans="1:10" x14ac:dyDescent="0.25">
      <c r="A32" s="1" t="s">
        <v>16</v>
      </c>
      <c r="B32" s="1" t="s">
        <v>41</v>
      </c>
      <c r="C32" s="11"/>
      <c r="D32" s="11"/>
      <c r="E32" s="11"/>
      <c r="F32" s="11"/>
      <c r="G32" s="11">
        <f t="shared" si="0"/>
        <v>0</v>
      </c>
      <c r="H32" s="17">
        <f t="shared" si="1"/>
        <v>0</v>
      </c>
      <c r="I32" s="16">
        <f t="shared" si="2"/>
        <v>0</v>
      </c>
      <c r="J32" s="16">
        <f>ROUND(G32/1180-1,2)</f>
        <v>-1</v>
      </c>
    </row>
    <row r="33" spans="1:10" x14ac:dyDescent="0.25">
      <c r="A33" s="1" t="s">
        <v>16</v>
      </c>
      <c r="B33" s="1" t="s">
        <v>42</v>
      </c>
      <c r="C33" s="11"/>
      <c r="D33" s="11"/>
      <c r="E33" s="11"/>
      <c r="F33" s="11"/>
      <c r="G33" s="11">
        <f t="shared" si="0"/>
        <v>0</v>
      </c>
      <c r="H33" s="17">
        <f t="shared" si="1"/>
        <v>0</v>
      </c>
      <c r="I33" s="16">
        <f t="shared" si="2"/>
        <v>0</v>
      </c>
      <c r="J33" s="16">
        <f>ROUND(G33/1280-1,2)</f>
        <v>-1</v>
      </c>
    </row>
    <row r="34" spans="1:10" x14ac:dyDescent="0.25">
      <c r="A34" s="1" t="s">
        <v>16</v>
      </c>
      <c r="B34" s="1" t="s">
        <v>43</v>
      </c>
      <c r="C34" s="11"/>
      <c r="D34" s="11"/>
      <c r="E34" s="11"/>
      <c r="F34" s="11"/>
      <c r="G34" s="11">
        <f t="shared" si="0"/>
        <v>0</v>
      </c>
      <c r="H34" s="17">
        <f t="shared" si="1"/>
        <v>0</v>
      </c>
      <c r="I34" s="16">
        <f t="shared" si="2"/>
        <v>0</v>
      </c>
      <c r="J34" s="16">
        <f>ROUND(G34/4738-1,2)</f>
        <v>-1</v>
      </c>
    </row>
    <row r="35" spans="1:10" x14ac:dyDescent="0.25">
      <c r="A35" s="1" t="s">
        <v>16</v>
      </c>
      <c r="B35" s="1" t="s">
        <v>33</v>
      </c>
      <c r="C35" s="11"/>
      <c r="D35" s="11"/>
      <c r="E35" s="11"/>
      <c r="F35" s="11"/>
      <c r="G35" s="11">
        <f t="shared" si="0"/>
        <v>0</v>
      </c>
      <c r="H35" s="17">
        <f t="shared" si="1"/>
        <v>0</v>
      </c>
      <c r="I35" s="16">
        <f t="shared" si="2"/>
        <v>0</v>
      </c>
      <c r="J35" s="16"/>
    </row>
    <row r="36" spans="1:10" x14ac:dyDescent="0.25">
      <c r="A36" s="1" t="s">
        <v>16</v>
      </c>
      <c r="B36" s="1" t="s">
        <v>157</v>
      </c>
      <c r="C36" s="11"/>
      <c r="D36" s="11"/>
      <c r="E36" s="11"/>
      <c r="F36" s="11"/>
      <c r="G36" s="11">
        <f t="shared" si="0"/>
        <v>0</v>
      </c>
      <c r="H36" s="17">
        <f t="shared" si="1"/>
        <v>0</v>
      </c>
      <c r="I36" s="16">
        <f t="shared" si="2"/>
        <v>0</v>
      </c>
      <c r="J36" s="16"/>
    </row>
    <row r="37" spans="1:10" x14ac:dyDescent="0.25">
      <c r="A37" s="1" t="s">
        <v>16</v>
      </c>
      <c r="B37" s="1" t="s">
        <v>118</v>
      </c>
      <c r="C37" s="11"/>
      <c r="D37" s="11"/>
      <c r="E37" s="11"/>
      <c r="F37" s="11"/>
      <c r="G37" s="11">
        <f t="shared" si="0"/>
        <v>0</v>
      </c>
      <c r="H37" s="17">
        <f t="shared" si="1"/>
        <v>0</v>
      </c>
      <c r="I37" s="16">
        <f t="shared" si="2"/>
        <v>0</v>
      </c>
      <c r="J37" s="16"/>
    </row>
    <row r="38" spans="1:10" x14ac:dyDescent="0.25">
      <c r="A38" s="1" t="s">
        <v>16</v>
      </c>
      <c r="B38" s="1" t="s">
        <v>158</v>
      </c>
      <c r="C38" s="11"/>
      <c r="D38" s="11"/>
      <c r="E38" s="11"/>
      <c r="F38" s="11"/>
      <c r="G38" s="11">
        <f t="shared" si="0"/>
        <v>0</v>
      </c>
      <c r="H38" s="17">
        <f t="shared" si="1"/>
        <v>0</v>
      </c>
      <c r="I38" s="16">
        <f t="shared" si="2"/>
        <v>0</v>
      </c>
      <c r="J38" s="16"/>
    </row>
    <row r="39" spans="1:10" x14ac:dyDescent="0.25">
      <c r="A39" s="1" t="s">
        <v>44</v>
      </c>
      <c r="B39" s="1" t="s">
        <v>45</v>
      </c>
      <c r="C39" s="11">
        <v>227780</v>
      </c>
      <c r="D39" s="11"/>
      <c r="E39" s="11"/>
      <c r="F39" s="11"/>
      <c r="G39" s="11">
        <f t="shared" si="0"/>
        <v>227780</v>
      </c>
      <c r="H39" s="17">
        <f t="shared" si="1"/>
        <v>38.01</v>
      </c>
      <c r="I39" s="16">
        <f t="shared" si="2"/>
        <v>0.24</v>
      </c>
      <c r="J39" s="16">
        <f>ROUND(G39/211650-1,2)</f>
        <v>0.08</v>
      </c>
    </row>
    <row r="40" spans="1:10" x14ac:dyDescent="0.25">
      <c r="A40" s="1" t="s">
        <v>44</v>
      </c>
      <c r="B40" s="1" t="s">
        <v>46</v>
      </c>
      <c r="C40" s="11"/>
      <c r="D40" s="11"/>
      <c r="E40" s="11">
        <v>54160</v>
      </c>
      <c r="F40" s="11"/>
      <c r="G40" s="11">
        <f t="shared" si="0"/>
        <v>54160</v>
      </c>
      <c r="H40" s="17">
        <f t="shared" si="1"/>
        <v>9.0399999999999991</v>
      </c>
      <c r="I40" s="16">
        <f t="shared" si="2"/>
        <v>5.7000000000000002E-2</v>
      </c>
      <c r="J40" s="16">
        <f>ROUND(G40/31660-1,2)</f>
        <v>0.71</v>
      </c>
    </row>
    <row r="41" spans="1:10" x14ac:dyDescent="0.25">
      <c r="A41" s="1" t="s">
        <v>44</v>
      </c>
      <c r="B41" s="1" t="s">
        <v>47</v>
      </c>
      <c r="C41" s="11"/>
      <c r="D41" s="11"/>
      <c r="E41" s="11"/>
      <c r="F41" s="11"/>
      <c r="G41" s="11">
        <f t="shared" si="0"/>
        <v>0</v>
      </c>
      <c r="H41" s="17">
        <f t="shared" si="1"/>
        <v>0</v>
      </c>
      <c r="I41" s="16">
        <f t="shared" si="2"/>
        <v>0</v>
      </c>
      <c r="J41" s="16">
        <f>ROUND(G41/6760-1,2)</f>
        <v>-1</v>
      </c>
    </row>
    <row r="42" spans="1:10" x14ac:dyDescent="0.25">
      <c r="A42" s="1" t="s">
        <v>48</v>
      </c>
      <c r="B42" s="1" t="s">
        <v>51</v>
      </c>
      <c r="C42" s="11"/>
      <c r="D42" s="11"/>
      <c r="E42" s="11"/>
      <c r="F42" s="11"/>
      <c r="G42" s="11">
        <f t="shared" si="0"/>
        <v>0</v>
      </c>
      <c r="H42" s="17">
        <f t="shared" si="1"/>
        <v>0</v>
      </c>
      <c r="I42" s="16">
        <f t="shared" si="2"/>
        <v>0</v>
      </c>
      <c r="J42" s="16"/>
    </row>
    <row r="43" spans="1:10" x14ac:dyDescent="0.25">
      <c r="A43" s="1" t="s">
        <v>48</v>
      </c>
      <c r="B43" s="1" t="s">
        <v>159</v>
      </c>
      <c r="C43" s="11"/>
      <c r="D43" s="11"/>
      <c r="E43" s="11"/>
      <c r="F43" s="11"/>
      <c r="G43" s="11">
        <f t="shared" si="0"/>
        <v>0</v>
      </c>
      <c r="H43" s="17">
        <f t="shared" si="1"/>
        <v>0</v>
      </c>
      <c r="I43" s="16">
        <f t="shared" si="2"/>
        <v>0</v>
      </c>
      <c r="J43" s="16"/>
    </row>
    <row r="44" spans="1:10" x14ac:dyDescent="0.25">
      <c r="A44" s="1" t="s">
        <v>48</v>
      </c>
      <c r="B44" s="1" t="s">
        <v>50</v>
      </c>
      <c r="C44" s="11"/>
      <c r="D44" s="11"/>
      <c r="E44" s="11"/>
      <c r="F44" s="11"/>
      <c r="G44" s="11">
        <f t="shared" si="0"/>
        <v>0</v>
      </c>
      <c r="H44" s="17">
        <f t="shared" si="1"/>
        <v>0</v>
      </c>
      <c r="I44" s="16">
        <f t="shared" si="2"/>
        <v>0</v>
      </c>
      <c r="J44" s="16"/>
    </row>
    <row r="45" spans="1:10" x14ac:dyDescent="0.25">
      <c r="A45" s="21" t="s">
        <v>12</v>
      </c>
      <c r="B45" s="21"/>
      <c r="C45" s="12">
        <f t="shared" ref="C45:H45" si="3">SUM(C8:C44)</f>
        <v>651380</v>
      </c>
      <c r="D45" s="12">
        <f t="shared" si="3"/>
        <v>407</v>
      </c>
      <c r="E45" s="12">
        <f t="shared" si="3"/>
        <v>299161</v>
      </c>
      <c r="F45" s="12">
        <f t="shared" si="3"/>
        <v>0</v>
      </c>
      <c r="G45" s="12">
        <f t="shared" si="3"/>
        <v>950948</v>
      </c>
      <c r="H45" s="15">
        <f t="shared" si="3"/>
        <v>158.67999999999998</v>
      </c>
      <c r="I45" s="18"/>
      <c r="J45" s="18"/>
    </row>
    <row r="46" spans="1:10" x14ac:dyDescent="0.25">
      <c r="A46" s="21" t="s">
        <v>14</v>
      </c>
      <c r="B46" s="21"/>
      <c r="C46" s="13">
        <f>ROUND(C45/G45,2)</f>
        <v>0.68</v>
      </c>
      <c r="D46" s="13">
        <f>ROUND(D45/G45,2)</f>
        <v>0</v>
      </c>
      <c r="E46" s="13">
        <f>ROUND(E45/G45,2)</f>
        <v>0.31</v>
      </c>
      <c r="F46" s="13">
        <f>ROUND(F45/G45,2)</f>
        <v>0</v>
      </c>
      <c r="G46" s="14"/>
      <c r="H46" s="14"/>
      <c r="I46" s="18"/>
      <c r="J46" s="18"/>
    </row>
    <row r="47" spans="1:10" x14ac:dyDescent="0.25">
      <c r="A47" s="2" t="s">
        <v>52</v>
      </c>
      <c r="B47" s="2"/>
      <c r="C47" s="14"/>
      <c r="D47" s="14"/>
      <c r="E47" s="14"/>
      <c r="F47" s="14"/>
      <c r="G47" s="14"/>
      <c r="H47" s="14"/>
      <c r="I47" s="18"/>
      <c r="J47" s="18"/>
    </row>
    <row r="48" spans="1:10" x14ac:dyDescent="0.25">
      <c r="C48" s="9"/>
      <c r="D48" s="9"/>
      <c r="E48" s="9"/>
      <c r="F48" s="9"/>
      <c r="G48" s="9"/>
      <c r="H48" s="9"/>
      <c r="I48" s="10"/>
      <c r="J48" s="10"/>
    </row>
    <row r="49" spans="1:10" x14ac:dyDescent="0.25">
      <c r="C49" s="9"/>
      <c r="D49" s="9"/>
      <c r="E49" s="9"/>
      <c r="F49" s="9"/>
      <c r="G49" s="9"/>
      <c r="H49" s="9"/>
      <c r="I49" s="10"/>
      <c r="J49" s="10"/>
    </row>
    <row r="50" spans="1:10" x14ac:dyDescent="0.25">
      <c r="C50" s="9"/>
      <c r="D50" s="9"/>
      <c r="E50" s="9"/>
      <c r="F50" s="9"/>
      <c r="G50" s="9"/>
      <c r="H50" s="9"/>
      <c r="I50" s="10"/>
      <c r="J50" s="10"/>
    </row>
    <row r="51" spans="1:10" x14ac:dyDescent="0.25">
      <c r="A51" s="21" t="s">
        <v>53</v>
      </c>
      <c r="B51" s="21"/>
      <c r="C51" s="12" t="s">
        <v>8</v>
      </c>
      <c r="D51" s="12" t="s">
        <v>9</v>
      </c>
      <c r="E51" s="12" t="s">
        <v>10</v>
      </c>
      <c r="F51" s="12" t="s">
        <v>11</v>
      </c>
      <c r="G51" s="12" t="s">
        <v>12</v>
      </c>
      <c r="H51" s="15" t="s">
        <v>13</v>
      </c>
      <c r="I51" s="18"/>
      <c r="J51" s="18"/>
    </row>
    <row r="52" spans="1:10" x14ac:dyDescent="0.25">
      <c r="A52" s="20" t="s">
        <v>54</v>
      </c>
      <c r="B52" s="20"/>
      <c r="C52" s="11">
        <v>423600</v>
      </c>
      <c r="D52" s="11">
        <v>407</v>
      </c>
      <c r="E52" s="11">
        <v>245001</v>
      </c>
      <c r="F52" s="11">
        <v>0</v>
      </c>
      <c r="G52" s="11">
        <f>SUM(C52:F52)</f>
        <v>669008</v>
      </c>
      <c r="H52" s="17">
        <f>ROUND(G52/5993,2)</f>
        <v>111.63</v>
      </c>
      <c r="I52" s="10"/>
      <c r="J52" s="10"/>
    </row>
    <row r="53" spans="1:10" x14ac:dyDescent="0.25">
      <c r="A53" s="20" t="s">
        <v>55</v>
      </c>
      <c r="B53" s="20"/>
      <c r="C53" s="11">
        <v>227780</v>
      </c>
      <c r="D53" s="11">
        <v>0</v>
      </c>
      <c r="E53" s="11">
        <v>54160</v>
      </c>
      <c r="F53" s="11">
        <v>0</v>
      </c>
      <c r="G53" s="11">
        <f>SUM(C53:F53)</f>
        <v>281940</v>
      </c>
      <c r="H53" s="17">
        <f>ROUND(G53/5993,2)</f>
        <v>47.04</v>
      </c>
      <c r="I53" s="10"/>
      <c r="J53" s="10"/>
    </row>
    <row r="54" spans="1:10" x14ac:dyDescent="0.25">
      <c r="A54" s="20" t="s">
        <v>56</v>
      </c>
      <c r="B54" s="20"/>
      <c r="C54" s="11">
        <v>0</v>
      </c>
      <c r="D54" s="11">
        <v>0</v>
      </c>
      <c r="E54" s="11">
        <v>0</v>
      </c>
      <c r="F54" s="11">
        <v>0</v>
      </c>
      <c r="G54" s="11">
        <f>SUM(C54:F54)</f>
        <v>0</v>
      </c>
      <c r="H54" s="17">
        <f>ROUND(G54/5993,2)</f>
        <v>0</v>
      </c>
      <c r="I54" s="10"/>
      <c r="J54" s="10"/>
    </row>
    <row r="55" spans="1:10" x14ac:dyDescent="0.25">
      <c r="C55" s="9"/>
      <c r="D55" s="9"/>
      <c r="E55" s="9"/>
      <c r="F55" s="9"/>
      <c r="G55" s="9"/>
      <c r="H55" s="9"/>
      <c r="I55" s="10"/>
      <c r="J55" s="10"/>
    </row>
    <row r="56" spans="1:10" x14ac:dyDescent="0.25">
      <c r="C56" s="9"/>
      <c r="D56" s="9"/>
      <c r="E56" s="9"/>
      <c r="F56" s="9"/>
      <c r="G56" s="9"/>
      <c r="H56" s="9"/>
      <c r="I56" s="10"/>
      <c r="J56" s="10"/>
    </row>
    <row r="57" spans="1:10" x14ac:dyDescent="0.25">
      <c r="C57" s="9"/>
      <c r="D57" s="9"/>
      <c r="E57" s="9"/>
      <c r="F57" s="9"/>
      <c r="G57" s="9"/>
      <c r="H57" s="9"/>
      <c r="I57" s="10"/>
      <c r="J57" s="10"/>
    </row>
    <row r="58" spans="1:10" x14ac:dyDescent="0.25">
      <c r="C58" s="9"/>
      <c r="D58" s="9"/>
      <c r="E58" s="9"/>
      <c r="F58" s="9"/>
      <c r="G58" s="9"/>
      <c r="H58" s="9"/>
      <c r="I58" s="10"/>
      <c r="J58" s="10"/>
    </row>
    <row r="59" spans="1:10" x14ac:dyDescent="0.25">
      <c r="A59" s="21" t="s">
        <v>57</v>
      </c>
      <c r="B59" s="21"/>
      <c r="C59" s="15" t="s">
        <v>2</v>
      </c>
      <c r="D59" s="15">
        <v>2023</v>
      </c>
      <c r="E59" s="15" t="s">
        <v>59</v>
      </c>
      <c r="F59" s="14"/>
      <c r="G59" s="15" t="s">
        <v>60</v>
      </c>
      <c r="H59" s="15" t="s">
        <v>2</v>
      </c>
      <c r="I59" s="13" t="s">
        <v>61</v>
      </c>
      <c r="J59" s="13" t="s">
        <v>59</v>
      </c>
    </row>
    <row r="60" spans="1:10" x14ac:dyDescent="0.25">
      <c r="A60" s="20" t="s">
        <v>58</v>
      </c>
      <c r="B60" s="20"/>
      <c r="C60" s="16">
        <f>ROUND(0.7546, 4)</f>
        <v>0.75460000000000005</v>
      </c>
      <c r="D60" s="16">
        <f>ROUND(0.7479, 4)</f>
        <v>0.74790000000000001</v>
      </c>
      <c r="E60" s="16">
        <f>ROUND(0.777, 4)</f>
        <v>0.77700000000000002</v>
      </c>
      <c r="F60" s="9"/>
      <c r="G60" s="15" t="s">
        <v>62</v>
      </c>
      <c r="H60" s="22" t="s">
        <v>63</v>
      </c>
      <c r="I60" s="24" t="s">
        <v>64</v>
      </c>
      <c r="J60" s="24" t="s">
        <v>65</v>
      </c>
    </row>
    <row r="61" spans="1:10" x14ac:dyDescent="0.25">
      <c r="A61" s="20" t="s">
        <v>66</v>
      </c>
      <c r="B61" s="20"/>
      <c r="C61" s="8">
        <f>ROUND(0.744, 4)</f>
        <v>0.74399999999999999</v>
      </c>
      <c r="D61" s="8">
        <f>ROUND(0.7376, 4)</f>
        <v>0.73760000000000003</v>
      </c>
      <c r="E61" s="8">
        <f>ROUND(0.7608, 4)</f>
        <v>0.76080000000000003</v>
      </c>
      <c r="G61" s="3" t="s">
        <v>67</v>
      </c>
      <c r="H61" s="20"/>
      <c r="I61" s="20"/>
      <c r="J61" s="20"/>
    </row>
    <row r="65" spans="1:10" x14ac:dyDescent="0.25">
      <c r="A65" s="21" t="s">
        <v>68</v>
      </c>
      <c r="B65" s="21"/>
      <c r="C65" s="3" t="s">
        <v>2</v>
      </c>
      <c r="D65" s="3" t="s">
        <v>160</v>
      </c>
      <c r="E65" s="3" t="s">
        <v>70</v>
      </c>
      <c r="F65" s="3" t="s">
        <v>71</v>
      </c>
      <c r="G65" s="3" t="s">
        <v>72</v>
      </c>
      <c r="H65" s="2"/>
      <c r="I65" s="2"/>
      <c r="J65" s="2"/>
    </row>
    <row r="66" spans="1:10" x14ac:dyDescent="0.25">
      <c r="A66" s="20" t="s">
        <v>73</v>
      </c>
      <c r="B66" s="20"/>
      <c r="C66" s="1">
        <v>38.01</v>
      </c>
      <c r="D66" s="1">
        <v>92.77</v>
      </c>
      <c r="E66" s="1">
        <v>81.84</v>
      </c>
      <c r="F66" s="1">
        <v>48</v>
      </c>
      <c r="G66" s="1">
        <f>12/4*C66</f>
        <v>114.03</v>
      </c>
    </row>
    <row r="67" spans="1:10" x14ac:dyDescent="0.25">
      <c r="A67" s="20" t="s">
        <v>74</v>
      </c>
      <c r="B67" s="20"/>
      <c r="C67" s="1">
        <v>23.52</v>
      </c>
      <c r="D67" s="1">
        <v>62.2</v>
      </c>
      <c r="E67" s="1">
        <v>55.63</v>
      </c>
      <c r="F67" s="1">
        <v>55.33</v>
      </c>
      <c r="G67" s="1">
        <f>12/4*C67</f>
        <v>70.56</v>
      </c>
    </row>
    <row r="68" spans="1:10" x14ac:dyDescent="0.25">
      <c r="A68" s="20" t="s">
        <v>75</v>
      </c>
      <c r="B68" s="20"/>
      <c r="C68" s="1">
        <v>111.63</v>
      </c>
      <c r="D68" s="1">
        <v>287.11</v>
      </c>
      <c r="E68" s="1">
        <v>257.88</v>
      </c>
      <c r="F68" s="1">
        <v>242.78</v>
      </c>
      <c r="G68" s="1">
        <f>12/4*C68</f>
        <v>334.89</v>
      </c>
    </row>
    <row r="69" spans="1:10" x14ac:dyDescent="0.25">
      <c r="A69" s="20" t="s">
        <v>76</v>
      </c>
      <c r="B69" s="20"/>
      <c r="C69" s="1">
        <v>47.04</v>
      </c>
      <c r="D69" s="1">
        <v>117.95</v>
      </c>
      <c r="E69" s="1">
        <v>103.14</v>
      </c>
      <c r="F69" s="1">
        <v>68.31</v>
      </c>
      <c r="G69" s="1">
        <f>12/4*C69</f>
        <v>141.12</v>
      </c>
    </row>
    <row r="72" spans="1:10" x14ac:dyDescent="0.25">
      <c r="A72" s="19" t="s">
        <v>60</v>
      </c>
      <c r="B72" s="26"/>
    </row>
    <row r="73" spans="1:10" x14ac:dyDescent="0.25">
      <c r="A73" s="3" t="s">
        <v>77</v>
      </c>
      <c r="B73" s="1" t="s">
        <v>161</v>
      </c>
    </row>
    <row r="74" spans="1:10" x14ac:dyDescent="0.25">
      <c r="A74" s="3" t="s">
        <v>70</v>
      </c>
      <c r="B74" s="1" t="s">
        <v>79</v>
      </c>
    </row>
    <row r="75" spans="1:10" x14ac:dyDescent="0.25">
      <c r="A75" s="3" t="s">
        <v>71</v>
      </c>
      <c r="B75" s="1" t="s">
        <v>80</v>
      </c>
    </row>
    <row r="76" spans="1:10" x14ac:dyDescent="0.25">
      <c r="A76" s="3" t="s">
        <v>72</v>
      </c>
      <c r="B76" s="1" t="s">
        <v>81</v>
      </c>
    </row>
  </sheetData>
  <mergeCells count="19">
    <mergeCell ref="A67:B67"/>
    <mergeCell ref="A68:B68"/>
    <mergeCell ref="A69:B69"/>
    <mergeCell ref="A72:B72"/>
    <mergeCell ref="I60:I61"/>
    <mergeCell ref="J60:J61"/>
    <mergeCell ref="A61:B61"/>
    <mergeCell ref="A65:B65"/>
    <mergeCell ref="A66:B66"/>
    <mergeCell ref="A53:B53"/>
    <mergeCell ref="A54:B54"/>
    <mergeCell ref="A59:B59"/>
    <mergeCell ref="A60:B60"/>
    <mergeCell ref="H60:H61"/>
    <mergeCell ref="C7:G7"/>
    <mergeCell ref="A45:B45"/>
    <mergeCell ref="A46:B46"/>
    <mergeCell ref="A51:B51"/>
    <mergeCell ref="A52:B52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2:J70"/>
  <sheetViews>
    <sheetView workbookViewId="0">
      <selection activeCell="C9" sqref="C9:J70"/>
    </sheetView>
  </sheetViews>
  <sheetFormatPr defaultRowHeight="15" x14ac:dyDescent="0.25"/>
  <cols>
    <col min="1" max="1" width="38.85546875" bestFit="1" customWidth="1"/>
    <col min="2" max="2" width="79" bestFit="1" customWidth="1"/>
    <col min="3" max="3" width="14" bestFit="1" customWidth="1"/>
    <col min="4" max="4" width="24.7109375" bestFit="1" customWidth="1"/>
    <col min="5" max="5" width="16.42578125" bestFit="1" customWidth="1"/>
    <col min="6" max="6" width="10.5703125" bestFit="1" customWidth="1"/>
    <col min="7" max="7" width="68.28515625" bestFit="1" customWidth="1"/>
    <col min="8" max="9" width="20" bestFit="1" customWidth="1"/>
    <col min="10" max="10" width="30.5703125" bestFit="1" customWidth="1"/>
  </cols>
  <sheetData>
    <row r="2" spans="1:10" ht="18.75" x14ac:dyDescent="0.3">
      <c r="A2" s="3" t="s">
        <v>0</v>
      </c>
      <c r="B2" s="4" t="s">
        <v>162</v>
      </c>
    </row>
    <row r="3" spans="1:10" x14ac:dyDescent="0.25">
      <c r="A3" s="3" t="s">
        <v>2</v>
      </c>
      <c r="B3" s="1" t="s">
        <v>3</v>
      </c>
    </row>
    <row r="4" spans="1:10" x14ac:dyDescent="0.25">
      <c r="A4" s="3" t="s">
        <v>4</v>
      </c>
      <c r="B4" s="1">
        <v>1086</v>
      </c>
    </row>
    <row r="7" spans="1:10" x14ac:dyDescent="0.25">
      <c r="C7" s="19" t="s">
        <v>5</v>
      </c>
      <c r="D7" s="20"/>
      <c r="E7" s="20"/>
      <c r="F7" s="20"/>
      <c r="G7" s="20"/>
    </row>
    <row r="8" spans="1:10" x14ac:dyDescent="0.25">
      <c r="A8" s="3" t="s">
        <v>6</v>
      </c>
      <c r="B8" s="3" t="s">
        <v>7</v>
      </c>
      <c r="C8" s="3" t="s">
        <v>8</v>
      </c>
      <c r="D8" s="3" t="s">
        <v>9</v>
      </c>
      <c r="E8" s="3" t="s">
        <v>10</v>
      </c>
      <c r="F8" s="3" t="s">
        <v>11</v>
      </c>
      <c r="G8" s="3" t="s">
        <v>12</v>
      </c>
      <c r="H8" s="3" t="s">
        <v>13</v>
      </c>
      <c r="I8" s="3" t="s">
        <v>14</v>
      </c>
      <c r="J8" s="3" t="s">
        <v>15</v>
      </c>
    </row>
    <row r="9" spans="1:10" x14ac:dyDescent="0.25">
      <c r="A9" s="1" t="s">
        <v>16</v>
      </c>
      <c r="B9" s="1" t="s">
        <v>19</v>
      </c>
      <c r="C9" s="11">
        <v>12060</v>
      </c>
      <c r="D9" s="11"/>
      <c r="E9" s="11"/>
      <c r="F9" s="11"/>
      <c r="G9" s="11">
        <f t="shared" ref="G9:G28" si="0">SUM(C9:F9)</f>
        <v>12060</v>
      </c>
      <c r="H9" s="17">
        <f t="shared" ref="H9:H28" si="1">ROUND(G9/1086,2)</f>
        <v>11.1</v>
      </c>
      <c r="I9" s="16">
        <f t="shared" ref="I9:I28" si="2">ROUND(G9/$G$29,3)</f>
        <v>0.107</v>
      </c>
      <c r="J9" s="16">
        <f>ROUND(G9/10830-1,2)</f>
        <v>0.11</v>
      </c>
    </row>
    <row r="10" spans="1:10" x14ac:dyDescent="0.25">
      <c r="A10" s="1" t="s">
        <v>16</v>
      </c>
      <c r="B10" s="1" t="s">
        <v>20</v>
      </c>
      <c r="C10" s="11">
        <v>19770</v>
      </c>
      <c r="D10" s="11"/>
      <c r="E10" s="11"/>
      <c r="F10" s="11"/>
      <c r="G10" s="11">
        <f t="shared" si="0"/>
        <v>19770</v>
      </c>
      <c r="H10" s="17">
        <f t="shared" si="1"/>
        <v>18.2</v>
      </c>
      <c r="I10" s="16">
        <f t="shared" si="2"/>
        <v>0.17499999999999999</v>
      </c>
      <c r="J10" s="16">
        <f>ROUND(G10/16100-1,2)</f>
        <v>0.23</v>
      </c>
    </row>
    <row r="11" spans="1:10" x14ac:dyDescent="0.25">
      <c r="A11" s="1" t="s">
        <v>16</v>
      </c>
      <c r="B11" s="1" t="s">
        <v>21</v>
      </c>
      <c r="C11" s="11"/>
      <c r="D11" s="11"/>
      <c r="E11" s="11"/>
      <c r="F11" s="11">
        <v>8</v>
      </c>
      <c r="G11" s="11">
        <f t="shared" si="0"/>
        <v>8</v>
      </c>
      <c r="H11" s="17">
        <f t="shared" si="1"/>
        <v>0.01</v>
      </c>
      <c r="I11" s="16">
        <f t="shared" si="2"/>
        <v>0</v>
      </c>
      <c r="J11" s="16">
        <f>ROUND(G11/4-1,2)</f>
        <v>1</v>
      </c>
    </row>
    <row r="12" spans="1:10" x14ac:dyDescent="0.25">
      <c r="A12" s="1" t="s">
        <v>16</v>
      </c>
      <c r="B12" s="1" t="s">
        <v>24</v>
      </c>
      <c r="C12" s="11">
        <v>10840</v>
      </c>
      <c r="D12" s="11"/>
      <c r="E12" s="11"/>
      <c r="F12" s="11"/>
      <c r="G12" s="11">
        <f t="shared" si="0"/>
        <v>10840</v>
      </c>
      <c r="H12" s="17">
        <f t="shared" si="1"/>
        <v>9.98</v>
      </c>
      <c r="I12" s="16">
        <f t="shared" si="2"/>
        <v>9.6000000000000002E-2</v>
      </c>
      <c r="J12" s="16">
        <f>ROUND(G12/12760-1,2)</f>
        <v>-0.15</v>
      </c>
    </row>
    <row r="13" spans="1:10" x14ac:dyDescent="0.25">
      <c r="A13" s="1" t="s">
        <v>16</v>
      </c>
      <c r="B13" s="1" t="s">
        <v>26</v>
      </c>
      <c r="C13" s="11">
        <v>30650</v>
      </c>
      <c r="D13" s="11"/>
      <c r="E13" s="11"/>
      <c r="F13" s="11"/>
      <c r="G13" s="11">
        <f t="shared" si="0"/>
        <v>30650</v>
      </c>
      <c r="H13" s="17">
        <f t="shared" si="1"/>
        <v>28.22</v>
      </c>
      <c r="I13" s="16">
        <f t="shared" si="2"/>
        <v>0.27200000000000002</v>
      </c>
      <c r="J13" s="16">
        <f>ROUND(G13/39420-1,2)</f>
        <v>-0.22</v>
      </c>
    </row>
    <row r="14" spans="1:10" x14ac:dyDescent="0.25">
      <c r="A14" s="1" t="s">
        <v>16</v>
      </c>
      <c r="B14" s="1" t="s">
        <v>39</v>
      </c>
      <c r="C14" s="11"/>
      <c r="D14" s="11"/>
      <c r="E14" s="11"/>
      <c r="F14" s="11">
        <v>10</v>
      </c>
      <c r="G14" s="11">
        <f t="shared" si="0"/>
        <v>10</v>
      </c>
      <c r="H14" s="17">
        <f t="shared" si="1"/>
        <v>0.01</v>
      </c>
      <c r="I14" s="16">
        <f t="shared" si="2"/>
        <v>0</v>
      </c>
      <c r="J14" s="16">
        <f>ROUND(G14/10-1,2)</f>
        <v>0</v>
      </c>
    </row>
    <row r="15" spans="1:10" x14ac:dyDescent="0.25">
      <c r="A15" s="1" t="s">
        <v>16</v>
      </c>
      <c r="B15" s="1" t="s">
        <v>29</v>
      </c>
      <c r="C15" s="11"/>
      <c r="D15" s="11"/>
      <c r="E15" s="11"/>
      <c r="F15" s="11">
        <v>30</v>
      </c>
      <c r="G15" s="11">
        <f t="shared" si="0"/>
        <v>30</v>
      </c>
      <c r="H15" s="17">
        <f t="shared" si="1"/>
        <v>0.03</v>
      </c>
      <c r="I15" s="16">
        <f t="shared" si="2"/>
        <v>0</v>
      </c>
      <c r="J15" s="16">
        <f>ROUND(G15/90-1,2)</f>
        <v>-0.67</v>
      </c>
    </row>
    <row r="16" spans="1:10" x14ac:dyDescent="0.25">
      <c r="A16" s="1" t="s">
        <v>16</v>
      </c>
      <c r="B16" s="1" t="s">
        <v>30</v>
      </c>
      <c r="C16" s="11"/>
      <c r="D16" s="11"/>
      <c r="E16" s="11"/>
      <c r="F16" s="11">
        <v>20</v>
      </c>
      <c r="G16" s="11">
        <f t="shared" si="0"/>
        <v>20</v>
      </c>
      <c r="H16" s="17">
        <f t="shared" si="1"/>
        <v>0.02</v>
      </c>
      <c r="I16" s="16">
        <f t="shared" si="2"/>
        <v>0</v>
      </c>
      <c r="J16" s="16">
        <f>ROUND(G16/90-1,2)</f>
        <v>-0.78</v>
      </c>
    </row>
    <row r="17" spans="1:10" x14ac:dyDescent="0.25">
      <c r="A17" s="1" t="s">
        <v>16</v>
      </c>
      <c r="B17" s="1" t="s">
        <v>31</v>
      </c>
      <c r="C17" s="11"/>
      <c r="D17" s="11"/>
      <c r="E17" s="11"/>
      <c r="F17" s="11">
        <v>100</v>
      </c>
      <c r="G17" s="11">
        <f t="shared" si="0"/>
        <v>100</v>
      </c>
      <c r="H17" s="17">
        <f t="shared" si="1"/>
        <v>0.09</v>
      </c>
      <c r="I17" s="16">
        <f t="shared" si="2"/>
        <v>1E-3</v>
      </c>
      <c r="J17" s="16">
        <f>ROUND(G17/455-1,2)</f>
        <v>-0.78</v>
      </c>
    </row>
    <row r="18" spans="1:10" x14ac:dyDescent="0.25">
      <c r="A18" s="1" t="s">
        <v>16</v>
      </c>
      <c r="B18" s="1" t="s">
        <v>32</v>
      </c>
      <c r="C18" s="11"/>
      <c r="D18" s="11">
        <v>47</v>
      </c>
      <c r="E18" s="11"/>
      <c r="F18" s="11"/>
      <c r="G18" s="11">
        <f t="shared" si="0"/>
        <v>47</v>
      </c>
      <c r="H18" s="17">
        <f t="shared" si="1"/>
        <v>0.04</v>
      </c>
      <c r="I18" s="16">
        <f t="shared" si="2"/>
        <v>0</v>
      </c>
      <c r="J18" s="16">
        <f>ROUND(G18/32-1,2)</f>
        <v>0.47</v>
      </c>
    </row>
    <row r="19" spans="1:10" x14ac:dyDescent="0.25">
      <c r="A19" s="1" t="s">
        <v>16</v>
      </c>
      <c r="B19" s="1" t="s">
        <v>34</v>
      </c>
      <c r="C19" s="11"/>
      <c r="D19" s="11">
        <v>40</v>
      </c>
      <c r="E19" s="11"/>
      <c r="F19" s="11"/>
      <c r="G19" s="11">
        <f t="shared" si="0"/>
        <v>40</v>
      </c>
      <c r="H19" s="17">
        <f t="shared" si="1"/>
        <v>0.04</v>
      </c>
      <c r="I19" s="16">
        <f t="shared" si="2"/>
        <v>0</v>
      </c>
      <c r="J19" s="16">
        <f>ROUND(G19/202-1,2)</f>
        <v>-0.8</v>
      </c>
    </row>
    <row r="20" spans="1:10" x14ac:dyDescent="0.25">
      <c r="A20" s="1" t="s">
        <v>16</v>
      </c>
      <c r="B20" s="1" t="s">
        <v>35</v>
      </c>
      <c r="C20" s="11"/>
      <c r="D20" s="11"/>
      <c r="E20" s="11"/>
      <c r="F20" s="11">
        <v>1320</v>
      </c>
      <c r="G20" s="11">
        <f t="shared" si="0"/>
        <v>1320</v>
      </c>
      <c r="H20" s="17">
        <f t="shared" si="1"/>
        <v>1.22</v>
      </c>
      <c r="I20" s="16">
        <f t="shared" si="2"/>
        <v>1.2E-2</v>
      </c>
      <c r="J20" s="16">
        <f>ROUND(G20/1220-1,2)</f>
        <v>0.08</v>
      </c>
    </row>
    <row r="21" spans="1:10" x14ac:dyDescent="0.25">
      <c r="A21" s="1" t="s">
        <v>16</v>
      </c>
      <c r="B21" s="1" t="s">
        <v>38</v>
      </c>
      <c r="C21" s="11"/>
      <c r="D21" s="11"/>
      <c r="E21" s="11"/>
      <c r="F21" s="11">
        <v>3700</v>
      </c>
      <c r="G21" s="11">
        <f t="shared" si="0"/>
        <v>3700</v>
      </c>
      <c r="H21" s="17">
        <f t="shared" si="1"/>
        <v>3.41</v>
      </c>
      <c r="I21" s="16">
        <f t="shared" si="2"/>
        <v>3.3000000000000002E-2</v>
      </c>
      <c r="J21" s="16">
        <f>ROUND(G21/4900-1,2)</f>
        <v>-0.24</v>
      </c>
    </row>
    <row r="22" spans="1:10" x14ac:dyDescent="0.25">
      <c r="A22" s="1" t="s">
        <v>16</v>
      </c>
      <c r="B22" s="1" t="s">
        <v>94</v>
      </c>
      <c r="C22" s="11"/>
      <c r="D22" s="11"/>
      <c r="E22" s="11"/>
      <c r="F22" s="11"/>
      <c r="G22" s="11">
        <f t="shared" si="0"/>
        <v>0</v>
      </c>
      <c r="H22" s="17">
        <f t="shared" si="1"/>
        <v>0</v>
      </c>
      <c r="I22" s="16">
        <f t="shared" si="2"/>
        <v>0</v>
      </c>
      <c r="J22" s="16">
        <f>ROUND(G22/11-1,2)</f>
        <v>-1</v>
      </c>
    </row>
    <row r="23" spans="1:10" x14ac:dyDescent="0.25">
      <c r="A23" s="1" t="s">
        <v>16</v>
      </c>
      <c r="B23" s="1" t="s">
        <v>33</v>
      </c>
      <c r="C23" s="11"/>
      <c r="D23" s="11"/>
      <c r="E23" s="11"/>
      <c r="F23" s="11"/>
      <c r="G23" s="11">
        <f t="shared" si="0"/>
        <v>0</v>
      </c>
      <c r="H23" s="17">
        <f t="shared" si="1"/>
        <v>0</v>
      </c>
      <c r="I23" s="16">
        <f t="shared" si="2"/>
        <v>0</v>
      </c>
      <c r="J23" s="16"/>
    </row>
    <row r="24" spans="1:10" x14ac:dyDescent="0.25">
      <c r="A24" s="1" t="s">
        <v>16</v>
      </c>
      <c r="B24" s="1" t="s">
        <v>37</v>
      </c>
      <c r="C24" s="11"/>
      <c r="D24" s="11"/>
      <c r="E24" s="11"/>
      <c r="F24" s="11"/>
      <c r="G24" s="11">
        <f t="shared" si="0"/>
        <v>0</v>
      </c>
      <c r="H24" s="17">
        <f t="shared" si="1"/>
        <v>0</v>
      </c>
      <c r="I24" s="16">
        <f t="shared" si="2"/>
        <v>0</v>
      </c>
      <c r="J24" s="16"/>
    </row>
    <row r="25" spans="1:10" x14ac:dyDescent="0.25">
      <c r="A25" s="1" t="s">
        <v>44</v>
      </c>
      <c r="B25" s="1" t="s">
        <v>45</v>
      </c>
      <c r="C25" s="11">
        <v>32000</v>
      </c>
      <c r="D25" s="11"/>
      <c r="E25" s="11"/>
      <c r="F25" s="11"/>
      <c r="G25" s="11">
        <f t="shared" si="0"/>
        <v>32000</v>
      </c>
      <c r="H25" s="17">
        <f t="shared" si="1"/>
        <v>29.47</v>
      </c>
      <c r="I25" s="16">
        <f t="shared" si="2"/>
        <v>0.28399999999999997</v>
      </c>
      <c r="J25" s="16">
        <f>ROUND(G25/32000-1,2)</f>
        <v>0</v>
      </c>
    </row>
    <row r="26" spans="1:10" x14ac:dyDescent="0.25">
      <c r="A26" s="1" t="s">
        <v>44</v>
      </c>
      <c r="B26" s="1" t="s">
        <v>46</v>
      </c>
      <c r="C26" s="11"/>
      <c r="D26" s="11"/>
      <c r="E26" s="11">
        <v>2260</v>
      </c>
      <c r="F26" s="11"/>
      <c r="G26" s="11">
        <f t="shared" si="0"/>
        <v>2260</v>
      </c>
      <c r="H26" s="17">
        <f t="shared" si="1"/>
        <v>2.08</v>
      </c>
      <c r="I26" s="16">
        <f t="shared" si="2"/>
        <v>0.02</v>
      </c>
      <c r="J26" s="16">
        <f>ROUND(G26/3100-1,2)</f>
        <v>-0.27</v>
      </c>
    </row>
    <row r="27" spans="1:10" x14ac:dyDescent="0.25">
      <c r="A27" s="1" t="s">
        <v>44</v>
      </c>
      <c r="B27" s="1" t="s">
        <v>47</v>
      </c>
      <c r="C27" s="11"/>
      <c r="D27" s="11"/>
      <c r="E27" s="11"/>
      <c r="F27" s="11"/>
      <c r="G27" s="11">
        <f t="shared" si="0"/>
        <v>0</v>
      </c>
      <c r="H27" s="17">
        <f t="shared" si="1"/>
        <v>0</v>
      </c>
      <c r="I27" s="16">
        <f t="shared" si="2"/>
        <v>0</v>
      </c>
      <c r="J27" s="16"/>
    </row>
    <row r="28" spans="1:10" x14ac:dyDescent="0.25">
      <c r="A28" s="1" t="s">
        <v>48</v>
      </c>
      <c r="B28" s="1" t="s">
        <v>51</v>
      </c>
      <c r="C28" s="11"/>
      <c r="D28" s="11"/>
      <c r="E28" s="11"/>
      <c r="F28" s="11"/>
      <c r="G28" s="11">
        <f t="shared" si="0"/>
        <v>0</v>
      </c>
      <c r="H28" s="17">
        <f t="shared" si="1"/>
        <v>0</v>
      </c>
      <c r="I28" s="16">
        <f t="shared" si="2"/>
        <v>0</v>
      </c>
      <c r="J28" s="16"/>
    </row>
    <row r="29" spans="1:10" x14ac:dyDescent="0.25">
      <c r="A29" s="21" t="s">
        <v>12</v>
      </c>
      <c r="B29" s="21"/>
      <c r="C29" s="12">
        <f t="shared" ref="C29:H29" si="3">SUM(C8:C28)</f>
        <v>105320</v>
      </c>
      <c r="D29" s="12">
        <f t="shared" si="3"/>
        <v>87</v>
      </c>
      <c r="E29" s="12">
        <f t="shared" si="3"/>
        <v>2260</v>
      </c>
      <c r="F29" s="12">
        <f t="shared" si="3"/>
        <v>5188</v>
      </c>
      <c r="G29" s="12">
        <f t="shared" si="3"/>
        <v>112855</v>
      </c>
      <c r="H29" s="15">
        <f t="shared" si="3"/>
        <v>103.92</v>
      </c>
      <c r="I29" s="18"/>
      <c r="J29" s="18"/>
    </row>
    <row r="30" spans="1:10" x14ac:dyDescent="0.25">
      <c r="A30" s="21" t="s">
        <v>14</v>
      </c>
      <c r="B30" s="21"/>
      <c r="C30" s="13">
        <f>ROUND(C29/G29,2)</f>
        <v>0.93</v>
      </c>
      <c r="D30" s="13">
        <f>ROUND(D29/G29,2)</f>
        <v>0</v>
      </c>
      <c r="E30" s="13">
        <f>ROUND(E29/G29,2)</f>
        <v>0.02</v>
      </c>
      <c r="F30" s="13">
        <f>ROUND(F29/G29,2)</f>
        <v>0.05</v>
      </c>
      <c r="G30" s="14"/>
      <c r="H30" s="14"/>
      <c r="I30" s="18"/>
      <c r="J30" s="18"/>
    </row>
    <row r="31" spans="1:10" x14ac:dyDescent="0.25">
      <c r="A31" s="2" t="s">
        <v>52</v>
      </c>
      <c r="B31" s="2"/>
      <c r="C31" s="14"/>
      <c r="D31" s="14"/>
      <c r="E31" s="14"/>
      <c r="F31" s="14"/>
      <c r="G31" s="14"/>
      <c r="H31" s="14"/>
      <c r="I31" s="18"/>
      <c r="J31" s="18"/>
    </row>
    <row r="32" spans="1:10" x14ac:dyDescent="0.25">
      <c r="C32" s="9"/>
      <c r="D32" s="9"/>
      <c r="E32" s="9"/>
      <c r="F32" s="9"/>
      <c r="G32" s="9"/>
      <c r="H32" s="9"/>
      <c r="I32" s="10"/>
      <c r="J32" s="10"/>
    </row>
    <row r="33" spans="1:10" x14ac:dyDescent="0.25">
      <c r="C33" s="9"/>
      <c r="D33" s="9"/>
      <c r="E33" s="9"/>
      <c r="F33" s="9"/>
      <c r="G33" s="9"/>
      <c r="H33" s="9"/>
      <c r="I33" s="10"/>
      <c r="J33" s="10"/>
    </row>
    <row r="34" spans="1:10" x14ac:dyDescent="0.25">
      <c r="C34" s="9"/>
      <c r="D34" s="9"/>
      <c r="E34" s="9"/>
      <c r="F34" s="9"/>
      <c r="G34" s="9"/>
      <c r="H34" s="9"/>
      <c r="I34" s="10"/>
      <c r="J34" s="10"/>
    </row>
    <row r="35" spans="1:10" x14ac:dyDescent="0.25">
      <c r="A35" s="21" t="s">
        <v>53</v>
      </c>
      <c r="B35" s="21"/>
      <c r="C35" s="12" t="s">
        <v>8</v>
      </c>
      <c r="D35" s="12" t="s">
        <v>9</v>
      </c>
      <c r="E35" s="12" t="s">
        <v>10</v>
      </c>
      <c r="F35" s="12" t="s">
        <v>11</v>
      </c>
      <c r="G35" s="12" t="s">
        <v>12</v>
      </c>
      <c r="H35" s="15" t="s">
        <v>13</v>
      </c>
      <c r="I35" s="18"/>
      <c r="J35" s="18"/>
    </row>
    <row r="36" spans="1:10" x14ac:dyDescent="0.25">
      <c r="A36" s="20" t="s">
        <v>54</v>
      </c>
      <c r="B36" s="20"/>
      <c r="C36" s="11">
        <v>73320</v>
      </c>
      <c r="D36" s="11">
        <v>87</v>
      </c>
      <c r="E36" s="11">
        <v>0</v>
      </c>
      <c r="F36" s="11">
        <v>5188</v>
      </c>
      <c r="G36" s="11">
        <f>SUM(C36:F36)</f>
        <v>78595</v>
      </c>
      <c r="H36" s="17">
        <f>ROUND(G36/1086,2)</f>
        <v>72.37</v>
      </c>
      <c r="I36" s="10"/>
      <c r="J36" s="10"/>
    </row>
    <row r="37" spans="1:10" x14ac:dyDescent="0.25">
      <c r="A37" s="20" t="s">
        <v>55</v>
      </c>
      <c r="B37" s="20"/>
      <c r="C37" s="11">
        <v>32000</v>
      </c>
      <c r="D37" s="11">
        <v>0</v>
      </c>
      <c r="E37" s="11">
        <v>2260</v>
      </c>
      <c r="F37" s="11">
        <v>0</v>
      </c>
      <c r="G37" s="11">
        <f>SUM(C37:F37)</f>
        <v>34260</v>
      </c>
      <c r="H37" s="17">
        <f>ROUND(G37/1086,2)</f>
        <v>31.55</v>
      </c>
      <c r="I37" s="10"/>
      <c r="J37" s="10"/>
    </row>
    <row r="38" spans="1:10" x14ac:dyDescent="0.25">
      <c r="A38" s="20" t="s">
        <v>56</v>
      </c>
      <c r="B38" s="20"/>
      <c r="C38" s="11">
        <v>0</v>
      </c>
      <c r="D38" s="11">
        <v>0</v>
      </c>
      <c r="E38" s="11">
        <v>0</v>
      </c>
      <c r="F38" s="11">
        <v>0</v>
      </c>
      <c r="G38" s="11">
        <f>SUM(C38:F38)</f>
        <v>0</v>
      </c>
      <c r="H38" s="17">
        <f>ROUND(G38/1086,2)</f>
        <v>0</v>
      </c>
      <c r="I38" s="10"/>
      <c r="J38" s="10"/>
    </row>
    <row r="39" spans="1:10" x14ac:dyDescent="0.25">
      <c r="C39" s="9"/>
      <c r="D39" s="9"/>
      <c r="E39" s="9"/>
      <c r="F39" s="9"/>
      <c r="G39" s="9"/>
      <c r="H39" s="9"/>
      <c r="I39" s="10"/>
      <c r="J39" s="10"/>
    </row>
    <row r="40" spans="1:10" x14ac:dyDescent="0.25">
      <c r="C40" s="9"/>
      <c r="D40" s="9"/>
      <c r="E40" s="9"/>
      <c r="F40" s="9"/>
      <c r="G40" s="9"/>
      <c r="H40" s="9"/>
      <c r="I40" s="10"/>
      <c r="J40" s="10"/>
    </row>
    <row r="41" spans="1:10" x14ac:dyDescent="0.25">
      <c r="C41" s="9"/>
      <c r="D41" s="9"/>
      <c r="E41" s="9"/>
      <c r="F41" s="9"/>
      <c r="G41" s="9"/>
      <c r="H41" s="9"/>
      <c r="I41" s="10"/>
      <c r="J41" s="10"/>
    </row>
    <row r="42" spans="1:10" x14ac:dyDescent="0.25">
      <c r="C42" s="9"/>
      <c r="D42" s="9"/>
      <c r="E42" s="9"/>
      <c r="F42" s="9"/>
      <c r="G42" s="9"/>
      <c r="H42" s="9"/>
      <c r="I42" s="10"/>
      <c r="J42" s="10"/>
    </row>
    <row r="43" spans="1:10" x14ac:dyDescent="0.25">
      <c r="A43" s="21" t="s">
        <v>57</v>
      </c>
      <c r="B43" s="21"/>
      <c r="C43" s="15" t="s">
        <v>2</v>
      </c>
      <c r="D43" s="15">
        <v>2023</v>
      </c>
      <c r="E43" s="15" t="s">
        <v>59</v>
      </c>
      <c r="F43" s="14"/>
      <c r="G43" s="15" t="s">
        <v>60</v>
      </c>
      <c r="H43" s="15" t="s">
        <v>2</v>
      </c>
      <c r="I43" s="13" t="s">
        <v>61</v>
      </c>
      <c r="J43" s="13" t="s">
        <v>59</v>
      </c>
    </row>
    <row r="44" spans="1:10" x14ac:dyDescent="0.25">
      <c r="A44" s="20" t="s">
        <v>58</v>
      </c>
      <c r="B44" s="20"/>
      <c r="C44" s="16">
        <f>ROUND(0.7165, 4)</f>
        <v>0.71650000000000003</v>
      </c>
      <c r="D44" s="16">
        <f>ROUND(0.7399, 4)</f>
        <v>0.7399</v>
      </c>
      <c r="E44" s="16">
        <f>ROUND(0.777, 4)</f>
        <v>0.77700000000000002</v>
      </c>
      <c r="F44" s="9"/>
      <c r="G44" s="15" t="s">
        <v>62</v>
      </c>
      <c r="H44" s="22" t="s">
        <v>63</v>
      </c>
      <c r="I44" s="24" t="s">
        <v>64</v>
      </c>
      <c r="J44" s="24" t="s">
        <v>65</v>
      </c>
    </row>
    <row r="45" spans="1:10" x14ac:dyDescent="0.25">
      <c r="A45" s="20" t="s">
        <v>66</v>
      </c>
      <c r="B45" s="20"/>
      <c r="C45" s="16">
        <f>ROUND(0.7027, 4)</f>
        <v>0.70269999999999999</v>
      </c>
      <c r="D45" s="16">
        <f>ROUND(0.7282, 4)</f>
        <v>0.72819999999999996</v>
      </c>
      <c r="E45" s="16">
        <f>ROUND(0.7608, 4)</f>
        <v>0.76080000000000003</v>
      </c>
      <c r="F45" s="9"/>
      <c r="G45" s="15" t="s">
        <v>67</v>
      </c>
      <c r="H45" s="23"/>
      <c r="I45" s="25"/>
      <c r="J45" s="25"/>
    </row>
    <row r="46" spans="1:10" x14ac:dyDescent="0.25">
      <c r="C46" s="9"/>
      <c r="D46" s="9"/>
      <c r="E46" s="9"/>
      <c r="F46" s="9"/>
      <c r="G46" s="9"/>
      <c r="H46" s="9"/>
      <c r="I46" s="10"/>
      <c r="J46" s="10"/>
    </row>
    <row r="47" spans="1:10" x14ac:dyDescent="0.25">
      <c r="C47" s="9"/>
      <c r="D47" s="9"/>
      <c r="E47" s="9"/>
      <c r="F47" s="9"/>
      <c r="G47" s="9"/>
      <c r="H47" s="9"/>
      <c r="I47" s="10"/>
      <c r="J47" s="10"/>
    </row>
    <row r="48" spans="1:10" x14ac:dyDescent="0.25">
      <c r="C48" s="9"/>
      <c r="D48" s="9"/>
      <c r="E48" s="9"/>
      <c r="F48" s="9"/>
      <c r="G48" s="9"/>
      <c r="H48" s="9"/>
      <c r="I48" s="10"/>
      <c r="J48" s="10"/>
    </row>
    <row r="49" spans="1:10" x14ac:dyDescent="0.25">
      <c r="A49" s="21" t="s">
        <v>68</v>
      </c>
      <c r="B49" s="21"/>
      <c r="C49" s="15" t="s">
        <v>2</v>
      </c>
      <c r="D49" s="15" t="s">
        <v>163</v>
      </c>
      <c r="E49" s="15" t="s">
        <v>70</v>
      </c>
      <c r="F49" s="15" t="s">
        <v>71</v>
      </c>
      <c r="G49" s="15" t="s">
        <v>72</v>
      </c>
      <c r="H49" s="14"/>
      <c r="I49" s="18"/>
      <c r="J49" s="18"/>
    </row>
    <row r="50" spans="1:10" x14ac:dyDescent="0.25">
      <c r="A50" s="20" t="s">
        <v>73</v>
      </c>
      <c r="B50" s="20"/>
      <c r="C50" s="17">
        <v>29.47</v>
      </c>
      <c r="D50" s="17">
        <v>76.95</v>
      </c>
      <c r="E50" s="17">
        <v>81.84</v>
      </c>
      <c r="F50" s="17">
        <v>48</v>
      </c>
      <c r="G50" s="17">
        <f>12/4*C50</f>
        <v>88.41</v>
      </c>
      <c r="H50" s="9"/>
      <c r="I50" s="10"/>
      <c r="J50" s="10"/>
    </row>
    <row r="51" spans="1:10" x14ac:dyDescent="0.25">
      <c r="A51" s="20" t="s">
        <v>74</v>
      </c>
      <c r="B51" s="20"/>
      <c r="C51" s="17">
        <v>28.22</v>
      </c>
      <c r="D51" s="17">
        <v>88.63</v>
      </c>
      <c r="E51" s="17">
        <v>55.63</v>
      </c>
      <c r="F51" s="17">
        <v>55.33</v>
      </c>
      <c r="G51" s="17">
        <f>12/4*C51</f>
        <v>84.66</v>
      </c>
      <c r="H51" s="9"/>
      <c r="I51" s="10"/>
      <c r="J51" s="10"/>
    </row>
    <row r="52" spans="1:10" x14ac:dyDescent="0.25">
      <c r="A52" s="20" t="s">
        <v>75</v>
      </c>
      <c r="B52" s="20"/>
      <c r="C52" s="17">
        <v>72.37</v>
      </c>
      <c r="D52" s="17">
        <v>222.33</v>
      </c>
      <c r="E52" s="17">
        <v>257.88</v>
      </c>
      <c r="F52" s="17">
        <v>242.78</v>
      </c>
      <c r="G52" s="17">
        <f>12/4*C52</f>
        <v>217.11</v>
      </c>
      <c r="H52" s="9"/>
      <c r="I52" s="10"/>
      <c r="J52" s="10"/>
    </row>
    <row r="53" spans="1:10" x14ac:dyDescent="0.25">
      <c r="A53" s="20" t="s">
        <v>76</v>
      </c>
      <c r="B53" s="20"/>
      <c r="C53" s="17">
        <v>31.55</v>
      </c>
      <c r="D53" s="17">
        <v>86.56</v>
      </c>
      <c r="E53" s="17">
        <v>103.14</v>
      </c>
      <c r="F53" s="17">
        <v>68.31</v>
      </c>
      <c r="G53" s="17">
        <f>12/4*C53</f>
        <v>94.65</v>
      </c>
      <c r="H53" s="9"/>
      <c r="I53" s="10"/>
      <c r="J53" s="10"/>
    </row>
    <row r="54" spans="1:10" x14ac:dyDescent="0.25">
      <c r="C54" s="9"/>
      <c r="D54" s="9"/>
      <c r="E54" s="9"/>
      <c r="F54" s="9"/>
      <c r="G54" s="9"/>
      <c r="H54" s="9"/>
      <c r="I54" s="10"/>
      <c r="J54" s="10"/>
    </row>
    <row r="55" spans="1:10" x14ac:dyDescent="0.25">
      <c r="C55" s="9"/>
      <c r="D55" s="9"/>
      <c r="E55" s="9"/>
      <c r="F55" s="9"/>
      <c r="G55" s="9"/>
      <c r="H55" s="9"/>
      <c r="I55" s="10"/>
      <c r="J55" s="10"/>
    </row>
    <row r="56" spans="1:10" x14ac:dyDescent="0.25">
      <c r="A56" s="19" t="s">
        <v>60</v>
      </c>
      <c r="B56" s="26"/>
      <c r="C56" s="9"/>
      <c r="D56" s="9"/>
      <c r="E56" s="9"/>
      <c r="F56" s="9"/>
      <c r="G56" s="9"/>
      <c r="H56" s="9"/>
      <c r="I56" s="10"/>
      <c r="J56" s="10"/>
    </row>
    <row r="57" spans="1:10" x14ac:dyDescent="0.25">
      <c r="A57" s="3" t="s">
        <v>77</v>
      </c>
      <c r="B57" s="1" t="s">
        <v>164</v>
      </c>
      <c r="C57" s="9"/>
      <c r="D57" s="9"/>
      <c r="E57" s="9"/>
      <c r="F57" s="9"/>
      <c r="G57" s="9"/>
      <c r="H57" s="9"/>
      <c r="I57" s="10"/>
      <c r="J57" s="10"/>
    </row>
    <row r="58" spans="1:10" x14ac:dyDescent="0.25">
      <c r="A58" s="3" t="s">
        <v>70</v>
      </c>
      <c r="B58" s="1" t="s">
        <v>79</v>
      </c>
      <c r="C58" s="9"/>
      <c r="D58" s="9"/>
      <c r="E58" s="9"/>
      <c r="F58" s="9"/>
      <c r="G58" s="9"/>
      <c r="H58" s="9"/>
      <c r="I58" s="10"/>
      <c r="J58" s="10"/>
    </row>
    <row r="59" spans="1:10" x14ac:dyDescent="0.25">
      <c r="A59" s="3" t="s">
        <v>71</v>
      </c>
      <c r="B59" s="1" t="s">
        <v>80</v>
      </c>
      <c r="C59" s="9"/>
      <c r="D59" s="9"/>
      <c r="E59" s="9"/>
      <c r="F59" s="9"/>
      <c r="G59" s="9"/>
      <c r="H59" s="9"/>
      <c r="I59" s="10"/>
      <c r="J59" s="10"/>
    </row>
    <row r="60" spans="1:10" x14ac:dyDescent="0.25">
      <c r="A60" s="3" t="s">
        <v>72</v>
      </c>
      <c r="B60" s="1" t="s">
        <v>81</v>
      </c>
      <c r="C60" s="9"/>
      <c r="D60" s="9"/>
      <c r="E60" s="9"/>
      <c r="F60" s="9"/>
      <c r="G60" s="9"/>
      <c r="H60" s="9"/>
      <c r="I60" s="10"/>
      <c r="J60" s="10"/>
    </row>
    <row r="61" spans="1:10" x14ac:dyDescent="0.25">
      <c r="C61" s="9"/>
      <c r="D61" s="9"/>
      <c r="E61" s="9"/>
      <c r="F61" s="9"/>
      <c r="G61" s="9"/>
      <c r="H61" s="9"/>
      <c r="I61" s="10"/>
      <c r="J61" s="10"/>
    </row>
    <row r="62" spans="1:10" x14ac:dyDescent="0.25">
      <c r="C62" s="9"/>
      <c r="D62" s="9"/>
      <c r="E62" s="9"/>
      <c r="F62" s="9"/>
      <c r="G62" s="9"/>
      <c r="H62" s="9"/>
      <c r="I62" s="10"/>
      <c r="J62" s="10"/>
    </row>
    <row r="63" spans="1:10" x14ac:dyDescent="0.25">
      <c r="C63" s="9"/>
      <c r="D63" s="9"/>
      <c r="E63" s="9"/>
      <c r="F63" s="9"/>
      <c r="G63" s="9"/>
      <c r="H63" s="9"/>
      <c r="I63" s="10"/>
      <c r="J63" s="10"/>
    </row>
    <row r="64" spans="1:10" x14ac:dyDescent="0.25">
      <c r="C64" s="9"/>
      <c r="D64" s="9"/>
      <c r="E64" s="9"/>
      <c r="F64" s="9"/>
      <c r="G64" s="9"/>
      <c r="H64" s="9"/>
      <c r="I64" s="10"/>
      <c r="J64" s="10"/>
    </row>
    <row r="65" spans="3:10" x14ac:dyDescent="0.25">
      <c r="C65" s="9"/>
      <c r="D65" s="9"/>
      <c r="E65" s="9"/>
      <c r="F65" s="9"/>
      <c r="G65" s="9"/>
      <c r="H65" s="9"/>
      <c r="I65" s="10"/>
      <c r="J65" s="10"/>
    </row>
    <row r="66" spans="3:10" x14ac:dyDescent="0.25">
      <c r="C66" s="9"/>
      <c r="D66" s="9"/>
      <c r="E66" s="9"/>
      <c r="F66" s="9"/>
      <c r="G66" s="9"/>
      <c r="H66" s="9"/>
      <c r="I66" s="10"/>
      <c r="J66" s="10"/>
    </row>
    <row r="67" spans="3:10" x14ac:dyDescent="0.25">
      <c r="C67" s="9"/>
      <c r="D67" s="9"/>
      <c r="E67" s="9"/>
      <c r="F67" s="9"/>
      <c r="G67" s="9"/>
      <c r="H67" s="9"/>
      <c r="I67" s="10"/>
      <c r="J67" s="10"/>
    </row>
    <row r="68" spans="3:10" x14ac:dyDescent="0.25">
      <c r="C68" s="9"/>
      <c r="D68" s="9"/>
      <c r="E68" s="9"/>
      <c r="F68" s="9"/>
      <c r="G68" s="9"/>
      <c r="H68" s="9"/>
      <c r="I68" s="10"/>
      <c r="J68" s="10"/>
    </row>
    <row r="69" spans="3:10" x14ac:dyDescent="0.25">
      <c r="C69" s="9"/>
      <c r="D69" s="9"/>
      <c r="E69" s="9"/>
      <c r="F69" s="9"/>
      <c r="G69" s="9"/>
      <c r="H69" s="9"/>
      <c r="I69" s="10"/>
      <c r="J69" s="10"/>
    </row>
    <row r="70" spans="3:10" x14ac:dyDescent="0.25">
      <c r="C70" s="9"/>
      <c r="D70" s="9"/>
      <c r="E70" s="9"/>
      <c r="F70" s="9"/>
      <c r="G70" s="9"/>
      <c r="H70" s="9"/>
      <c r="I70" s="10"/>
      <c r="J70" s="10"/>
    </row>
  </sheetData>
  <mergeCells count="19">
    <mergeCell ref="A51:B51"/>
    <mergeCell ref="A52:B52"/>
    <mergeCell ref="A53:B53"/>
    <mergeCell ref="A56:B56"/>
    <mergeCell ref="I44:I45"/>
    <mergeCell ref="J44:J45"/>
    <mergeCell ref="A45:B45"/>
    <mergeCell ref="A49:B49"/>
    <mergeCell ref="A50:B50"/>
    <mergeCell ref="A37:B37"/>
    <mergeCell ref="A38:B38"/>
    <mergeCell ref="A43:B43"/>
    <mergeCell ref="A44:B44"/>
    <mergeCell ref="H44:H45"/>
    <mergeCell ref="C7:G7"/>
    <mergeCell ref="A29:B29"/>
    <mergeCell ref="A30:B30"/>
    <mergeCell ref="A35:B35"/>
    <mergeCell ref="A36:B36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2:J72"/>
  <sheetViews>
    <sheetView workbookViewId="0">
      <selection activeCell="C9" sqref="C9:J72"/>
    </sheetView>
  </sheetViews>
  <sheetFormatPr defaultRowHeight="15" x14ac:dyDescent="0.25"/>
  <cols>
    <col min="1" max="1" width="38.85546875" bestFit="1" customWidth="1"/>
    <col min="2" max="2" width="79" bestFit="1" customWidth="1"/>
    <col min="3" max="3" width="14" bestFit="1" customWidth="1"/>
    <col min="4" max="4" width="37.7109375" bestFit="1" customWidth="1"/>
    <col min="5" max="5" width="16.42578125" bestFit="1" customWidth="1"/>
    <col min="6" max="6" width="10.5703125" bestFit="1" customWidth="1"/>
    <col min="7" max="7" width="68.28515625" bestFit="1" customWidth="1"/>
    <col min="8" max="9" width="20" bestFit="1" customWidth="1"/>
    <col min="10" max="10" width="30.5703125" bestFit="1" customWidth="1"/>
  </cols>
  <sheetData>
    <row r="2" spans="1:10" ht="18.75" x14ac:dyDescent="0.3">
      <c r="A2" s="3" t="s">
        <v>0</v>
      </c>
      <c r="B2" s="4" t="s">
        <v>165</v>
      </c>
    </row>
    <row r="3" spans="1:10" x14ac:dyDescent="0.25">
      <c r="A3" s="3" t="s">
        <v>2</v>
      </c>
      <c r="B3" s="1" t="s">
        <v>3</v>
      </c>
    </row>
    <row r="4" spans="1:10" x14ac:dyDescent="0.25">
      <c r="A4" s="3" t="s">
        <v>4</v>
      </c>
      <c r="B4" s="1">
        <v>1689</v>
      </c>
    </row>
    <row r="7" spans="1:10" x14ac:dyDescent="0.25">
      <c r="C7" s="19" t="s">
        <v>5</v>
      </c>
      <c r="D7" s="20"/>
      <c r="E7" s="20"/>
      <c r="F7" s="20"/>
      <c r="G7" s="20"/>
    </row>
    <row r="8" spans="1:10" x14ac:dyDescent="0.25">
      <c r="A8" s="3" t="s">
        <v>6</v>
      </c>
      <c r="B8" s="3" t="s">
        <v>7</v>
      </c>
      <c r="C8" s="3" t="s">
        <v>8</v>
      </c>
      <c r="D8" s="3" t="s">
        <v>9</v>
      </c>
      <c r="E8" s="3" t="s">
        <v>10</v>
      </c>
      <c r="F8" s="3" t="s">
        <v>11</v>
      </c>
      <c r="G8" s="3" t="s">
        <v>12</v>
      </c>
      <c r="H8" s="3" t="s">
        <v>13</v>
      </c>
      <c r="I8" s="3" t="s">
        <v>14</v>
      </c>
      <c r="J8" s="3" t="s">
        <v>15</v>
      </c>
    </row>
    <row r="9" spans="1:10" x14ac:dyDescent="0.25">
      <c r="A9" s="1" t="s">
        <v>16</v>
      </c>
      <c r="B9" s="1" t="s">
        <v>19</v>
      </c>
      <c r="C9" s="11">
        <v>18670</v>
      </c>
      <c r="D9" s="11"/>
      <c r="E9" s="11"/>
      <c r="F9" s="11"/>
      <c r="G9" s="11">
        <f t="shared" ref="G9:G38" si="0">SUM(C9:F9)</f>
        <v>18670</v>
      </c>
      <c r="H9" s="17">
        <f t="shared" ref="H9:H38" si="1">ROUND(G9/1689,2)</f>
        <v>11.05</v>
      </c>
      <c r="I9" s="16">
        <f t="shared" ref="I9:I38" si="2">ROUND(G9/$G$39,3)</f>
        <v>0.09</v>
      </c>
      <c r="J9" s="16">
        <f>ROUND(G9/16400-1,2)</f>
        <v>0.14000000000000001</v>
      </c>
    </row>
    <row r="10" spans="1:10" x14ac:dyDescent="0.25">
      <c r="A10" s="1" t="s">
        <v>16</v>
      </c>
      <c r="B10" s="1" t="s">
        <v>20</v>
      </c>
      <c r="C10" s="11">
        <v>28300</v>
      </c>
      <c r="D10" s="11"/>
      <c r="E10" s="11"/>
      <c r="F10" s="11"/>
      <c r="G10" s="11">
        <f t="shared" si="0"/>
        <v>28300</v>
      </c>
      <c r="H10" s="17">
        <f t="shared" si="1"/>
        <v>16.760000000000002</v>
      </c>
      <c r="I10" s="16">
        <f t="shared" si="2"/>
        <v>0.13700000000000001</v>
      </c>
      <c r="J10" s="16">
        <f>ROUND(G10/23160-1,2)</f>
        <v>0.22</v>
      </c>
    </row>
    <row r="11" spans="1:10" x14ac:dyDescent="0.25">
      <c r="A11" s="1" t="s">
        <v>16</v>
      </c>
      <c r="B11" s="1" t="s">
        <v>21</v>
      </c>
      <c r="C11" s="11"/>
      <c r="D11" s="11"/>
      <c r="E11" s="11">
        <v>129</v>
      </c>
      <c r="F11" s="11"/>
      <c r="G11" s="11">
        <f t="shared" si="0"/>
        <v>129</v>
      </c>
      <c r="H11" s="17">
        <f t="shared" si="1"/>
        <v>0.08</v>
      </c>
      <c r="I11" s="16">
        <f t="shared" si="2"/>
        <v>1E-3</v>
      </c>
      <c r="J11" s="16"/>
    </row>
    <row r="12" spans="1:10" x14ac:dyDescent="0.25">
      <c r="A12" s="1" t="s">
        <v>16</v>
      </c>
      <c r="B12" s="1" t="s">
        <v>22</v>
      </c>
      <c r="C12" s="11"/>
      <c r="D12" s="11"/>
      <c r="E12" s="11">
        <v>1000</v>
      </c>
      <c r="F12" s="11"/>
      <c r="G12" s="11">
        <f t="shared" si="0"/>
        <v>1000</v>
      </c>
      <c r="H12" s="17">
        <f t="shared" si="1"/>
        <v>0.59</v>
      </c>
      <c r="I12" s="16">
        <f t="shared" si="2"/>
        <v>5.0000000000000001E-3</v>
      </c>
      <c r="J12" s="16">
        <f>ROUND(G12/1000-1,2)</f>
        <v>0</v>
      </c>
    </row>
    <row r="13" spans="1:10" x14ac:dyDescent="0.25">
      <c r="A13" s="1" t="s">
        <v>16</v>
      </c>
      <c r="B13" s="1" t="s">
        <v>24</v>
      </c>
      <c r="C13" s="11">
        <v>16480</v>
      </c>
      <c r="D13" s="11"/>
      <c r="E13" s="11"/>
      <c r="F13" s="11"/>
      <c r="G13" s="11">
        <f t="shared" si="0"/>
        <v>16480</v>
      </c>
      <c r="H13" s="17">
        <f t="shared" si="1"/>
        <v>9.76</v>
      </c>
      <c r="I13" s="16">
        <f t="shared" si="2"/>
        <v>0.08</v>
      </c>
      <c r="J13" s="16">
        <f>ROUND(G13/23360-1,2)</f>
        <v>-0.28999999999999998</v>
      </c>
    </row>
    <row r="14" spans="1:10" x14ac:dyDescent="0.25">
      <c r="A14" s="1" t="s">
        <v>16</v>
      </c>
      <c r="B14" s="1" t="s">
        <v>26</v>
      </c>
      <c r="C14" s="11">
        <v>42470</v>
      </c>
      <c r="D14" s="11"/>
      <c r="E14" s="11"/>
      <c r="F14" s="11"/>
      <c r="G14" s="11">
        <f t="shared" si="0"/>
        <v>42470</v>
      </c>
      <c r="H14" s="17">
        <f t="shared" si="1"/>
        <v>25.15</v>
      </c>
      <c r="I14" s="16">
        <f t="shared" si="2"/>
        <v>0.20499999999999999</v>
      </c>
      <c r="J14" s="16">
        <f>ROUND(G14/39860-1,2)</f>
        <v>7.0000000000000007E-2</v>
      </c>
    </row>
    <row r="15" spans="1:10" x14ac:dyDescent="0.25">
      <c r="A15" s="1" t="s">
        <v>16</v>
      </c>
      <c r="B15" s="1" t="s">
        <v>27</v>
      </c>
      <c r="C15" s="11"/>
      <c r="D15" s="11"/>
      <c r="E15" s="11">
        <v>381</v>
      </c>
      <c r="F15" s="11"/>
      <c r="G15" s="11">
        <f t="shared" si="0"/>
        <v>381</v>
      </c>
      <c r="H15" s="17">
        <f t="shared" si="1"/>
        <v>0.23</v>
      </c>
      <c r="I15" s="16">
        <f t="shared" si="2"/>
        <v>2E-3</v>
      </c>
      <c r="J15" s="16">
        <f>ROUND(G15/296-1,2)</f>
        <v>0.28999999999999998</v>
      </c>
    </row>
    <row r="16" spans="1:10" x14ac:dyDescent="0.25">
      <c r="A16" s="1" t="s">
        <v>16</v>
      </c>
      <c r="B16" s="1" t="s">
        <v>29</v>
      </c>
      <c r="C16" s="11"/>
      <c r="D16" s="11"/>
      <c r="E16" s="11">
        <v>90</v>
      </c>
      <c r="F16" s="11"/>
      <c r="G16" s="11">
        <f t="shared" si="0"/>
        <v>90</v>
      </c>
      <c r="H16" s="17">
        <f t="shared" si="1"/>
        <v>0.05</v>
      </c>
      <c r="I16" s="16">
        <f t="shared" si="2"/>
        <v>0</v>
      </c>
      <c r="J16" s="16">
        <f>ROUND(G16/60-1,2)</f>
        <v>0.5</v>
      </c>
    </row>
    <row r="17" spans="1:10" x14ac:dyDescent="0.25">
      <c r="A17" s="1" t="s">
        <v>16</v>
      </c>
      <c r="B17" s="1" t="s">
        <v>31</v>
      </c>
      <c r="C17" s="11"/>
      <c r="D17" s="11"/>
      <c r="E17" s="11">
        <v>990</v>
      </c>
      <c r="F17" s="11"/>
      <c r="G17" s="11">
        <f t="shared" si="0"/>
        <v>990</v>
      </c>
      <c r="H17" s="17">
        <f t="shared" si="1"/>
        <v>0.59</v>
      </c>
      <c r="I17" s="16">
        <f t="shared" si="2"/>
        <v>5.0000000000000001E-3</v>
      </c>
      <c r="J17" s="16">
        <f>ROUND(G17/515-1,2)</f>
        <v>0.92</v>
      </c>
    </row>
    <row r="18" spans="1:10" x14ac:dyDescent="0.25">
      <c r="A18" s="1" t="s">
        <v>16</v>
      </c>
      <c r="B18" s="1" t="s">
        <v>32</v>
      </c>
      <c r="C18" s="11"/>
      <c r="D18" s="11">
        <v>39</v>
      </c>
      <c r="E18" s="11"/>
      <c r="F18" s="11"/>
      <c r="G18" s="11">
        <f t="shared" si="0"/>
        <v>39</v>
      </c>
      <c r="H18" s="17">
        <f t="shared" si="1"/>
        <v>0.02</v>
      </c>
      <c r="I18" s="16">
        <f t="shared" si="2"/>
        <v>0</v>
      </c>
      <c r="J18" s="16">
        <f>ROUND(G18/63-1,2)</f>
        <v>-0.38</v>
      </c>
    </row>
    <row r="19" spans="1:10" x14ac:dyDescent="0.25">
      <c r="A19" s="1" t="s">
        <v>16</v>
      </c>
      <c r="B19" s="1" t="s">
        <v>34</v>
      </c>
      <c r="C19" s="11"/>
      <c r="D19" s="11">
        <v>40</v>
      </c>
      <c r="E19" s="11">
        <v>970</v>
      </c>
      <c r="F19" s="11"/>
      <c r="G19" s="11">
        <f t="shared" si="0"/>
        <v>1010</v>
      </c>
      <c r="H19" s="17">
        <f t="shared" si="1"/>
        <v>0.6</v>
      </c>
      <c r="I19" s="16">
        <f t="shared" si="2"/>
        <v>5.0000000000000001E-3</v>
      </c>
      <c r="J19" s="16">
        <f>ROUND(G19/120-1,2)</f>
        <v>7.42</v>
      </c>
    </row>
    <row r="20" spans="1:10" x14ac:dyDescent="0.25">
      <c r="A20" s="1" t="s">
        <v>16</v>
      </c>
      <c r="B20" s="1" t="s">
        <v>35</v>
      </c>
      <c r="C20" s="11"/>
      <c r="D20" s="11"/>
      <c r="E20" s="11">
        <v>21860</v>
      </c>
      <c r="F20" s="11"/>
      <c r="G20" s="11">
        <f t="shared" si="0"/>
        <v>21860</v>
      </c>
      <c r="H20" s="17">
        <f t="shared" si="1"/>
        <v>12.94</v>
      </c>
      <c r="I20" s="16">
        <f t="shared" si="2"/>
        <v>0.106</v>
      </c>
      <c r="J20" s="16">
        <f>ROUND(G20/13540-1,2)</f>
        <v>0.61</v>
      </c>
    </row>
    <row r="21" spans="1:10" x14ac:dyDescent="0.25">
      <c r="A21" s="1" t="s">
        <v>16</v>
      </c>
      <c r="B21" s="1" t="s">
        <v>37</v>
      </c>
      <c r="C21" s="11"/>
      <c r="D21" s="11"/>
      <c r="E21" s="11">
        <v>5720</v>
      </c>
      <c r="F21" s="11"/>
      <c r="G21" s="11">
        <f t="shared" si="0"/>
        <v>5720</v>
      </c>
      <c r="H21" s="17">
        <f t="shared" si="1"/>
        <v>3.39</v>
      </c>
      <c r="I21" s="16">
        <f t="shared" si="2"/>
        <v>2.8000000000000001E-2</v>
      </c>
      <c r="J21" s="16">
        <f>ROUND(G21/4120-1,2)</f>
        <v>0.39</v>
      </c>
    </row>
    <row r="22" spans="1:10" x14ac:dyDescent="0.25">
      <c r="A22" s="1" t="s">
        <v>16</v>
      </c>
      <c r="B22" s="1" t="s">
        <v>38</v>
      </c>
      <c r="C22" s="11"/>
      <c r="D22" s="11"/>
      <c r="E22" s="11">
        <v>14420</v>
      </c>
      <c r="F22" s="11"/>
      <c r="G22" s="11">
        <f t="shared" si="0"/>
        <v>14420</v>
      </c>
      <c r="H22" s="17">
        <f t="shared" si="1"/>
        <v>8.5399999999999991</v>
      </c>
      <c r="I22" s="16">
        <f t="shared" si="2"/>
        <v>7.0000000000000007E-2</v>
      </c>
      <c r="J22" s="16">
        <f>ROUND(G22/7340-1,2)</f>
        <v>0.96</v>
      </c>
    </row>
    <row r="23" spans="1:10" x14ac:dyDescent="0.25">
      <c r="A23" s="1" t="s">
        <v>16</v>
      </c>
      <c r="B23" s="1" t="s">
        <v>90</v>
      </c>
      <c r="C23" s="11"/>
      <c r="D23" s="11"/>
      <c r="E23" s="11"/>
      <c r="F23" s="11"/>
      <c r="G23" s="11">
        <f t="shared" si="0"/>
        <v>0</v>
      </c>
      <c r="H23" s="17">
        <f t="shared" si="1"/>
        <v>0</v>
      </c>
      <c r="I23" s="16">
        <f t="shared" si="2"/>
        <v>0</v>
      </c>
      <c r="J23" s="16"/>
    </row>
    <row r="24" spans="1:10" x14ac:dyDescent="0.25">
      <c r="A24" s="1" t="s">
        <v>16</v>
      </c>
      <c r="B24" s="1" t="s">
        <v>131</v>
      </c>
      <c r="C24" s="11"/>
      <c r="D24" s="11"/>
      <c r="E24" s="11"/>
      <c r="F24" s="11"/>
      <c r="G24" s="11">
        <f t="shared" si="0"/>
        <v>0</v>
      </c>
      <c r="H24" s="17">
        <f t="shared" si="1"/>
        <v>0</v>
      </c>
      <c r="I24" s="16">
        <f t="shared" si="2"/>
        <v>0</v>
      </c>
      <c r="J24" s="16"/>
    </row>
    <row r="25" spans="1:10" x14ac:dyDescent="0.25">
      <c r="A25" s="1" t="s">
        <v>16</v>
      </c>
      <c r="B25" s="1" t="s">
        <v>40</v>
      </c>
      <c r="C25" s="11"/>
      <c r="D25" s="11"/>
      <c r="E25" s="11"/>
      <c r="F25" s="11"/>
      <c r="G25" s="11">
        <f t="shared" si="0"/>
        <v>0</v>
      </c>
      <c r="H25" s="17">
        <f t="shared" si="1"/>
        <v>0</v>
      </c>
      <c r="I25" s="16">
        <f t="shared" si="2"/>
        <v>0</v>
      </c>
      <c r="J25" s="16">
        <f>ROUND(G25/1569-1,2)</f>
        <v>-1</v>
      </c>
    </row>
    <row r="26" spans="1:10" x14ac:dyDescent="0.25">
      <c r="A26" s="1" t="s">
        <v>16</v>
      </c>
      <c r="B26" s="1" t="s">
        <v>41</v>
      </c>
      <c r="C26" s="11"/>
      <c r="D26" s="11"/>
      <c r="E26" s="11"/>
      <c r="F26" s="11"/>
      <c r="G26" s="11">
        <f t="shared" si="0"/>
        <v>0</v>
      </c>
      <c r="H26" s="17">
        <f t="shared" si="1"/>
        <v>0</v>
      </c>
      <c r="I26" s="16">
        <f t="shared" si="2"/>
        <v>0</v>
      </c>
      <c r="J26" s="16">
        <f>ROUND(G26/640-1,2)</f>
        <v>-1</v>
      </c>
    </row>
    <row r="27" spans="1:10" x14ac:dyDescent="0.25">
      <c r="A27" s="1" t="s">
        <v>16</v>
      </c>
      <c r="B27" s="1" t="s">
        <v>42</v>
      </c>
      <c r="C27" s="11"/>
      <c r="D27" s="11"/>
      <c r="E27" s="11"/>
      <c r="F27" s="11"/>
      <c r="G27" s="11">
        <f t="shared" si="0"/>
        <v>0</v>
      </c>
      <c r="H27" s="17">
        <f t="shared" si="1"/>
        <v>0</v>
      </c>
      <c r="I27" s="16">
        <f t="shared" si="2"/>
        <v>0</v>
      </c>
      <c r="J27" s="16">
        <f>ROUND(G27/980-1,2)</f>
        <v>-1</v>
      </c>
    </row>
    <row r="28" spans="1:10" x14ac:dyDescent="0.25">
      <c r="A28" s="1" t="s">
        <v>16</v>
      </c>
      <c r="B28" s="1" t="s">
        <v>43</v>
      </c>
      <c r="C28" s="11"/>
      <c r="D28" s="11"/>
      <c r="E28" s="11"/>
      <c r="F28" s="11"/>
      <c r="G28" s="11">
        <f t="shared" si="0"/>
        <v>0</v>
      </c>
      <c r="H28" s="17">
        <f t="shared" si="1"/>
        <v>0</v>
      </c>
      <c r="I28" s="16">
        <f t="shared" si="2"/>
        <v>0</v>
      </c>
      <c r="J28" s="16">
        <f>ROUND(G28/1162-1,2)</f>
        <v>-1</v>
      </c>
    </row>
    <row r="29" spans="1:10" x14ac:dyDescent="0.25">
      <c r="A29" s="1" t="s">
        <v>16</v>
      </c>
      <c r="B29" s="1" t="s">
        <v>94</v>
      </c>
      <c r="C29" s="11"/>
      <c r="D29" s="11"/>
      <c r="E29" s="11"/>
      <c r="F29" s="11"/>
      <c r="G29" s="11">
        <f t="shared" si="0"/>
        <v>0</v>
      </c>
      <c r="H29" s="17">
        <f t="shared" si="1"/>
        <v>0</v>
      </c>
      <c r="I29" s="16">
        <f t="shared" si="2"/>
        <v>0</v>
      </c>
      <c r="J29" s="16"/>
    </row>
    <row r="30" spans="1:10" x14ac:dyDescent="0.25">
      <c r="A30" s="1" t="s">
        <v>16</v>
      </c>
      <c r="B30" s="1" t="s">
        <v>25</v>
      </c>
      <c r="C30" s="11"/>
      <c r="D30" s="11"/>
      <c r="E30" s="11"/>
      <c r="F30" s="11"/>
      <c r="G30" s="11">
        <f t="shared" si="0"/>
        <v>0</v>
      </c>
      <c r="H30" s="17">
        <f t="shared" si="1"/>
        <v>0</v>
      </c>
      <c r="I30" s="16">
        <f t="shared" si="2"/>
        <v>0</v>
      </c>
      <c r="J30" s="16">
        <f>ROUND(G30/830-1,2)</f>
        <v>-1</v>
      </c>
    </row>
    <row r="31" spans="1:10" x14ac:dyDescent="0.25">
      <c r="A31" s="1" t="s">
        <v>16</v>
      </c>
      <c r="B31" s="1" t="s">
        <v>39</v>
      </c>
      <c r="C31" s="11"/>
      <c r="D31" s="11"/>
      <c r="E31" s="11"/>
      <c r="F31" s="11"/>
      <c r="G31" s="11">
        <f t="shared" si="0"/>
        <v>0</v>
      </c>
      <c r="H31" s="17">
        <f t="shared" si="1"/>
        <v>0</v>
      </c>
      <c r="I31" s="16">
        <f t="shared" si="2"/>
        <v>0</v>
      </c>
      <c r="J31" s="16"/>
    </row>
    <row r="32" spans="1:10" x14ac:dyDescent="0.25">
      <c r="A32" s="1" t="s">
        <v>16</v>
      </c>
      <c r="B32" s="1" t="s">
        <v>33</v>
      </c>
      <c r="C32" s="11"/>
      <c r="D32" s="11"/>
      <c r="E32" s="11"/>
      <c r="F32" s="11"/>
      <c r="G32" s="11">
        <f t="shared" si="0"/>
        <v>0</v>
      </c>
      <c r="H32" s="17">
        <f t="shared" si="1"/>
        <v>0</v>
      </c>
      <c r="I32" s="16">
        <f t="shared" si="2"/>
        <v>0</v>
      </c>
      <c r="J32" s="16"/>
    </row>
    <row r="33" spans="1:10" x14ac:dyDescent="0.25">
      <c r="A33" s="1" t="s">
        <v>44</v>
      </c>
      <c r="B33" s="1" t="s">
        <v>45</v>
      </c>
      <c r="C33" s="11">
        <v>41440</v>
      </c>
      <c r="D33" s="11"/>
      <c r="E33" s="11"/>
      <c r="F33" s="11"/>
      <c r="G33" s="11">
        <f t="shared" si="0"/>
        <v>41440</v>
      </c>
      <c r="H33" s="17">
        <f t="shared" si="1"/>
        <v>24.54</v>
      </c>
      <c r="I33" s="16">
        <f t="shared" si="2"/>
        <v>0.2</v>
      </c>
      <c r="J33" s="16">
        <f>ROUND(G33/42170-1,2)</f>
        <v>-0.02</v>
      </c>
    </row>
    <row r="34" spans="1:10" x14ac:dyDescent="0.25">
      <c r="A34" s="1" t="s">
        <v>44</v>
      </c>
      <c r="B34" s="1" t="s">
        <v>46</v>
      </c>
      <c r="C34" s="11"/>
      <c r="D34" s="11"/>
      <c r="E34" s="11">
        <v>13710</v>
      </c>
      <c r="F34" s="11"/>
      <c r="G34" s="11">
        <f t="shared" si="0"/>
        <v>13710</v>
      </c>
      <c r="H34" s="17">
        <f t="shared" si="1"/>
        <v>8.1199999999999992</v>
      </c>
      <c r="I34" s="16">
        <f t="shared" si="2"/>
        <v>6.6000000000000003E-2</v>
      </c>
      <c r="J34" s="16">
        <f>ROUND(G34/10020-1,2)</f>
        <v>0.37</v>
      </c>
    </row>
    <row r="35" spans="1:10" x14ac:dyDescent="0.25">
      <c r="A35" s="1" t="s">
        <v>44</v>
      </c>
      <c r="B35" s="1" t="s">
        <v>47</v>
      </c>
      <c r="C35" s="11"/>
      <c r="D35" s="11"/>
      <c r="E35" s="11"/>
      <c r="F35" s="11"/>
      <c r="G35" s="11">
        <f t="shared" si="0"/>
        <v>0</v>
      </c>
      <c r="H35" s="17">
        <f t="shared" si="1"/>
        <v>0</v>
      </c>
      <c r="I35" s="16">
        <f t="shared" si="2"/>
        <v>0</v>
      </c>
      <c r="J35" s="16"/>
    </row>
    <row r="36" spans="1:10" x14ac:dyDescent="0.25">
      <c r="A36" s="1" t="s">
        <v>48</v>
      </c>
      <c r="B36" s="1" t="s">
        <v>159</v>
      </c>
      <c r="C36" s="11"/>
      <c r="D36" s="11"/>
      <c r="E36" s="11"/>
      <c r="F36" s="11"/>
      <c r="G36" s="11">
        <f t="shared" si="0"/>
        <v>0</v>
      </c>
      <c r="H36" s="17">
        <f t="shared" si="1"/>
        <v>0</v>
      </c>
      <c r="I36" s="16">
        <f t="shared" si="2"/>
        <v>0</v>
      </c>
      <c r="J36" s="16">
        <f>ROUND(G36/14560-1,2)</f>
        <v>-1</v>
      </c>
    </row>
    <row r="37" spans="1:10" x14ac:dyDescent="0.25">
      <c r="A37" s="1" t="s">
        <v>48</v>
      </c>
      <c r="B37" s="1" t="s">
        <v>166</v>
      </c>
      <c r="C37" s="11"/>
      <c r="D37" s="11"/>
      <c r="E37" s="11"/>
      <c r="F37" s="11"/>
      <c r="G37" s="11">
        <f t="shared" si="0"/>
        <v>0</v>
      </c>
      <c r="H37" s="17">
        <f t="shared" si="1"/>
        <v>0</v>
      </c>
      <c r="I37" s="16">
        <f t="shared" si="2"/>
        <v>0</v>
      </c>
      <c r="J37" s="16"/>
    </row>
    <row r="38" spans="1:10" x14ac:dyDescent="0.25">
      <c r="A38" s="1" t="s">
        <v>48</v>
      </c>
      <c r="B38" s="1" t="s">
        <v>51</v>
      </c>
      <c r="C38" s="11"/>
      <c r="D38" s="11"/>
      <c r="E38" s="11"/>
      <c r="F38" s="11"/>
      <c r="G38" s="11">
        <f t="shared" si="0"/>
        <v>0</v>
      </c>
      <c r="H38" s="17">
        <f t="shared" si="1"/>
        <v>0</v>
      </c>
      <c r="I38" s="16">
        <f t="shared" si="2"/>
        <v>0</v>
      </c>
      <c r="J38" s="16"/>
    </row>
    <row r="39" spans="1:10" x14ac:dyDescent="0.25">
      <c r="A39" s="21" t="s">
        <v>12</v>
      </c>
      <c r="B39" s="21"/>
      <c r="C39" s="12">
        <f t="shared" ref="C39:H39" si="3">SUM(C8:C38)</f>
        <v>147360</v>
      </c>
      <c r="D39" s="12">
        <f t="shared" si="3"/>
        <v>79</v>
      </c>
      <c r="E39" s="12">
        <f t="shared" si="3"/>
        <v>59270</v>
      </c>
      <c r="F39" s="12">
        <f t="shared" si="3"/>
        <v>0</v>
      </c>
      <c r="G39" s="12">
        <f t="shared" si="3"/>
        <v>206709</v>
      </c>
      <c r="H39" s="15">
        <f t="shared" si="3"/>
        <v>122.40999999999997</v>
      </c>
      <c r="I39" s="18"/>
      <c r="J39" s="18"/>
    </row>
    <row r="40" spans="1:10" x14ac:dyDescent="0.25">
      <c r="A40" s="21" t="s">
        <v>14</v>
      </c>
      <c r="B40" s="21"/>
      <c r="C40" s="13">
        <f>ROUND(C39/G39,2)</f>
        <v>0.71</v>
      </c>
      <c r="D40" s="13">
        <f>ROUND(D39/G39,2)</f>
        <v>0</v>
      </c>
      <c r="E40" s="13">
        <f>ROUND(E39/G39,2)</f>
        <v>0.28999999999999998</v>
      </c>
      <c r="F40" s="13">
        <f>ROUND(F39/G39,2)</f>
        <v>0</v>
      </c>
      <c r="G40" s="14"/>
      <c r="H40" s="14"/>
      <c r="I40" s="18"/>
      <c r="J40" s="18"/>
    </row>
    <row r="41" spans="1:10" x14ac:dyDescent="0.25">
      <c r="A41" s="2" t="s">
        <v>52</v>
      </c>
      <c r="B41" s="2"/>
      <c r="C41" s="14"/>
      <c r="D41" s="14"/>
      <c r="E41" s="14"/>
      <c r="F41" s="14"/>
      <c r="G41" s="14"/>
      <c r="H41" s="14"/>
      <c r="I41" s="18"/>
      <c r="J41" s="18"/>
    </row>
    <row r="42" spans="1:10" x14ac:dyDescent="0.25">
      <c r="C42" s="9"/>
      <c r="D42" s="9"/>
      <c r="E42" s="9"/>
      <c r="F42" s="9"/>
      <c r="G42" s="9"/>
      <c r="H42" s="9"/>
      <c r="I42" s="10"/>
      <c r="J42" s="10"/>
    </row>
    <row r="43" spans="1:10" x14ac:dyDescent="0.25">
      <c r="C43" s="9"/>
      <c r="D43" s="9"/>
      <c r="E43" s="9"/>
      <c r="F43" s="9"/>
      <c r="G43" s="9"/>
      <c r="H43" s="9"/>
      <c r="I43" s="10"/>
      <c r="J43" s="10"/>
    </row>
    <row r="44" spans="1:10" x14ac:dyDescent="0.25">
      <c r="C44" s="9"/>
      <c r="D44" s="9"/>
      <c r="E44" s="9"/>
      <c r="F44" s="9"/>
      <c r="G44" s="9"/>
      <c r="H44" s="9"/>
      <c r="I44" s="10"/>
      <c r="J44" s="10"/>
    </row>
    <row r="45" spans="1:10" x14ac:dyDescent="0.25">
      <c r="A45" s="21" t="s">
        <v>53</v>
      </c>
      <c r="B45" s="21"/>
      <c r="C45" s="12" t="s">
        <v>8</v>
      </c>
      <c r="D45" s="12" t="s">
        <v>9</v>
      </c>
      <c r="E45" s="12" t="s">
        <v>10</v>
      </c>
      <c r="F45" s="12" t="s">
        <v>11</v>
      </c>
      <c r="G45" s="12" t="s">
        <v>12</v>
      </c>
      <c r="H45" s="15" t="s">
        <v>13</v>
      </c>
      <c r="I45" s="18"/>
      <c r="J45" s="18"/>
    </row>
    <row r="46" spans="1:10" x14ac:dyDescent="0.25">
      <c r="A46" s="20" t="s">
        <v>54</v>
      </c>
      <c r="B46" s="20"/>
      <c r="C46" s="11">
        <v>105920</v>
      </c>
      <c r="D46" s="11">
        <v>79</v>
      </c>
      <c r="E46" s="11">
        <v>45560</v>
      </c>
      <c r="F46" s="11">
        <v>0</v>
      </c>
      <c r="G46" s="11">
        <f>SUM(C46:F46)</f>
        <v>151559</v>
      </c>
      <c r="H46" s="17">
        <f>ROUND(G46/1689,2)</f>
        <v>89.73</v>
      </c>
      <c r="I46" s="10"/>
      <c r="J46" s="10"/>
    </row>
    <row r="47" spans="1:10" x14ac:dyDescent="0.25">
      <c r="A47" s="20" t="s">
        <v>55</v>
      </c>
      <c r="B47" s="20"/>
      <c r="C47" s="11">
        <v>41440</v>
      </c>
      <c r="D47" s="11">
        <v>0</v>
      </c>
      <c r="E47" s="11">
        <v>13710</v>
      </c>
      <c r="F47" s="11">
        <v>0</v>
      </c>
      <c r="G47" s="11">
        <f>SUM(C47:F47)</f>
        <v>55150</v>
      </c>
      <c r="H47" s="17">
        <f>ROUND(G47/1689,2)</f>
        <v>32.65</v>
      </c>
      <c r="I47" s="10"/>
      <c r="J47" s="10"/>
    </row>
    <row r="48" spans="1:10" x14ac:dyDescent="0.25">
      <c r="A48" s="20" t="s">
        <v>56</v>
      </c>
      <c r="B48" s="20"/>
      <c r="C48" s="11">
        <v>0</v>
      </c>
      <c r="D48" s="11">
        <v>0</v>
      </c>
      <c r="E48" s="11">
        <v>0</v>
      </c>
      <c r="F48" s="11">
        <v>0</v>
      </c>
      <c r="G48" s="11">
        <f>SUM(C48:F48)</f>
        <v>0</v>
      </c>
      <c r="H48" s="17">
        <f>ROUND(G48/1689,2)</f>
        <v>0</v>
      </c>
      <c r="I48" s="10"/>
      <c r="J48" s="10"/>
    </row>
    <row r="49" spans="1:10" x14ac:dyDescent="0.25">
      <c r="C49" s="9"/>
      <c r="D49" s="9"/>
      <c r="E49" s="9"/>
      <c r="F49" s="9"/>
      <c r="G49" s="9"/>
      <c r="H49" s="9"/>
      <c r="I49" s="10"/>
      <c r="J49" s="10"/>
    </row>
    <row r="50" spans="1:10" x14ac:dyDescent="0.25">
      <c r="C50" s="9"/>
      <c r="D50" s="9"/>
      <c r="E50" s="9"/>
      <c r="F50" s="9"/>
      <c r="G50" s="9"/>
      <c r="H50" s="9"/>
      <c r="I50" s="10"/>
      <c r="J50" s="10"/>
    </row>
    <row r="51" spans="1:10" x14ac:dyDescent="0.25">
      <c r="C51" s="9"/>
      <c r="D51" s="9"/>
      <c r="E51" s="9"/>
      <c r="F51" s="9"/>
      <c r="G51" s="9"/>
      <c r="H51" s="9"/>
      <c r="I51" s="10"/>
      <c r="J51" s="10"/>
    </row>
    <row r="52" spans="1:10" x14ac:dyDescent="0.25">
      <c r="C52" s="9"/>
      <c r="D52" s="9"/>
      <c r="E52" s="9"/>
      <c r="F52" s="9"/>
      <c r="G52" s="9"/>
      <c r="H52" s="9"/>
      <c r="I52" s="10"/>
      <c r="J52" s="10"/>
    </row>
    <row r="53" spans="1:10" x14ac:dyDescent="0.25">
      <c r="A53" s="21" t="s">
        <v>57</v>
      </c>
      <c r="B53" s="21"/>
      <c r="C53" s="15" t="s">
        <v>2</v>
      </c>
      <c r="D53" s="15">
        <v>2023</v>
      </c>
      <c r="E53" s="15" t="s">
        <v>59</v>
      </c>
      <c r="F53" s="14"/>
      <c r="G53" s="15" t="s">
        <v>60</v>
      </c>
      <c r="H53" s="15" t="s">
        <v>2</v>
      </c>
      <c r="I53" s="13" t="s">
        <v>61</v>
      </c>
      <c r="J53" s="13" t="s">
        <v>59</v>
      </c>
    </row>
    <row r="54" spans="1:10" x14ac:dyDescent="0.25">
      <c r="A54" s="20" t="s">
        <v>58</v>
      </c>
      <c r="B54" s="20"/>
      <c r="C54" s="16">
        <f>ROUND(0.7986, 4)</f>
        <v>0.79859999999999998</v>
      </c>
      <c r="D54" s="16">
        <f>ROUND(0.771, 4)</f>
        <v>0.77100000000000002</v>
      </c>
      <c r="E54" s="16">
        <f>ROUND(0.777, 4)</f>
        <v>0.77700000000000002</v>
      </c>
      <c r="F54" s="9"/>
      <c r="G54" s="15" t="s">
        <v>62</v>
      </c>
      <c r="H54" s="22" t="s">
        <v>63</v>
      </c>
      <c r="I54" s="24" t="s">
        <v>64</v>
      </c>
      <c r="J54" s="24" t="s">
        <v>65</v>
      </c>
    </row>
    <row r="55" spans="1:10" x14ac:dyDescent="0.25">
      <c r="A55" s="20" t="s">
        <v>66</v>
      </c>
      <c r="B55" s="20"/>
      <c r="C55" s="16">
        <f>ROUND(0.7869, 4)</f>
        <v>0.78690000000000004</v>
      </c>
      <c r="D55" s="16">
        <f>ROUND(0.7593, 4)</f>
        <v>0.75929999999999997</v>
      </c>
      <c r="E55" s="16">
        <f>ROUND(0.7608, 4)</f>
        <v>0.76080000000000003</v>
      </c>
      <c r="F55" s="9"/>
      <c r="G55" s="15" t="s">
        <v>67</v>
      </c>
      <c r="H55" s="23"/>
      <c r="I55" s="25"/>
      <c r="J55" s="25"/>
    </row>
    <row r="56" spans="1:10" x14ac:dyDescent="0.25">
      <c r="C56" s="9"/>
      <c r="D56" s="9"/>
      <c r="E56" s="9"/>
      <c r="F56" s="9"/>
      <c r="G56" s="9"/>
      <c r="H56" s="9"/>
      <c r="I56" s="10"/>
      <c r="J56" s="10"/>
    </row>
    <row r="57" spans="1:10" x14ac:dyDescent="0.25">
      <c r="C57" s="9"/>
      <c r="D57" s="9"/>
      <c r="E57" s="9"/>
      <c r="F57" s="9"/>
      <c r="G57" s="9"/>
      <c r="H57" s="9"/>
      <c r="I57" s="10"/>
      <c r="J57" s="10"/>
    </row>
    <row r="58" spans="1:10" x14ac:dyDescent="0.25">
      <c r="C58" s="9"/>
      <c r="D58" s="9"/>
      <c r="E58" s="9"/>
      <c r="F58" s="9"/>
      <c r="G58" s="9"/>
      <c r="H58" s="9"/>
      <c r="I58" s="10"/>
      <c r="J58" s="10"/>
    </row>
    <row r="59" spans="1:10" x14ac:dyDescent="0.25">
      <c r="A59" s="21" t="s">
        <v>68</v>
      </c>
      <c r="B59" s="21"/>
      <c r="C59" s="15" t="s">
        <v>2</v>
      </c>
      <c r="D59" s="15" t="s">
        <v>167</v>
      </c>
      <c r="E59" s="15" t="s">
        <v>70</v>
      </c>
      <c r="F59" s="15" t="s">
        <v>71</v>
      </c>
      <c r="G59" s="15" t="s">
        <v>72</v>
      </c>
      <c r="H59" s="14"/>
      <c r="I59" s="18"/>
      <c r="J59" s="18"/>
    </row>
    <row r="60" spans="1:10" x14ac:dyDescent="0.25">
      <c r="A60" s="20" t="s">
        <v>73</v>
      </c>
      <c r="B60" s="20"/>
      <c r="C60" s="17">
        <v>24.54</v>
      </c>
      <c r="D60" s="17">
        <v>64.55</v>
      </c>
      <c r="E60" s="17">
        <v>81.84</v>
      </c>
      <c r="F60" s="17">
        <v>48</v>
      </c>
      <c r="G60" s="17">
        <f>12/4*C60</f>
        <v>73.62</v>
      </c>
      <c r="H60" s="9"/>
      <c r="I60" s="10"/>
      <c r="J60" s="10"/>
    </row>
    <row r="61" spans="1:10" x14ac:dyDescent="0.25">
      <c r="A61" s="20" t="s">
        <v>74</v>
      </c>
      <c r="B61" s="20"/>
      <c r="C61" s="17">
        <v>25.15</v>
      </c>
      <c r="D61" s="17">
        <v>66.64</v>
      </c>
      <c r="E61" s="17">
        <v>55.63</v>
      </c>
      <c r="F61" s="17">
        <v>55.33</v>
      </c>
      <c r="G61" s="17">
        <f>12/4*C61</f>
        <v>75.449999999999989</v>
      </c>
      <c r="H61" s="9"/>
      <c r="I61" s="10"/>
      <c r="J61" s="10"/>
    </row>
    <row r="62" spans="1:10" x14ac:dyDescent="0.25">
      <c r="A62" s="20" t="s">
        <v>75</v>
      </c>
      <c r="B62" s="20"/>
      <c r="C62" s="17">
        <v>89.73</v>
      </c>
      <c r="D62" s="17">
        <v>241.78</v>
      </c>
      <c r="E62" s="17">
        <v>257.88</v>
      </c>
      <c r="F62" s="17">
        <v>242.78</v>
      </c>
      <c r="G62" s="17">
        <f>12/4*C62</f>
        <v>269.19</v>
      </c>
      <c r="H62" s="9"/>
      <c r="I62" s="10"/>
      <c r="J62" s="10"/>
    </row>
    <row r="63" spans="1:10" x14ac:dyDescent="0.25">
      <c r="A63" s="20" t="s">
        <v>76</v>
      </c>
      <c r="B63" s="20"/>
      <c r="C63" s="17">
        <v>32.65</v>
      </c>
      <c r="D63" s="17">
        <v>85.67</v>
      </c>
      <c r="E63" s="17">
        <v>103.14</v>
      </c>
      <c r="F63" s="17">
        <v>68.31</v>
      </c>
      <c r="G63" s="17">
        <f>12/4*C63</f>
        <v>97.949999999999989</v>
      </c>
      <c r="H63" s="9"/>
      <c r="I63" s="10"/>
      <c r="J63" s="10"/>
    </row>
    <row r="64" spans="1:10" x14ac:dyDescent="0.25">
      <c r="C64" s="9"/>
      <c r="D64" s="9"/>
      <c r="E64" s="9"/>
      <c r="F64" s="9"/>
      <c r="G64" s="9"/>
      <c r="H64" s="9"/>
      <c r="I64" s="10"/>
      <c r="J64" s="10"/>
    </row>
    <row r="65" spans="1:10" x14ac:dyDescent="0.25">
      <c r="C65" s="9"/>
      <c r="D65" s="9"/>
      <c r="E65" s="9"/>
      <c r="F65" s="9"/>
      <c r="G65" s="9"/>
      <c r="H65" s="9"/>
      <c r="I65" s="10"/>
      <c r="J65" s="10"/>
    </row>
    <row r="66" spans="1:10" x14ac:dyDescent="0.25">
      <c r="A66" s="19" t="s">
        <v>60</v>
      </c>
      <c r="B66" s="26"/>
      <c r="C66" s="9"/>
      <c r="D66" s="9"/>
      <c r="E66" s="9"/>
      <c r="F66" s="9"/>
      <c r="G66" s="9"/>
      <c r="H66" s="9"/>
      <c r="I66" s="10"/>
      <c r="J66" s="10"/>
    </row>
    <row r="67" spans="1:10" x14ac:dyDescent="0.25">
      <c r="A67" s="3" t="s">
        <v>77</v>
      </c>
      <c r="B67" s="1" t="s">
        <v>168</v>
      </c>
      <c r="C67" s="9"/>
      <c r="D67" s="9"/>
      <c r="E67" s="9"/>
      <c r="F67" s="9"/>
      <c r="G67" s="9"/>
      <c r="H67" s="9"/>
      <c r="I67" s="10"/>
      <c r="J67" s="10"/>
    </row>
    <row r="68" spans="1:10" x14ac:dyDescent="0.25">
      <c r="A68" s="3" t="s">
        <v>70</v>
      </c>
      <c r="B68" s="1" t="s">
        <v>79</v>
      </c>
      <c r="C68" s="9"/>
      <c r="D68" s="9"/>
      <c r="E68" s="9"/>
      <c r="F68" s="9"/>
      <c r="G68" s="9"/>
      <c r="H68" s="9"/>
      <c r="I68" s="10"/>
      <c r="J68" s="10"/>
    </row>
    <row r="69" spans="1:10" x14ac:dyDescent="0.25">
      <c r="A69" s="3" t="s">
        <v>71</v>
      </c>
      <c r="B69" s="1" t="s">
        <v>80</v>
      </c>
      <c r="C69" s="9"/>
      <c r="D69" s="9"/>
      <c r="E69" s="9"/>
      <c r="F69" s="9"/>
      <c r="G69" s="9"/>
      <c r="H69" s="9"/>
      <c r="I69" s="10"/>
      <c r="J69" s="10"/>
    </row>
    <row r="70" spans="1:10" x14ac:dyDescent="0.25">
      <c r="A70" s="3" t="s">
        <v>72</v>
      </c>
      <c r="B70" s="1" t="s">
        <v>81</v>
      </c>
      <c r="C70" s="9"/>
      <c r="D70" s="9"/>
      <c r="E70" s="9"/>
      <c r="F70" s="9"/>
      <c r="G70" s="9"/>
      <c r="H70" s="9"/>
      <c r="I70" s="10"/>
      <c r="J70" s="10"/>
    </row>
    <row r="71" spans="1:10" x14ac:dyDescent="0.25">
      <c r="C71" s="9"/>
      <c r="D71" s="9"/>
      <c r="E71" s="9"/>
      <c r="F71" s="9"/>
      <c r="G71" s="9"/>
      <c r="H71" s="9"/>
      <c r="I71" s="10"/>
      <c r="J71" s="10"/>
    </row>
    <row r="72" spans="1:10" x14ac:dyDescent="0.25">
      <c r="C72" s="9"/>
      <c r="D72" s="9"/>
      <c r="E72" s="9"/>
      <c r="F72" s="9"/>
      <c r="G72" s="9"/>
      <c r="H72" s="9"/>
      <c r="I72" s="10"/>
      <c r="J72" s="10"/>
    </row>
  </sheetData>
  <mergeCells count="19">
    <mergeCell ref="A61:B61"/>
    <mergeCell ref="A62:B62"/>
    <mergeCell ref="A63:B63"/>
    <mergeCell ref="A66:B66"/>
    <mergeCell ref="I54:I55"/>
    <mergeCell ref="J54:J55"/>
    <mergeCell ref="A55:B55"/>
    <mergeCell ref="A59:B59"/>
    <mergeCell ref="A60:B60"/>
    <mergeCell ref="A47:B47"/>
    <mergeCell ref="A48:B48"/>
    <mergeCell ref="A53:B53"/>
    <mergeCell ref="A54:B54"/>
    <mergeCell ref="H54:H55"/>
    <mergeCell ref="C7:G7"/>
    <mergeCell ref="A39:B39"/>
    <mergeCell ref="A40:B40"/>
    <mergeCell ref="A45:B45"/>
    <mergeCell ref="A46:B46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2:J72"/>
  <sheetViews>
    <sheetView workbookViewId="0">
      <selection activeCell="C9" sqref="C9:J70"/>
    </sheetView>
  </sheetViews>
  <sheetFormatPr defaultRowHeight="15" x14ac:dyDescent="0.25"/>
  <cols>
    <col min="1" max="1" width="38.85546875" bestFit="1" customWidth="1"/>
    <col min="2" max="2" width="94.28515625" bestFit="1" customWidth="1"/>
    <col min="3" max="3" width="14" bestFit="1" customWidth="1"/>
    <col min="4" max="4" width="30.5703125" bestFit="1" customWidth="1"/>
    <col min="5" max="5" width="16.42578125" bestFit="1" customWidth="1"/>
    <col min="6" max="6" width="10.5703125" bestFit="1" customWidth="1"/>
    <col min="7" max="7" width="68.28515625" bestFit="1" customWidth="1"/>
    <col min="8" max="9" width="20" bestFit="1" customWidth="1"/>
    <col min="10" max="10" width="30.5703125" bestFit="1" customWidth="1"/>
  </cols>
  <sheetData>
    <row r="2" spans="1:10" ht="18.75" x14ac:dyDescent="0.3">
      <c r="A2" s="3" t="s">
        <v>0</v>
      </c>
      <c r="B2" s="4" t="s">
        <v>169</v>
      </c>
    </row>
    <row r="3" spans="1:10" x14ac:dyDescent="0.25">
      <c r="A3" s="3" t="s">
        <v>2</v>
      </c>
      <c r="B3" s="1" t="s">
        <v>3</v>
      </c>
    </row>
    <row r="4" spans="1:10" x14ac:dyDescent="0.25">
      <c r="A4" s="3" t="s">
        <v>4</v>
      </c>
      <c r="B4" s="1">
        <v>501</v>
      </c>
    </row>
    <row r="7" spans="1:10" x14ac:dyDescent="0.25">
      <c r="C7" s="19" t="s">
        <v>5</v>
      </c>
      <c r="D7" s="20"/>
      <c r="E7" s="20"/>
      <c r="F7" s="20"/>
      <c r="G7" s="20"/>
    </row>
    <row r="8" spans="1:10" x14ac:dyDescent="0.25">
      <c r="A8" s="3" t="s">
        <v>6</v>
      </c>
      <c r="B8" s="3" t="s">
        <v>7</v>
      </c>
      <c r="C8" s="3" t="s">
        <v>8</v>
      </c>
      <c r="D8" s="3" t="s">
        <v>9</v>
      </c>
      <c r="E8" s="3" t="s">
        <v>10</v>
      </c>
      <c r="F8" s="3" t="s">
        <v>11</v>
      </c>
      <c r="G8" s="3" t="s">
        <v>12</v>
      </c>
      <c r="H8" s="3" t="s">
        <v>13</v>
      </c>
      <c r="I8" s="3" t="s">
        <v>14</v>
      </c>
      <c r="J8" s="3" t="s">
        <v>15</v>
      </c>
    </row>
    <row r="9" spans="1:10" x14ac:dyDescent="0.25">
      <c r="A9" s="1" t="s">
        <v>16</v>
      </c>
      <c r="B9" s="1" t="s">
        <v>17</v>
      </c>
      <c r="C9" s="11"/>
      <c r="D9" s="11"/>
      <c r="E9" s="11">
        <v>5</v>
      </c>
      <c r="F9" s="11"/>
      <c r="G9" s="11">
        <f t="shared" ref="G9:G40" si="0">SUM(C9:F9)</f>
        <v>5</v>
      </c>
      <c r="H9" s="17">
        <f t="shared" ref="H9:H40" si="1">ROUND(G9/501,2)</f>
        <v>0.01</v>
      </c>
      <c r="I9" s="16">
        <f t="shared" ref="I9:I40" si="2">ROUND(G9/$G$41,3)</f>
        <v>0</v>
      </c>
      <c r="J9" s="16"/>
    </row>
    <row r="10" spans="1:10" x14ac:dyDescent="0.25">
      <c r="A10" s="1" t="s">
        <v>16</v>
      </c>
      <c r="B10" s="1" t="s">
        <v>19</v>
      </c>
      <c r="C10" s="11">
        <v>7260</v>
      </c>
      <c r="D10" s="11"/>
      <c r="E10" s="11">
        <v>669</v>
      </c>
      <c r="F10" s="11"/>
      <c r="G10" s="11">
        <f t="shared" si="0"/>
        <v>7929</v>
      </c>
      <c r="H10" s="17">
        <f t="shared" si="1"/>
        <v>15.83</v>
      </c>
      <c r="I10" s="16">
        <f t="shared" si="2"/>
        <v>9.8000000000000004E-2</v>
      </c>
      <c r="J10" s="16">
        <f>ROUND(G10/7124.61-1,2)</f>
        <v>0.11</v>
      </c>
    </row>
    <row r="11" spans="1:10" x14ac:dyDescent="0.25">
      <c r="A11" s="1" t="s">
        <v>16</v>
      </c>
      <c r="B11" s="1" t="s">
        <v>20</v>
      </c>
      <c r="C11" s="11">
        <v>9470</v>
      </c>
      <c r="D11" s="11"/>
      <c r="E11" s="11"/>
      <c r="F11" s="11"/>
      <c r="G11" s="11">
        <f t="shared" si="0"/>
        <v>9470</v>
      </c>
      <c r="H11" s="17">
        <f t="shared" si="1"/>
        <v>18.899999999999999</v>
      </c>
      <c r="I11" s="16">
        <f t="shared" si="2"/>
        <v>0.11700000000000001</v>
      </c>
      <c r="J11" s="16">
        <f>ROUND(G11/8390-1,2)</f>
        <v>0.13</v>
      </c>
    </row>
    <row r="12" spans="1:10" x14ac:dyDescent="0.25">
      <c r="A12" s="1" t="s">
        <v>16</v>
      </c>
      <c r="B12" s="1" t="s">
        <v>21</v>
      </c>
      <c r="C12" s="11"/>
      <c r="D12" s="11"/>
      <c r="E12" s="11">
        <v>11</v>
      </c>
      <c r="F12" s="11"/>
      <c r="G12" s="11">
        <f t="shared" si="0"/>
        <v>11</v>
      </c>
      <c r="H12" s="17">
        <f t="shared" si="1"/>
        <v>0.02</v>
      </c>
      <c r="I12" s="16">
        <f t="shared" si="2"/>
        <v>0</v>
      </c>
      <c r="J12" s="16"/>
    </row>
    <row r="13" spans="1:10" x14ac:dyDescent="0.25">
      <c r="A13" s="1" t="s">
        <v>16</v>
      </c>
      <c r="B13" s="1" t="s">
        <v>22</v>
      </c>
      <c r="C13" s="11"/>
      <c r="D13" s="11"/>
      <c r="E13" s="11">
        <v>227</v>
      </c>
      <c r="F13" s="11">
        <v>1400</v>
      </c>
      <c r="G13" s="11">
        <f t="shared" si="0"/>
        <v>1627</v>
      </c>
      <c r="H13" s="17">
        <f t="shared" si="1"/>
        <v>3.25</v>
      </c>
      <c r="I13" s="16">
        <f t="shared" si="2"/>
        <v>0.02</v>
      </c>
      <c r="J13" s="16"/>
    </row>
    <row r="14" spans="1:10" x14ac:dyDescent="0.25">
      <c r="A14" s="1" t="s">
        <v>16</v>
      </c>
      <c r="B14" s="1" t="s">
        <v>23</v>
      </c>
      <c r="C14" s="11"/>
      <c r="D14" s="11"/>
      <c r="E14" s="11">
        <v>8736</v>
      </c>
      <c r="F14" s="11"/>
      <c r="G14" s="11">
        <f t="shared" si="0"/>
        <v>8736</v>
      </c>
      <c r="H14" s="17">
        <f t="shared" si="1"/>
        <v>17.440000000000001</v>
      </c>
      <c r="I14" s="16">
        <f t="shared" si="2"/>
        <v>0.108</v>
      </c>
      <c r="J14" s="16">
        <f>ROUND(G14/619.29-1,2)</f>
        <v>13.11</v>
      </c>
    </row>
    <row r="15" spans="1:10" x14ac:dyDescent="0.25">
      <c r="A15" s="1" t="s">
        <v>16</v>
      </c>
      <c r="B15" s="1" t="s">
        <v>24</v>
      </c>
      <c r="C15" s="11">
        <v>7600</v>
      </c>
      <c r="D15" s="11"/>
      <c r="E15" s="11">
        <v>2338</v>
      </c>
      <c r="F15" s="11"/>
      <c r="G15" s="11">
        <f t="shared" si="0"/>
        <v>9938</v>
      </c>
      <c r="H15" s="17">
        <f t="shared" si="1"/>
        <v>19.84</v>
      </c>
      <c r="I15" s="16">
        <f t="shared" si="2"/>
        <v>0.122</v>
      </c>
      <c r="J15" s="16">
        <f>ROUND(G15/9847.88-1,2)</f>
        <v>0.01</v>
      </c>
    </row>
    <row r="16" spans="1:10" x14ac:dyDescent="0.25">
      <c r="A16" s="1" t="s">
        <v>16</v>
      </c>
      <c r="B16" s="1" t="s">
        <v>25</v>
      </c>
      <c r="C16" s="11"/>
      <c r="D16" s="11"/>
      <c r="E16" s="11">
        <v>302</v>
      </c>
      <c r="F16" s="11"/>
      <c r="G16" s="11">
        <f t="shared" si="0"/>
        <v>302</v>
      </c>
      <c r="H16" s="17">
        <f t="shared" si="1"/>
        <v>0.6</v>
      </c>
      <c r="I16" s="16">
        <f t="shared" si="2"/>
        <v>4.0000000000000001E-3</v>
      </c>
      <c r="J16" s="16"/>
    </row>
    <row r="17" spans="1:10" x14ac:dyDescent="0.25">
      <c r="A17" s="1" t="s">
        <v>16</v>
      </c>
      <c r="B17" s="1" t="s">
        <v>26</v>
      </c>
      <c r="C17" s="11">
        <v>10880</v>
      </c>
      <c r="D17" s="11"/>
      <c r="E17" s="11"/>
      <c r="F17" s="11"/>
      <c r="G17" s="11">
        <f t="shared" si="0"/>
        <v>10880</v>
      </c>
      <c r="H17" s="17">
        <f t="shared" si="1"/>
        <v>21.72</v>
      </c>
      <c r="I17" s="16">
        <f t="shared" si="2"/>
        <v>0.13400000000000001</v>
      </c>
      <c r="J17" s="16">
        <f>ROUND(G17/7610-1,2)</f>
        <v>0.43</v>
      </c>
    </row>
    <row r="18" spans="1:10" x14ac:dyDescent="0.25">
      <c r="A18" s="1" t="s">
        <v>16</v>
      </c>
      <c r="B18" s="1" t="s">
        <v>27</v>
      </c>
      <c r="C18" s="11"/>
      <c r="D18" s="11"/>
      <c r="E18" s="11">
        <v>118</v>
      </c>
      <c r="F18" s="11"/>
      <c r="G18" s="11">
        <f t="shared" si="0"/>
        <v>118</v>
      </c>
      <c r="H18" s="17">
        <f t="shared" si="1"/>
        <v>0.24</v>
      </c>
      <c r="I18" s="16">
        <f t="shared" si="2"/>
        <v>1E-3</v>
      </c>
      <c r="J18" s="16"/>
    </row>
    <row r="19" spans="1:10" x14ac:dyDescent="0.25">
      <c r="A19" s="1" t="s">
        <v>16</v>
      </c>
      <c r="B19" s="1" t="s">
        <v>28</v>
      </c>
      <c r="C19" s="11"/>
      <c r="D19" s="11"/>
      <c r="E19" s="11">
        <v>71</v>
      </c>
      <c r="F19" s="11"/>
      <c r="G19" s="11">
        <f t="shared" si="0"/>
        <v>71</v>
      </c>
      <c r="H19" s="17">
        <f t="shared" si="1"/>
        <v>0.14000000000000001</v>
      </c>
      <c r="I19" s="16">
        <f t="shared" si="2"/>
        <v>1E-3</v>
      </c>
      <c r="J19" s="16"/>
    </row>
    <row r="20" spans="1:10" x14ac:dyDescent="0.25">
      <c r="A20" s="1" t="s">
        <v>16</v>
      </c>
      <c r="B20" s="1" t="s">
        <v>29</v>
      </c>
      <c r="C20" s="11"/>
      <c r="D20" s="11"/>
      <c r="E20" s="11">
        <v>40</v>
      </c>
      <c r="F20" s="11"/>
      <c r="G20" s="11">
        <f t="shared" si="0"/>
        <v>40</v>
      </c>
      <c r="H20" s="17">
        <f t="shared" si="1"/>
        <v>0.08</v>
      </c>
      <c r="I20" s="16">
        <f t="shared" si="2"/>
        <v>0</v>
      </c>
      <c r="J20" s="16">
        <f>ROUND(G20/156.01-1,2)</f>
        <v>-0.74</v>
      </c>
    </row>
    <row r="21" spans="1:10" x14ac:dyDescent="0.25">
      <c r="A21" s="1" t="s">
        <v>16</v>
      </c>
      <c r="B21" s="1" t="s">
        <v>31</v>
      </c>
      <c r="C21" s="11"/>
      <c r="D21" s="11"/>
      <c r="E21" s="11">
        <v>144</v>
      </c>
      <c r="F21" s="11"/>
      <c r="G21" s="11">
        <f t="shared" si="0"/>
        <v>144</v>
      </c>
      <c r="H21" s="17">
        <f t="shared" si="1"/>
        <v>0.28999999999999998</v>
      </c>
      <c r="I21" s="16">
        <f t="shared" si="2"/>
        <v>2E-3</v>
      </c>
      <c r="J21" s="16"/>
    </row>
    <row r="22" spans="1:10" x14ac:dyDescent="0.25">
      <c r="A22" s="1" t="s">
        <v>16</v>
      </c>
      <c r="B22" s="1" t="s">
        <v>32</v>
      </c>
      <c r="C22" s="11"/>
      <c r="D22" s="11"/>
      <c r="E22" s="11">
        <v>37</v>
      </c>
      <c r="F22" s="11"/>
      <c r="G22" s="11">
        <f t="shared" si="0"/>
        <v>37</v>
      </c>
      <c r="H22" s="17">
        <f t="shared" si="1"/>
        <v>7.0000000000000007E-2</v>
      </c>
      <c r="I22" s="16">
        <f t="shared" si="2"/>
        <v>0</v>
      </c>
      <c r="J22" s="16"/>
    </row>
    <row r="23" spans="1:10" x14ac:dyDescent="0.25">
      <c r="A23" s="1" t="s">
        <v>16</v>
      </c>
      <c r="B23" s="1" t="s">
        <v>35</v>
      </c>
      <c r="C23" s="11"/>
      <c r="D23" s="11"/>
      <c r="E23" s="11">
        <v>6418</v>
      </c>
      <c r="F23" s="11"/>
      <c r="G23" s="11">
        <f t="shared" si="0"/>
        <v>6418</v>
      </c>
      <c r="H23" s="17">
        <f t="shared" si="1"/>
        <v>12.81</v>
      </c>
      <c r="I23" s="16">
        <f t="shared" si="2"/>
        <v>7.9000000000000001E-2</v>
      </c>
      <c r="J23" s="16">
        <f>ROUND(G23/1581.2-1,2)</f>
        <v>3.06</v>
      </c>
    </row>
    <row r="24" spans="1:10" x14ac:dyDescent="0.25">
      <c r="A24" s="1" t="s">
        <v>16</v>
      </c>
      <c r="B24" s="1" t="s">
        <v>37</v>
      </c>
      <c r="C24" s="11"/>
      <c r="D24" s="11"/>
      <c r="E24" s="11">
        <v>2547</v>
      </c>
      <c r="F24" s="11"/>
      <c r="G24" s="11">
        <f t="shared" si="0"/>
        <v>2547</v>
      </c>
      <c r="H24" s="17">
        <f t="shared" si="1"/>
        <v>5.08</v>
      </c>
      <c r="I24" s="16">
        <f t="shared" si="2"/>
        <v>3.1E-2</v>
      </c>
      <c r="J24" s="16">
        <f>ROUND(G24/501.5-1,2)</f>
        <v>4.08</v>
      </c>
    </row>
    <row r="25" spans="1:10" x14ac:dyDescent="0.25">
      <c r="A25" s="1" t="s">
        <v>16</v>
      </c>
      <c r="B25" s="1" t="s">
        <v>38</v>
      </c>
      <c r="C25" s="11"/>
      <c r="D25" s="11"/>
      <c r="E25" s="11">
        <v>827</v>
      </c>
      <c r="F25" s="11"/>
      <c r="G25" s="11">
        <f t="shared" si="0"/>
        <v>827</v>
      </c>
      <c r="H25" s="17">
        <f t="shared" si="1"/>
        <v>1.65</v>
      </c>
      <c r="I25" s="16">
        <f t="shared" si="2"/>
        <v>0.01</v>
      </c>
      <c r="J25" s="16">
        <f>ROUND(G25/95.73-1,2)</f>
        <v>7.64</v>
      </c>
    </row>
    <row r="26" spans="1:10" x14ac:dyDescent="0.25">
      <c r="A26" s="1" t="s">
        <v>16</v>
      </c>
      <c r="B26" s="1" t="s">
        <v>40</v>
      </c>
      <c r="C26" s="11"/>
      <c r="D26" s="11"/>
      <c r="E26" s="11"/>
      <c r="F26" s="11"/>
      <c r="G26" s="11">
        <f t="shared" si="0"/>
        <v>0</v>
      </c>
      <c r="H26" s="17">
        <f t="shared" si="1"/>
        <v>0</v>
      </c>
      <c r="I26" s="16">
        <f t="shared" si="2"/>
        <v>0</v>
      </c>
      <c r="J26" s="16">
        <f>ROUND(G26/354.44-1,2)</f>
        <v>-1</v>
      </c>
    </row>
    <row r="27" spans="1:10" x14ac:dyDescent="0.25">
      <c r="A27" s="1" t="s">
        <v>16</v>
      </c>
      <c r="B27" s="1" t="s">
        <v>42</v>
      </c>
      <c r="C27" s="11"/>
      <c r="D27" s="11"/>
      <c r="E27" s="11"/>
      <c r="F27" s="11"/>
      <c r="G27" s="11">
        <f t="shared" si="0"/>
        <v>0</v>
      </c>
      <c r="H27" s="17">
        <f t="shared" si="1"/>
        <v>0</v>
      </c>
      <c r="I27" s="16">
        <f t="shared" si="2"/>
        <v>0</v>
      </c>
      <c r="J27" s="16">
        <f>ROUND(G27/233.19-1,2)</f>
        <v>-1</v>
      </c>
    </row>
    <row r="28" spans="1:10" x14ac:dyDescent="0.25">
      <c r="A28" s="1" t="s">
        <v>16</v>
      </c>
      <c r="B28" s="1" t="s">
        <v>41</v>
      </c>
      <c r="C28" s="11"/>
      <c r="D28" s="11"/>
      <c r="E28" s="11"/>
      <c r="F28" s="11"/>
      <c r="G28" s="11">
        <f t="shared" si="0"/>
        <v>0</v>
      </c>
      <c r="H28" s="17">
        <f t="shared" si="1"/>
        <v>0</v>
      </c>
      <c r="I28" s="16">
        <f t="shared" si="2"/>
        <v>0</v>
      </c>
      <c r="J28" s="16">
        <f>ROUND(G28/233.54-1,2)</f>
        <v>-1</v>
      </c>
    </row>
    <row r="29" spans="1:10" x14ac:dyDescent="0.25">
      <c r="A29" s="1" t="s">
        <v>16</v>
      </c>
      <c r="B29" s="1" t="s">
        <v>170</v>
      </c>
      <c r="C29" s="11"/>
      <c r="D29" s="11"/>
      <c r="E29" s="11"/>
      <c r="F29" s="11"/>
      <c r="G29" s="11">
        <f t="shared" si="0"/>
        <v>0</v>
      </c>
      <c r="H29" s="17">
        <f t="shared" si="1"/>
        <v>0</v>
      </c>
      <c r="I29" s="16">
        <f t="shared" si="2"/>
        <v>0</v>
      </c>
      <c r="J29" s="16"/>
    </row>
    <row r="30" spans="1:10" x14ac:dyDescent="0.25">
      <c r="A30" s="1" t="s">
        <v>16</v>
      </c>
      <c r="B30" s="1" t="s">
        <v>171</v>
      </c>
      <c r="C30" s="11"/>
      <c r="D30" s="11"/>
      <c r="E30" s="11"/>
      <c r="F30" s="11"/>
      <c r="G30" s="11">
        <f t="shared" si="0"/>
        <v>0</v>
      </c>
      <c r="H30" s="17">
        <f t="shared" si="1"/>
        <v>0</v>
      </c>
      <c r="I30" s="16">
        <f t="shared" si="2"/>
        <v>0</v>
      </c>
      <c r="J30" s="16"/>
    </row>
    <row r="31" spans="1:10" x14ac:dyDescent="0.25">
      <c r="A31" s="1" t="s">
        <v>16</v>
      </c>
      <c r="B31" s="1" t="s">
        <v>34</v>
      </c>
      <c r="C31" s="11"/>
      <c r="D31" s="11"/>
      <c r="E31" s="11"/>
      <c r="F31" s="11"/>
      <c r="G31" s="11">
        <f t="shared" si="0"/>
        <v>0</v>
      </c>
      <c r="H31" s="17">
        <f t="shared" si="1"/>
        <v>0</v>
      </c>
      <c r="I31" s="16">
        <f t="shared" si="2"/>
        <v>0</v>
      </c>
      <c r="J31" s="16"/>
    </row>
    <row r="32" spans="1:10" x14ac:dyDescent="0.25">
      <c r="A32" s="1" t="s">
        <v>16</v>
      </c>
      <c r="B32" s="1" t="s">
        <v>39</v>
      </c>
      <c r="C32" s="11"/>
      <c r="D32" s="11"/>
      <c r="E32" s="11"/>
      <c r="F32" s="11"/>
      <c r="G32" s="11">
        <f t="shared" si="0"/>
        <v>0</v>
      </c>
      <c r="H32" s="17">
        <f t="shared" si="1"/>
        <v>0</v>
      </c>
      <c r="I32" s="16">
        <f t="shared" si="2"/>
        <v>0</v>
      </c>
      <c r="J32" s="16"/>
    </row>
    <row r="33" spans="1:10" x14ac:dyDescent="0.25">
      <c r="A33" s="1" t="s">
        <v>16</v>
      </c>
      <c r="B33" s="1" t="s">
        <v>118</v>
      </c>
      <c r="C33" s="11"/>
      <c r="D33" s="11"/>
      <c r="E33" s="11"/>
      <c r="F33" s="11"/>
      <c r="G33" s="11">
        <f t="shared" si="0"/>
        <v>0</v>
      </c>
      <c r="H33" s="17">
        <f t="shared" si="1"/>
        <v>0</v>
      </c>
      <c r="I33" s="16">
        <f t="shared" si="2"/>
        <v>0</v>
      </c>
      <c r="J33" s="16"/>
    </row>
    <row r="34" spans="1:10" x14ac:dyDescent="0.25">
      <c r="A34" s="1" t="s">
        <v>16</v>
      </c>
      <c r="B34" s="1" t="s">
        <v>172</v>
      </c>
      <c r="C34" s="11"/>
      <c r="D34" s="11"/>
      <c r="E34" s="11"/>
      <c r="F34" s="11"/>
      <c r="G34" s="11">
        <f t="shared" si="0"/>
        <v>0</v>
      </c>
      <c r="H34" s="17">
        <f t="shared" si="1"/>
        <v>0</v>
      </c>
      <c r="I34" s="16">
        <f t="shared" si="2"/>
        <v>0</v>
      </c>
      <c r="J34" s="16"/>
    </row>
    <row r="35" spans="1:10" x14ac:dyDescent="0.25">
      <c r="A35" s="1" t="s">
        <v>16</v>
      </c>
      <c r="B35" s="1" t="s">
        <v>30</v>
      </c>
      <c r="C35" s="11"/>
      <c r="D35" s="11"/>
      <c r="E35" s="11"/>
      <c r="F35" s="11"/>
      <c r="G35" s="11">
        <f t="shared" si="0"/>
        <v>0</v>
      </c>
      <c r="H35" s="17">
        <f t="shared" si="1"/>
        <v>0</v>
      </c>
      <c r="I35" s="16">
        <f t="shared" si="2"/>
        <v>0</v>
      </c>
      <c r="J35" s="16"/>
    </row>
    <row r="36" spans="1:10" x14ac:dyDescent="0.25">
      <c r="A36" s="1" t="s">
        <v>16</v>
      </c>
      <c r="B36" s="1" t="s">
        <v>36</v>
      </c>
      <c r="C36" s="11"/>
      <c r="D36" s="11"/>
      <c r="E36" s="11"/>
      <c r="F36" s="11"/>
      <c r="G36" s="11">
        <f t="shared" si="0"/>
        <v>0</v>
      </c>
      <c r="H36" s="17">
        <f t="shared" si="1"/>
        <v>0</v>
      </c>
      <c r="I36" s="16">
        <f t="shared" si="2"/>
        <v>0</v>
      </c>
      <c r="J36" s="16"/>
    </row>
    <row r="37" spans="1:10" x14ac:dyDescent="0.25">
      <c r="A37" s="1" t="s">
        <v>44</v>
      </c>
      <c r="B37" s="1" t="s">
        <v>45</v>
      </c>
      <c r="C37" s="11">
        <v>18240</v>
      </c>
      <c r="D37" s="11"/>
      <c r="E37" s="11"/>
      <c r="F37" s="11"/>
      <c r="G37" s="11">
        <f t="shared" si="0"/>
        <v>18240</v>
      </c>
      <c r="H37" s="17">
        <f t="shared" si="1"/>
        <v>36.409999999999997</v>
      </c>
      <c r="I37" s="16">
        <f t="shared" si="2"/>
        <v>0.22500000000000001</v>
      </c>
      <c r="J37" s="16">
        <f>ROUND(G37/24080-1,2)</f>
        <v>-0.24</v>
      </c>
    </row>
    <row r="38" spans="1:10" x14ac:dyDescent="0.25">
      <c r="A38" s="1" t="s">
        <v>44</v>
      </c>
      <c r="B38" s="1" t="s">
        <v>46</v>
      </c>
      <c r="C38" s="11"/>
      <c r="D38" s="11"/>
      <c r="E38" s="11">
        <v>3828</v>
      </c>
      <c r="F38" s="11"/>
      <c r="G38" s="11">
        <f t="shared" si="0"/>
        <v>3828</v>
      </c>
      <c r="H38" s="17">
        <f t="shared" si="1"/>
        <v>7.64</v>
      </c>
      <c r="I38" s="16">
        <f t="shared" si="2"/>
        <v>4.7E-2</v>
      </c>
      <c r="J38" s="16">
        <f>ROUND(G38/962.46-1,2)</f>
        <v>2.98</v>
      </c>
    </row>
    <row r="39" spans="1:10" x14ac:dyDescent="0.25">
      <c r="A39" s="1" t="s">
        <v>44</v>
      </c>
      <c r="B39" s="1" t="s">
        <v>47</v>
      </c>
      <c r="C39" s="11"/>
      <c r="D39" s="11"/>
      <c r="E39" s="11"/>
      <c r="F39" s="11"/>
      <c r="G39" s="11">
        <f t="shared" si="0"/>
        <v>0</v>
      </c>
      <c r="H39" s="17">
        <f t="shared" si="1"/>
        <v>0</v>
      </c>
      <c r="I39" s="16">
        <f t="shared" si="2"/>
        <v>0</v>
      </c>
      <c r="J39" s="16"/>
    </row>
    <row r="40" spans="1:10" x14ac:dyDescent="0.25">
      <c r="A40" s="1" t="s">
        <v>48</v>
      </c>
      <c r="B40" s="1" t="s">
        <v>51</v>
      </c>
      <c r="C40" s="11"/>
      <c r="D40" s="11"/>
      <c r="E40" s="11"/>
      <c r="F40" s="11"/>
      <c r="G40" s="11">
        <f t="shared" si="0"/>
        <v>0</v>
      </c>
      <c r="H40" s="17">
        <f t="shared" si="1"/>
        <v>0</v>
      </c>
      <c r="I40" s="16">
        <f t="shared" si="2"/>
        <v>0</v>
      </c>
      <c r="J40" s="16"/>
    </row>
    <row r="41" spans="1:10" x14ac:dyDescent="0.25">
      <c r="A41" s="21" t="s">
        <v>12</v>
      </c>
      <c r="B41" s="21"/>
      <c r="C41" s="12">
        <f t="shared" ref="C41:H41" si="3">SUM(C8:C40)</f>
        <v>53450</v>
      </c>
      <c r="D41" s="12">
        <f t="shared" si="3"/>
        <v>0</v>
      </c>
      <c r="E41" s="12">
        <f t="shared" si="3"/>
        <v>26318</v>
      </c>
      <c r="F41" s="12">
        <f t="shared" si="3"/>
        <v>1400</v>
      </c>
      <c r="G41" s="12">
        <f t="shared" si="3"/>
        <v>81168</v>
      </c>
      <c r="H41" s="15">
        <f t="shared" si="3"/>
        <v>162.01999999999998</v>
      </c>
      <c r="I41" s="18"/>
      <c r="J41" s="18"/>
    </row>
    <row r="42" spans="1:10" x14ac:dyDescent="0.25">
      <c r="A42" s="21" t="s">
        <v>14</v>
      </c>
      <c r="B42" s="21"/>
      <c r="C42" s="13">
        <f>ROUND(C41/G41,2)</f>
        <v>0.66</v>
      </c>
      <c r="D42" s="13">
        <f>ROUND(D41/G41,2)</f>
        <v>0</v>
      </c>
      <c r="E42" s="13">
        <f>ROUND(E41/G41,2)</f>
        <v>0.32</v>
      </c>
      <c r="F42" s="13">
        <f>ROUND(F41/G41,2)</f>
        <v>0.02</v>
      </c>
      <c r="G42" s="14"/>
      <c r="H42" s="14"/>
      <c r="I42" s="18"/>
      <c r="J42" s="18"/>
    </row>
    <row r="43" spans="1:10" x14ac:dyDescent="0.25">
      <c r="A43" s="2" t="s">
        <v>52</v>
      </c>
      <c r="B43" s="2"/>
      <c r="C43" s="14"/>
      <c r="D43" s="14"/>
      <c r="E43" s="14"/>
      <c r="F43" s="14"/>
      <c r="G43" s="14"/>
      <c r="H43" s="14"/>
      <c r="I43" s="18"/>
      <c r="J43" s="18"/>
    </row>
    <row r="44" spans="1:10" x14ac:dyDescent="0.25">
      <c r="C44" s="9"/>
      <c r="D44" s="9"/>
      <c r="E44" s="9"/>
      <c r="F44" s="9"/>
      <c r="G44" s="9"/>
      <c r="H44" s="9"/>
      <c r="I44" s="10"/>
      <c r="J44" s="10"/>
    </row>
    <row r="45" spans="1:10" x14ac:dyDescent="0.25">
      <c r="C45" s="9"/>
      <c r="D45" s="9"/>
      <c r="E45" s="9"/>
      <c r="F45" s="9"/>
      <c r="G45" s="9"/>
      <c r="H45" s="9"/>
      <c r="I45" s="10"/>
      <c r="J45" s="10"/>
    </row>
    <row r="46" spans="1:10" x14ac:dyDescent="0.25">
      <c r="C46" s="9"/>
      <c r="D46" s="9"/>
      <c r="E46" s="9"/>
      <c r="F46" s="9"/>
      <c r="G46" s="9"/>
      <c r="H46" s="9"/>
      <c r="I46" s="10"/>
      <c r="J46" s="10"/>
    </row>
    <row r="47" spans="1:10" x14ac:dyDescent="0.25">
      <c r="A47" s="21" t="s">
        <v>53</v>
      </c>
      <c r="B47" s="21"/>
      <c r="C47" s="12" t="s">
        <v>8</v>
      </c>
      <c r="D47" s="12" t="s">
        <v>9</v>
      </c>
      <c r="E47" s="12" t="s">
        <v>10</v>
      </c>
      <c r="F47" s="12" t="s">
        <v>11</v>
      </c>
      <c r="G47" s="12" t="s">
        <v>12</v>
      </c>
      <c r="H47" s="15" t="s">
        <v>13</v>
      </c>
      <c r="I47" s="18"/>
      <c r="J47" s="18"/>
    </row>
    <row r="48" spans="1:10" x14ac:dyDescent="0.25">
      <c r="A48" s="20" t="s">
        <v>54</v>
      </c>
      <c r="B48" s="20"/>
      <c r="C48" s="11">
        <v>35210</v>
      </c>
      <c r="D48" s="11">
        <v>0</v>
      </c>
      <c r="E48" s="11">
        <v>22490</v>
      </c>
      <c r="F48" s="11">
        <v>1400</v>
      </c>
      <c r="G48" s="11">
        <f>SUM(C48:F48)</f>
        <v>59100</v>
      </c>
      <c r="H48" s="17">
        <f>ROUND(G48/501,2)</f>
        <v>117.96</v>
      </c>
      <c r="I48" s="10"/>
      <c r="J48" s="10"/>
    </row>
    <row r="49" spans="1:10" x14ac:dyDescent="0.25">
      <c r="A49" s="20" t="s">
        <v>55</v>
      </c>
      <c r="B49" s="20"/>
      <c r="C49" s="11">
        <v>18240</v>
      </c>
      <c r="D49" s="11">
        <v>0</v>
      </c>
      <c r="E49" s="11">
        <v>3828</v>
      </c>
      <c r="F49" s="11">
        <v>0</v>
      </c>
      <c r="G49" s="11">
        <f>SUM(C49:F49)</f>
        <v>22068</v>
      </c>
      <c r="H49" s="17">
        <f>ROUND(G49/501,2)</f>
        <v>44.05</v>
      </c>
      <c r="I49" s="10"/>
      <c r="J49" s="10"/>
    </row>
    <row r="50" spans="1:10" x14ac:dyDescent="0.25">
      <c r="A50" s="20" t="s">
        <v>56</v>
      </c>
      <c r="B50" s="20"/>
      <c r="C50" s="11">
        <v>0</v>
      </c>
      <c r="D50" s="11">
        <v>0</v>
      </c>
      <c r="E50" s="11">
        <v>0</v>
      </c>
      <c r="F50" s="11">
        <v>0</v>
      </c>
      <c r="G50" s="11">
        <f>SUM(C50:F50)</f>
        <v>0</v>
      </c>
      <c r="H50" s="17">
        <f>ROUND(G50/501,2)</f>
        <v>0</v>
      </c>
      <c r="I50" s="10"/>
      <c r="J50" s="10"/>
    </row>
    <row r="51" spans="1:10" x14ac:dyDescent="0.25">
      <c r="C51" s="9"/>
      <c r="D51" s="9"/>
      <c r="E51" s="9"/>
      <c r="F51" s="9"/>
      <c r="G51" s="9"/>
      <c r="H51" s="9"/>
      <c r="I51" s="10"/>
      <c r="J51" s="10"/>
    </row>
    <row r="52" spans="1:10" x14ac:dyDescent="0.25">
      <c r="C52" s="9"/>
      <c r="D52" s="9"/>
      <c r="E52" s="9"/>
      <c r="F52" s="9"/>
      <c r="G52" s="9"/>
      <c r="H52" s="9"/>
      <c r="I52" s="10"/>
      <c r="J52" s="10"/>
    </row>
    <row r="53" spans="1:10" x14ac:dyDescent="0.25">
      <c r="C53" s="9"/>
      <c r="D53" s="9"/>
      <c r="E53" s="9"/>
      <c r="F53" s="9"/>
      <c r="G53" s="9"/>
      <c r="H53" s="9"/>
      <c r="I53" s="10"/>
      <c r="J53" s="10"/>
    </row>
    <row r="54" spans="1:10" x14ac:dyDescent="0.25">
      <c r="C54" s="9"/>
      <c r="D54" s="9"/>
      <c r="E54" s="9"/>
      <c r="F54" s="9"/>
      <c r="G54" s="9"/>
      <c r="H54" s="9"/>
      <c r="I54" s="10"/>
      <c r="J54" s="10"/>
    </row>
    <row r="55" spans="1:10" x14ac:dyDescent="0.25">
      <c r="A55" s="21" t="s">
        <v>57</v>
      </c>
      <c r="B55" s="21"/>
      <c r="C55" s="15" t="s">
        <v>2</v>
      </c>
      <c r="D55" s="15">
        <v>2023</v>
      </c>
      <c r="E55" s="15" t="s">
        <v>59</v>
      </c>
      <c r="F55" s="14"/>
      <c r="G55" s="15" t="s">
        <v>60</v>
      </c>
      <c r="H55" s="15" t="s">
        <v>2</v>
      </c>
      <c r="I55" s="13" t="s">
        <v>61</v>
      </c>
      <c r="J55" s="13" t="s">
        <v>59</v>
      </c>
    </row>
    <row r="56" spans="1:10" x14ac:dyDescent="0.25">
      <c r="A56" s="20" t="s">
        <v>58</v>
      </c>
      <c r="B56" s="20"/>
      <c r="C56" s="16">
        <f>ROUND(0.7424, 4)</f>
        <v>0.74239999999999995</v>
      </c>
      <c r="D56" s="16">
        <f>ROUND(0.6214, 4)</f>
        <v>0.62139999999999995</v>
      </c>
      <c r="E56" s="16">
        <f>ROUND(0.777, 4)</f>
        <v>0.77700000000000002</v>
      </c>
      <c r="F56" s="9"/>
      <c r="G56" s="15" t="s">
        <v>62</v>
      </c>
      <c r="H56" s="22" t="s">
        <v>63</v>
      </c>
      <c r="I56" s="24" t="s">
        <v>64</v>
      </c>
      <c r="J56" s="24" t="s">
        <v>65</v>
      </c>
    </row>
    <row r="57" spans="1:10" x14ac:dyDescent="0.25">
      <c r="A57" s="20" t="s">
        <v>66</v>
      </c>
      <c r="B57" s="20"/>
      <c r="C57" s="16">
        <f>ROUND(0.7008, 4)</f>
        <v>0.70079999999999998</v>
      </c>
      <c r="D57" s="16">
        <f>ROUND(0.5774, 4)</f>
        <v>0.57740000000000002</v>
      </c>
      <c r="E57" s="16">
        <f>ROUND(0.7608, 4)</f>
        <v>0.76080000000000003</v>
      </c>
      <c r="F57" s="9"/>
      <c r="G57" s="15" t="s">
        <v>67</v>
      </c>
      <c r="H57" s="23"/>
      <c r="I57" s="25"/>
      <c r="J57" s="25"/>
    </row>
    <row r="58" spans="1:10" x14ac:dyDescent="0.25">
      <c r="C58" s="9"/>
      <c r="D58" s="9"/>
      <c r="E58" s="9"/>
      <c r="F58" s="9"/>
      <c r="G58" s="9"/>
      <c r="H58" s="9"/>
      <c r="I58" s="10"/>
      <c r="J58" s="10"/>
    </row>
    <row r="59" spans="1:10" x14ac:dyDescent="0.25">
      <c r="C59" s="9"/>
      <c r="D59" s="9"/>
      <c r="E59" s="9"/>
      <c r="F59" s="9"/>
      <c r="G59" s="9"/>
      <c r="H59" s="9"/>
      <c r="I59" s="10"/>
      <c r="J59" s="10"/>
    </row>
    <row r="60" spans="1:10" x14ac:dyDescent="0.25">
      <c r="C60" s="9"/>
      <c r="D60" s="9"/>
      <c r="E60" s="9"/>
      <c r="F60" s="9"/>
      <c r="G60" s="9"/>
      <c r="H60" s="9"/>
      <c r="I60" s="10"/>
      <c r="J60" s="10"/>
    </row>
    <row r="61" spans="1:10" x14ac:dyDescent="0.25">
      <c r="A61" s="21" t="s">
        <v>68</v>
      </c>
      <c r="B61" s="21"/>
      <c r="C61" s="15" t="s">
        <v>2</v>
      </c>
      <c r="D61" s="15" t="s">
        <v>173</v>
      </c>
      <c r="E61" s="15" t="s">
        <v>70</v>
      </c>
      <c r="F61" s="15" t="s">
        <v>71</v>
      </c>
      <c r="G61" s="15" t="s">
        <v>72</v>
      </c>
      <c r="H61" s="14"/>
      <c r="I61" s="18"/>
      <c r="J61" s="18"/>
    </row>
    <row r="62" spans="1:10" x14ac:dyDescent="0.25">
      <c r="A62" s="20" t="s">
        <v>73</v>
      </c>
      <c r="B62" s="20"/>
      <c r="C62" s="17">
        <v>36.409999999999997</v>
      </c>
      <c r="D62" s="17">
        <v>119.3</v>
      </c>
      <c r="E62" s="17">
        <v>81.84</v>
      </c>
      <c r="F62" s="17">
        <v>48</v>
      </c>
      <c r="G62" s="17">
        <f>12/4*C62</f>
        <v>109.22999999999999</v>
      </c>
      <c r="H62" s="9"/>
      <c r="I62" s="10"/>
      <c r="J62" s="10"/>
    </row>
    <row r="63" spans="1:10" x14ac:dyDescent="0.25">
      <c r="A63" s="20" t="s">
        <v>74</v>
      </c>
      <c r="B63" s="20"/>
      <c r="C63" s="17">
        <v>21.72</v>
      </c>
      <c r="D63" s="17">
        <v>60.23</v>
      </c>
      <c r="E63" s="17">
        <v>55.63</v>
      </c>
      <c r="F63" s="17">
        <v>55.33</v>
      </c>
      <c r="G63" s="17">
        <f>12/4*C63</f>
        <v>65.16</v>
      </c>
      <c r="H63" s="9"/>
      <c r="I63" s="10"/>
      <c r="J63" s="10"/>
    </row>
    <row r="64" spans="1:10" x14ac:dyDescent="0.25">
      <c r="A64" s="20" t="s">
        <v>75</v>
      </c>
      <c r="B64" s="20"/>
      <c r="C64" s="17">
        <v>117.96</v>
      </c>
      <c r="D64" s="17">
        <v>243.73</v>
      </c>
      <c r="E64" s="17">
        <v>257.88</v>
      </c>
      <c r="F64" s="17">
        <v>242.78</v>
      </c>
      <c r="G64" s="17">
        <f>12/4*C64</f>
        <v>353.88</v>
      </c>
      <c r="H64" s="9"/>
      <c r="I64" s="10"/>
      <c r="J64" s="10"/>
    </row>
    <row r="65" spans="1:10" x14ac:dyDescent="0.25">
      <c r="A65" s="20" t="s">
        <v>76</v>
      </c>
      <c r="B65" s="20"/>
      <c r="C65" s="17">
        <v>44.05</v>
      </c>
      <c r="D65" s="17">
        <v>124.64</v>
      </c>
      <c r="E65" s="17">
        <v>103.14</v>
      </c>
      <c r="F65" s="17">
        <v>68.31</v>
      </c>
      <c r="G65" s="17">
        <f>12/4*C65</f>
        <v>132.14999999999998</v>
      </c>
      <c r="H65" s="9"/>
      <c r="I65" s="10"/>
      <c r="J65" s="10"/>
    </row>
    <row r="66" spans="1:10" x14ac:dyDescent="0.25">
      <c r="C66" s="9"/>
      <c r="D66" s="9"/>
      <c r="E66" s="9"/>
      <c r="F66" s="9"/>
      <c r="G66" s="9"/>
      <c r="H66" s="9"/>
      <c r="I66" s="10"/>
      <c r="J66" s="10"/>
    </row>
    <row r="67" spans="1:10" x14ac:dyDescent="0.25">
      <c r="C67" s="9"/>
      <c r="D67" s="9"/>
      <c r="E67" s="9"/>
      <c r="F67" s="9"/>
      <c r="G67" s="9"/>
      <c r="H67" s="9"/>
      <c r="I67" s="10"/>
      <c r="J67" s="10"/>
    </row>
    <row r="68" spans="1:10" x14ac:dyDescent="0.25">
      <c r="A68" s="19" t="s">
        <v>60</v>
      </c>
      <c r="B68" s="26"/>
      <c r="C68" s="9"/>
      <c r="D68" s="9"/>
      <c r="E68" s="9"/>
      <c r="F68" s="9"/>
      <c r="G68" s="9"/>
      <c r="H68" s="9"/>
      <c r="I68" s="10"/>
      <c r="J68" s="10"/>
    </row>
    <row r="69" spans="1:10" x14ac:dyDescent="0.25">
      <c r="A69" s="3" t="s">
        <v>77</v>
      </c>
      <c r="B69" s="1" t="s">
        <v>174</v>
      </c>
      <c r="C69" s="9"/>
      <c r="D69" s="9"/>
      <c r="E69" s="9"/>
      <c r="F69" s="9"/>
      <c r="G69" s="9"/>
      <c r="H69" s="9"/>
      <c r="I69" s="10"/>
      <c r="J69" s="10"/>
    </row>
    <row r="70" spans="1:10" x14ac:dyDescent="0.25">
      <c r="A70" s="3" t="s">
        <v>70</v>
      </c>
      <c r="B70" s="1" t="s">
        <v>79</v>
      </c>
      <c r="C70" s="9"/>
      <c r="D70" s="9"/>
      <c r="E70" s="9"/>
      <c r="F70" s="9"/>
      <c r="G70" s="9"/>
      <c r="H70" s="9"/>
      <c r="I70" s="10"/>
      <c r="J70" s="10"/>
    </row>
    <row r="71" spans="1:10" x14ac:dyDescent="0.25">
      <c r="A71" s="3" t="s">
        <v>71</v>
      </c>
      <c r="B71" s="1" t="s">
        <v>80</v>
      </c>
    </row>
    <row r="72" spans="1:10" x14ac:dyDescent="0.25">
      <c r="A72" s="3" t="s">
        <v>72</v>
      </c>
      <c r="B72" s="1" t="s">
        <v>81</v>
      </c>
    </row>
  </sheetData>
  <mergeCells count="19">
    <mergeCell ref="A63:B63"/>
    <mergeCell ref="A64:B64"/>
    <mergeCell ref="A65:B65"/>
    <mergeCell ref="A68:B68"/>
    <mergeCell ref="I56:I57"/>
    <mergeCell ref="J56:J57"/>
    <mergeCell ref="A57:B57"/>
    <mergeCell ref="A61:B61"/>
    <mergeCell ref="A62:B62"/>
    <mergeCell ref="A49:B49"/>
    <mergeCell ref="A50:B50"/>
    <mergeCell ref="A55:B55"/>
    <mergeCell ref="A56:B56"/>
    <mergeCell ref="H56:H57"/>
    <mergeCell ref="C7:G7"/>
    <mergeCell ref="A41:B41"/>
    <mergeCell ref="A42:B42"/>
    <mergeCell ref="A47:B47"/>
    <mergeCell ref="A48:B48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2:J70"/>
  <sheetViews>
    <sheetView workbookViewId="0">
      <selection activeCell="C9" sqref="C9:J67"/>
    </sheetView>
  </sheetViews>
  <sheetFormatPr defaultRowHeight="15" x14ac:dyDescent="0.25"/>
  <cols>
    <col min="1" max="1" width="38.85546875" bestFit="1" customWidth="1"/>
    <col min="2" max="2" width="79" bestFit="1" customWidth="1"/>
    <col min="3" max="3" width="14" bestFit="1" customWidth="1"/>
    <col min="4" max="4" width="31.7109375" bestFit="1" customWidth="1"/>
    <col min="5" max="5" width="16.42578125" bestFit="1" customWidth="1"/>
    <col min="6" max="6" width="10.5703125" bestFit="1" customWidth="1"/>
    <col min="7" max="7" width="68.28515625" bestFit="1" customWidth="1"/>
    <col min="8" max="9" width="20" bestFit="1" customWidth="1"/>
    <col min="10" max="10" width="30.5703125" bestFit="1" customWidth="1"/>
  </cols>
  <sheetData>
    <row r="2" spans="1:10" ht="18.75" x14ac:dyDescent="0.3">
      <c r="A2" s="3" t="s">
        <v>0</v>
      </c>
      <c r="B2" s="4" t="s">
        <v>175</v>
      </c>
    </row>
    <row r="3" spans="1:10" x14ac:dyDescent="0.25">
      <c r="A3" s="3" t="s">
        <v>2</v>
      </c>
      <c r="B3" s="1" t="s">
        <v>3</v>
      </c>
    </row>
    <row r="4" spans="1:10" x14ac:dyDescent="0.25">
      <c r="A4" s="3" t="s">
        <v>4</v>
      </c>
      <c r="B4" s="1">
        <v>914</v>
      </c>
    </row>
    <row r="7" spans="1:10" x14ac:dyDescent="0.25">
      <c r="C7" s="19" t="s">
        <v>5</v>
      </c>
      <c r="D7" s="20"/>
      <c r="E7" s="20"/>
      <c r="F7" s="20"/>
      <c r="G7" s="20"/>
    </row>
    <row r="8" spans="1:10" x14ac:dyDescent="0.25">
      <c r="A8" s="3" t="s">
        <v>6</v>
      </c>
      <c r="B8" s="3" t="s">
        <v>7</v>
      </c>
      <c r="C8" s="3" t="s">
        <v>8</v>
      </c>
      <c r="D8" s="3" t="s">
        <v>9</v>
      </c>
      <c r="E8" s="3" t="s">
        <v>10</v>
      </c>
      <c r="F8" s="3" t="s">
        <v>11</v>
      </c>
      <c r="G8" s="3" t="s">
        <v>12</v>
      </c>
      <c r="H8" s="3" t="s">
        <v>13</v>
      </c>
      <c r="I8" s="3" t="s">
        <v>14</v>
      </c>
      <c r="J8" s="3" t="s">
        <v>15</v>
      </c>
    </row>
    <row r="9" spans="1:10" x14ac:dyDescent="0.25">
      <c r="A9" s="1" t="s">
        <v>16</v>
      </c>
      <c r="B9" s="1" t="s">
        <v>19</v>
      </c>
      <c r="C9" s="11">
        <v>16480</v>
      </c>
      <c r="D9" s="11"/>
      <c r="E9" s="11">
        <v>566</v>
      </c>
      <c r="F9" s="11"/>
      <c r="G9" s="11">
        <f t="shared" ref="G9:G38" si="0">SUM(C9:F9)</f>
        <v>17046</v>
      </c>
      <c r="H9" s="17">
        <f t="shared" ref="H9:H38" si="1">ROUND(G9/914,2)</f>
        <v>18.649999999999999</v>
      </c>
      <c r="I9" s="16">
        <f t="shared" ref="I9:I38" si="2">ROUND(G9/$G$39,3)</f>
        <v>9.1999999999999998E-2</v>
      </c>
      <c r="J9" s="16">
        <f>ROUND(G9/17129.2-1,2)</f>
        <v>0</v>
      </c>
    </row>
    <row r="10" spans="1:10" x14ac:dyDescent="0.25">
      <c r="A10" s="1" t="s">
        <v>16</v>
      </c>
      <c r="B10" s="1" t="s">
        <v>20</v>
      </c>
      <c r="C10" s="11">
        <v>22790</v>
      </c>
      <c r="D10" s="11"/>
      <c r="E10" s="11"/>
      <c r="F10" s="11"/>
      <c r="G10" s="11">
        <f t="shared" si="0"/>
        <v>22790</v>
      </c>
      <c r="H10" s="17">
        <f t="shared" si="1"/>
        <v>24.93</v>
      </c>
      <c r="I10" s="16">
        <f t="shared" si="2"/>
        <v>0.124</v>
      </c>
      <c r="J10" s="16">
        <f>ROUND(G10/25416.32-1,2)</f>
        <v>-0.1</v>
      </c>
    </row>
    <row r="11" spans="1:10" x14ac:dyDescent="0.25">
      <c r="A11" s="1" t="s">
        <v>16</v>
      </c>
      <c r="B11" s="1" t="s">
        <v>23</v>
      </c>
      <c r="C11" s="11"/>
      <c r="D11" s="11"/>
      <c r="E11" s="11">
        <v>21772</v>
      </c>
      <c r="F11" s="11"/>
      <c r="G11" s="11">
        <f t="shared" si="0"/>
        <v>21772</v>
      </c>
      <c r="H11" s="17">
        <f t="shared" si="1"/>
        <v>23.82</v>
      </c>
      <c r="I11" s="16">
        <f t="shared" si="2"/>
        <v>0.11799999999999999</v>
      </c>
      <c r="J11" s="16">
        <f>ROUND(G11/28153.9-1,2)</f>
        <v>-0.23</v>
      </c>
    </row>
    <row r="12" spans="1:10" x14ac:dyDescent="0.25">
      <c r="A12" s="1" t="s">
        <v>16</v>
      </c>
      <c r="B12" s="1" t="s">
        <v>24</v>
      </c>
      <c r="C12" s="11">
        <v>16950</v>
      </c>
      <c r="D12" s="11"/>
      <c r="E12" s="11">
        <v>3598</v>
      </c>
      <c r="F12" s="11"/>
      <c r="G12" s="11">
        <f t="shared" si="0"/>
        <v>20548</v>
      </c>
      <c r="H12" s="17">
        <f t="shared" si="1"/>
        <v>22.48</v>
      </c>
      <c r="I12" s="16">
        <f t="shared" si="2"/>
        <v>0.111</v>
      </c>
      <c r="J12" s="16">
        <f>ROUND(G12/17999.7-1,2)</f>
        <v>0.14000000000000001</v>
      </c>
    </row>
    <row r="13" spans="1:10" x14ac:dyDescent="0.25">
      <c r="A13" s="1" t="s">
        <v>16</v>
      </c>
      <c r="B13" s="1" t="s">
        <v>25</v>
      </c>
      <c r="C13" s="11"/>
      <c r="D13" s="11"/>
      <c r="E13" s="11">
        <v>834</v>
      </c>
      <c r="F13" s="11"/>
      <c r="G13" s="11">
        <f t="shared" si="0"/>
        <v>834</v>
      </c>
      <c r="H13" s="17">
        <f t="shared" si="1"/>
        <v>0.91</v>
      </c>
      <c r="I13" s="16">
        <f t="shared" si="2"/>
        <v>5.0000000000000001E-3</v>
      </c>
      <c r="J13" s="16"/>
    </row>
    <row r="14" spans="1:10" x14ac:dyDescent="0.25">
      <c r="A14" s="1" t="s">
        <v>16</v>
      </c>
      <c r="B14" s="1" t="s">
        <v>26</v>
      </c>
      <c r="C14" s="11">
        <v>19970</v>
      </c>
      <c r="D14" s="11"/>
      <c r="E14" s="11"/>
      <c r="F14" s="11"/>
      <c r="G14" s="11">
        <f t="shared" si="0"/>
        <v>19970</v>
      </c>
      <c r="H14" s="17">
        <f t="shared" si="1"/>
        <v>21.85</v>
      </c>
      <c r="I14" s="16">
        <f t="shared" si="2"/>
        <v>0.108</v>
      </c>
      <c r="J14" s="16">
        <f>ROUND(G14/15970-1,2)</f>
        <v>0.25</v>
      </c>
    </row>
    <row r="15" spans="1:10" x14ac:dyDescent="0.25">
      <c r="A15" s="1" t="s">
        <v>16</v>
      </c>
      <c r="B15" s="1" t="s">
        <v>27</v>
      </c>
      <c r="C15" s="11"/>
      <c r="D15" s="11"/>
      <c r="E15" s="11">
        <v>298</v>
      </c>
      <c r="F15" s="11"/>
      <c r="G15" s="11">
        <f t="shared" si="0"/>
        <v>298</v>
      </c>
      <c r="H15" s="17">
        <f t="shared" si="1"/>
        <v>0.33</v>
      </c>
      <c r="I15" s="16">
        <f t="shared" si="2"/>
        <v>2E-3</v>
      </c>
      <c r="J15" s="16">
        <f>ROUND(G15/95-1,2)</f>
        <v>2.14</v>
      </c>
    </row>
    <row r="16" spans="1:10" x14ac:dyDescent="0.25">
      <c r="A16" s="1" t="s">
        <v>16</v>
      </c>
      <c r="B16" s="1" t="s">
        <v>28</v>
      </c>
      <c r="C16" s="11"/>
      <c r="D16" s="11"/>
      <c r="E16" s="11">
        <v>73</v>
      </c>
      <c r="F16" s="11"/>
      <c r="G16" s="11">
        <f t="shared" si="0"/>
        <v>73</v>
      </c>
      <c r="H16" s="17">
        <f t="shared" si="1"/>
        <v>0.08</v>
      </c>
      <c r="I16" s="16">
        <f t="shared" si="2"/>
        <v>0</v>
      </c>
      <c r="J16" s="16">
        <f>ROUND(G16/192-1,2)</f>
        <v>-0.62</v>
      </c>
    </row>
    <row r="17" spans="1:10" x14ac:dyDescent="0.25">
      <c r="A17" s="1" t="s">
        <v>16</v>
      </c>
      <c r="B17" s="1" t="s">
        <v>29</v>
      </c>
      <c r="C17" s="11"/>
      <c r="D17" s="11"/>
      <c r="E17" s="11">
        <v>145</v>
      </c>
      <c r="F17" s="11"/>
      <c r="G17" s="11">
        <f t="shared" si="0"/>
        <v>145</v>
      </c>
      <c r="H17" s="17">
        <f t="shared" si="1"/>
        <v>0.16</v>
      </c>
      <c r="I17" s="16">
        <f t="shared" si="2"/>
        <v>1E-3</v>
      </c>
      <c r="J17" s="16">
        <f>ROUND(G17/200-1,2)</f>
        <v>-0.28000000000000003</v>
      </c>
    </row>
    <row r="18" spans="1:10" x14ac:dyDescent="0.25">
      <c r="A18" s="1" t="s">
        <v>16</v>
      </c>
      <c r="B18" s="1" t="s">
        <v>35</v>
      </c>
      <c r="C18" s="11"/>
      <c r="D18" s="11"/>
      <c r="E18" s="11">
        <v>7273</v>
      </c>
      <c r="F18" s="11"/>
      <c r="G18" s="11">
        <f t="shared" si="0"/>
        <v>7273</v>
      </c>
      <c r="H18" s="17">
        <f t="shared" si="1"/>
        <v>7.96</v>
      </c>
      <c r="I18" s="16">
        <f t="shared" si="2"/>
        <v>3.9E-2</v>
      </c>
      <c r="J18" s="16">
        <f>ROUND(G18/11145.43-1,2)</f>
        <v>-0.35</v>
      </c>
    </row>
    <row r="19" spans="1:10" x14ac:dyDescent="0.25">
      <c r="A19" s="1" t="s">
        <v>16</v>
      </c>
      <c r="B19" s="1" t="s">
        <v>37</v>
      </c>
      <c r="C19" s="11"/>
      <c r="D19" s="11"/>
      <c r="E19" s="11">
        <v>4360</v>
      </c>
      <c r="F19" s="11"/>
      <c r="G19" s="11">
        <f t="shared" si="0"/>
        <v>4360</v>
      </c>
      <c r="H19" s="17">
        <f t="shared" si="1"/>
        <v>4.7699999999999996</v>
      </c>
      <c r="I19" s="16">
        <f t="shared" si="2"/>
        <v>2.4E-2</v>
      </c>
      <c r="J19" s="16">
        <f>ROUND(G19/3755.25-1,2)</f>
        <v>0.16</v>
      </c>
    </row>
    <row r="20" spans="1:10" x14ac:dyDescent="0.25">
      <c r="A20" s="1" t="s">
        <v>16</v>
      </c>
      <c r="B20" s="1" t="s">
        <v>38</v>
      </c>
      <c r="C20" s="11"/>
      <c r="D20" s="11"/>
      <c r="E20" s="11">
        <v>813</v>
      </c>
      <c r="F20" s="11"/>
      <c r="G20" s="11">
        <f t="shared" si="0"/>
        <v>813</v>
      </c>
      <c r="H20" s="17">
        <f t="shared" si="1"/>
        <v>0.89</v>
      </c>
      <c r="I20" s="16">
        <f t="shared" si="2"/>
        <v>4.0000000000000001E-3</v>
      </c>
      <c r="J20" s="16">
        <f>ROUND(G20/2480-1,2)</f>
        <v>-0.67</v>
      </c>
    </row>
    <row r="21" spans="1:10" x14ac:dyDescent="0.25">
      <c r="A21" s="1" t="s">
        <v>16</v>
      </c>
      <c r="B21" s="1" t="s">
        <v>39</v>
      </c>
      <c r="C21" s="11"/>
      <c r="D21" s="11"/>
      <c r="E21" s="11"/>
      <c r="F21" s="11"/>
      <c r="G21" s="11">
        <f t="shared" si="0"/>
        <v>0</v>
      </c>
      <c r="H21" s="17">
        <f t="shared" si="1"/>
        <v>0</v>
      </c>
      <c r="I21" s="16">
        <f t="shared" si="2"/>
        <v>0</v>
      </c>
      <c r="J21" s="16"/>
    </row>
    <row r="22" spans="1:10" x14ac:dyDescent="0.25">
      <c r="A22" s="1" t="s">
        <v>16</v>
      </c>
      <c r="B22" s="1" t="s">
        <v>33</v>
      </c>
      <c r="C22" s="11"/>
      <c r="D22" s="11"/>
      <c r="E22" s="11"/>
      <c r="F22" s="11"/>
      <c r="G22" s="11">
        <f t="shared" si="0"/>
        <v>0</v>
      </c>
      <c r="H22" s="17">
        <f t="shared" si="1"/>
        <v>0</v>
      </c>
      <c r="I22" s="16">
        <f t="shared" si="2"/>
        <v>0</v>
      </c>
      <c r="J22" s="16"/>
    </row>
    <row r="23" spans="1:10" x14ac:dyDescent="0.25">
      <c r="A23" s="1" t="s">
        <v>16</v>
      </c>
      <c r="B23" s="1" t="s">
        <v>17</v>
      </c>
      <c r="C23" s="11"/>
      <c r="D23" s="11"/>
      <c r="E23" s="11"/>
      <c r="F23" s="11"/>
      <c r="G23" s="11">
        <f t="shared" si="0"/>
        <v>0</v>
      </c>
      <c r="H23" s="17">
        <f t="shared" si="1"/>
        <v>0</v>
      </c>
      <c r="I23" s="16">
        <f t="shared" si="2"/>
        <v>0</v>
      </c>
      <c r="J23" s="16"/>
    </row>
    <row r="24" spans="1:10" x14ac:dyDescent="0.25">
      <c r="A24" s="1" t="s">
        <v>16</v>
      </c>
      <c r="B24" s="1" t="s">
        <v>22</v>
      </c>
      <c r="C24" s="11"/>
      <c r="D24" s="11"/>
      <c r="E24" s="11"/>
      <c r="F24" s="11"/>
      <c r="G24" s="11">
        <f t="shared" si="0"/>
        <v>0</v>
      </c>
      <c r="H24" s="17">
        <f t="shared" si="1"/>
        <v>0</v>
      </c>
      <c r="I24" s="16">
        <f t="shared" si="2"/>
        <v>0</v>
      </c>
      <c r="J24" s="16">
        <f>ROUND(G24/1120-1,2)</f>
        <v>-1</v>
      </c>
    </row>
    <row r="25" spans="1:10" x14ac:dyDescent="0.25">
      <c r="A25" s="1" t="s">
        <v>16</v>
      </c>
      <c r="B25" s="1" t="s">
        <v>40</v>
      </c>
      <c r="C25" s="11"/>
      <c r="D25" s="11"/>
      <c r="E25" s="11"/>
      <c r="F25" s="11"/>
      <c r="G25" s="11">
        <f t="shared" si="0"/>
        <v>0</v>
      </c>
      <c r="H25" s="17">
        <f t="shared" si="1"/>
        <v>0</v>
      </c>
      <c r="I25" s="16">
        <f t="shared" si="2"/>
        <v>0</v>
      </c>
      <c r="J25" s="16">
        <f>ROUND(G25/980-1,2)</f>
        <v>-1</v>
      </c>
    </row>
    <row r="26" spans="1:10" x14ac:dyDescent="0.25">
      <c r="A26" s="1" t="s">
        <v>16</v>
      </c>
      <c r="B26" s="1" t="s">
        <v>43</v>
      </c>
      <c r="C26" s="11"/>
      <c r="D26" s="11"/>
      <c r="E26" s="11"/>
      <c r="F26" s="11"/>
      <c r="G26" s="11">
        <f t="shared" si="0"/>
        <v>0</v>
      </c>
      <c r="H26" s="17">
        <f t="shared" si="1"/>
        <v>0</v>
      </c>
      <c r="I26" s="16">
        <f t="shared" si="2"/>
        <v>0</v>
      </c>
      <c r="J26" s="16">
        <f>ROUND(G26/3320-1,2)</f>
        <v>-1</v>
      </c>
    </row>
    <row r="27" spans="1:10" x14ac:dyDescent="0.25">
      <c r="A27" s="1" t="s">
        <v>16</v>
      </c>
      <c r="B27" s="1" t="s">
        <v>41</v>
      </c>
      <c r="C27" s="11"/>
      <c r="D27" s="11"/>
      <c r="E27" s="11"/>
      <c r="F27" s="11"/>
      <c r="G27" s="11">
        <f t="shared" si="0"/>
        <v>0</v>
      </c>
      <c r="H27" s="17">
        <f t="shared" si="1"/>
        <v>0</v>
      </c>
      <c r="I27" s="16">
        <f t="shared" si="2"/>
        <v>0</v>
      </c>
      <c r="J27" s="16"/>
    </row>
    <row r="28" spans="1:10" x14ac:dyDescent="0.25">
      <c r="A28" s="1" t="s">
        <v>16</v>
      </c>
      <c r="B28" s="1" t="s">
        <v>34</v>
      </c>
      <c r="C28" s="11"/>
      <c r="D28" s="11"/>
      <c r="E28" s="11"/>
      <c r="F28" s="11"/>
      <c r="G28" s="11">
        <f t="shared" si="0"/>
        <v>0</v>
      </c>
      <c r="H28" s="17">
        <f t="shared" si="1"/>
        <v>0</v>
      </c>
      <c r="I28" s="16">
        <f t="shared" si="2"/>
        <v>0</v>
      </c>
      <c r="J28" s="16"/>
    </row>
    <row r="29" spans="1:10" x14ac:dyDescent="0.25">
      <c r="A29" s="1" t="s">
        <v>16</v>
      </c>
      <c r="B29" s="1" t="s">
        <v>42</v>
      </c>
      <c r="C29" s="11"/>
      <c r="D29" s="11"/>
      <c r="E29" s="11"/>
      <c r="F29" s="11"/>
      <c r="G29" s="11">
        <f t="shared" si="0"/>
        <v>0</v>
      </c>
      <c r="H29" s="17">
        <f t="shared" si="1"/>
        <v>0</v>
      </c>
      <c r="I29" s="16">
        <f t="shared" si="2"/>
        <v>0</v>
      </c>
      <c r="J29" s="16"/>
    </row>
    <row r="30" spans="1:10" x14ac:dyDescent="0.25">
      <c r="A30" s="1" t="s">
        <v>16</v>
      </c>
      <c r="B30" s="1" t="s">
        <v>31</v>
      </c>
      <c r="C30" s="11"/>
      <c r="D30" s="11"/>
      <c r="E30" s="11"/>
      <c r="F30" s="11"/>
      <c r="G30" s="11">
        <f t="shared" si="0"/>
        <v>0</v>
      </c>
      <c r="H30" s="17">
        <f t="shared" si="1"/>
        <v>0</v>
      </c>
      <c r="I30" s="16">
        <f t="shared" si="2"/>
        <v>0</v>
      </c>
      <c r="J30" s="16"/>
    </row>
    <row r="31" spans="1:10" x14ac:dyDescent="0.25">
      <c r="A31" s="1" t="s">
        <v>16</v>
      </c>
      <c r="B31" s="1" t="s">
        <v>32</v>
      </c>
      <c r="C31" s="11"/>
      <c r="D31" s="11"/>
      <c r="E31" s="11"/>
      <c r="F31" s="11"/>
      <c r="G31" s="11">
        <f t="shared" si="0"/>
        <v>0</v>
      </c>
      <c r="H31" s="17">
        <f t="shared" si="1"/>
        <v>0</v>
      </c>
      <c r="I31" s="16">
        <f t="shared" si="2"/>
        <v>0</v>
      </c>
      <c r="J31" s="16"/>
    </row>
    <row r="32" spans="1:10" x14ac:dyDescent="0.25">
      <c r="A32" s="1" t="s">
        <v>16</v>
      </c>
      <c r="B32" s="1" t="s">
        <v>21</v>
      </c>
      <c r="C32" s="11"/>
      <c r="D32" s="11"/>
      <c r="E32" s="11"/>
      <c r="F32" s="11"/>
      <c r="G32" s="11">
        <f t="shared" si="0"/>
        <v>0</v>
      </c>
      <c r="H32" s="17">
        <f t="shared" si="1"/>
        <v>0</v>
      </c>
      <c r="I32" s="16">
        <f t="shared" si="2"/>
        <v>0</v>
      </c>
      <c r="J32" s="16"/>
    </row>
    <row r="33" spans="1:10" x14ac:dyDescent="0.25">
      <c r="A33" s="1" t="s">
        <v>16</v>
      </c>
      <c r="B33" s="1" t="s">
        <v>30</v>
      </c>
      <c r="C33" s="11"/>
      <c r="D33" s="11"/>
      <c r="E33" s="11"/>
      <c r="F33" s="11"/>
      <c r="G33" s="11">
        <f t="shared" si="0"/>
        <v>0</v>
      </c>
      <c r="H33" s="17">
        <f t="shared" si="1"/>
        <v>0</v>
      </c>
      <c r="I33" s="16">
        <f t="shared" si="2"/>
        <v>0</v>
      </c>
      <c r="J33" s="16"/>
    </row>
    <row r="34" spans="1:10" x14ac:dyDescent="0.25">
      <c r="A34" s="1" t="s">
        <v>16</v>
      </c>
      <c r="B34" s="1" t="s">
        <v>36</v>
      </c>
      <c r="C34" s="11"/>
      <c r="D34" s="11"/>
      <c r="E34" s="11"/>
      <c r="F34" s="11"/>
      <c r="G34" s="11">
        <f t="shared" si="0"/>
        <v>0</v>
      </c>
      <c r="H34" s="17">
        <f t="shared" si="1"/>
        <v>0</v>
      </c>
      <c r="I34" s="16">
        <f t="shared" si="2"/>
        <v>0</v>
      </c>
      <c r="J34" s="16"/>
    </row>
    <row r="35" spans="1:10" x14ac:dyDescent="0.25">
      <c r="A35" s="1" t="s">
        <v>44</v>
      </c>
      <c r="B35" s="1" t="s">
        <v>45</v>
      </c>
      <c r="C35" s="11">
        <v>58300</v>
      </c>
      <c r="D35" s="11"/>
      <c r="E35" s="11"/>
      <c r="F35" s="11"/>
      <c r="G35" s="11">
        <f t="shared" si="0"/>
        <v>58300</v>
      </c>
      <c r="H35" s="17">
        <f t="shared" si="1"/>
        <v>63.79</v>
      </c>
      <c r="I35" s="16">
        <f t="shared" si="2"/>
        <v>0.316</v>
      </c>
      <c r="J35" s="16">
        <f>ROUND(G35/71140-1,2)</f>
        <v>-0.18</v>
      </c>
    </row>
    <row r="36" spans="1:10" x14ac:dyDescent="0.25">
      <c r="A36" s="1" t="s">
        <v>44</v>
      </c>
      <c r="B36" s="1" t="s">
        <v>46</v>
      </c>
      <c r="C36" s="11"/>
      <c r="D36" s="11"/>
      <c r="E36" s="11">
        <v>10084</v>
      </c>
      <c r="F36" s="11"/>
      <c r="G36" s="11">
        <f t="shared" si="0"/>
        <v>10084</v>
      </c>
      <c r="H36" s="17">
        <f t="shared" si="1"/>
        <v>11.03</v>
      </c>
      <c r="I36" s="16">
        <f t="shared" si="2"/>
        <v>5.5E-2</v>
      </c>
      <c r="J36" s="16">
        <f>ROUND(G36/9286.08-1,2)</f>
        <v>0.09</v>
      </c>
    </row>
    <row r="37" spans="1:10" x14ac:dyDescent="0.25">
      <c r="A37" s="1" t="s">
        <v>44</v>
      </c>
      <c r="B37" s="1" t="s">
        <v>47</v>
      </c>
      <c r="C37" s="11"/>
      <c r="D37" s="11"/>
      <c r="E37" s="11"/>
      <c r="F37" s="11"/>
      <c r="G37" s="11">
        <f t="shared" si="0"/>
        <v>0</v>
      </c>
      <c r="H37" s="17">
        <f t="shared" si="1"/>
        <v>0</v>
      </c>
      <c r="I37" s="16">
        <f t="shared" si="2"/>
        <v>0</v>
      </c>
      <c r="J37" s="16"/>
    </row>
    <row r="38" spans="1:10" x14ac:dyDescent="0.25">
      <c r="A38" s="1" t="s">
        <v>48</v>
      </c>
      <c r="B38" s="1" t="s">
        <v>51</v>
      </c>
      <c r="C38" s="11"/>
      <c r="D38" s="11"/>
      <c r="E38" s="11"/>
      <c r="F38" s="11"/>
      <c r="G38" s="11">
        <f t="shared" si="0"/>
        <v>0</v>
      </c>
      <c r="H38" s="17">
        <f t="shared" si="1"/>
        <v>0</v>
      </c>
      <c r="I38" s="16">
        <f t="shared" si="2"/>
        <v>0</v>
      </c>
      <c r="J38" s="16"/>
    </row>
    <row r="39" spans="1:10" x14ac:dyDescent="0.25">
      <c r="A39" s="21" t="s">
        <v>12</v>
      </c>
      <c r="B39" s="21"/>
      <c r="C39" s="12">
        <f t="shared" ref="C39:H39" si="3">SUM(C8:C38)</f>
        <v>134490</v>
      </c>
      <c r="D39" s="12">
        <f t="shared" si="3"/>
        <v>0</v>
      </c>
      <c r="E39" s="12">
        <f t="shared" si="3"/>
        <v>49816</v>
      </c>
      <c r="F39" s="12">
        <f t="shared" si="3"/>
        <v>0</v>
      </c>
      <c r="G39" s="12">
        <f t="shared" si="3"/>
        <v>184306</v>
      </c>
      <c r="H39" s="15">
        <f t="shared" si="3"/>
        <v>201.65</v>
      </c>
      <c r="I39" s="18"/>
      <c r="J39" s="18"/>
    </row>
    <row r="40" spans="1:10" x14ac:dyDescent="0.25">
      <c r="A40" s="21" t="s">
        <v>14</v>
      </c>
      <c r="B40" s="21"/>
      <c r="C40" s="13">
        <f>ROUND(C39/G39,2)</f>
        <v>0.73</v>
      </c>
      <c r="D40" s="13">
        <f>ROUND(D39/G39,2)</f>
        <v>0</v>
      </c>
      <c r="E40" s="13">
        <f>ROUND(E39/G39,2)</f>
        <v>0.27</v>
      </c>
      <c r="F40" s="13">
        <f>ROUND(F39/G39,2)</f>
        <v>0</v>
      </c>
      <c r="G40" s="14"/>
      <c r="H40" s="14"/>
      <c r="I40" s="18"/>
      <c r="J40" s="18"/>
    </row>
    <row r="41" spans="1:10" x14ac:dyDescent="0.25">
      <c r="A41" s="2" t="s">
        <v>52</v>
      </c>
      <c r="B41" s="2"/>
      <c r="C41" s="14"/>
      <c r="D41" s="14"/>
      <c r="E41" s="14"/>
      <c r="F41" s="14"/>
      <c r="G41" s="14"/>
      <c r="H41" s="14"/>
      <c r="I41" s="18"/>
      <c r="J41" s="18"/>
    </row>
    <row r="42" spans="1:10" x14ac:dyDescent="0.25">
      <c r="C42" s="9"/>
      <c r="D42" s="9"/>
      <c r="E42" s="9"/>
      <c r="F42" s="9"/>
      <c r="G42" s="9"/>
      <c r="H42" s="9"/>
      <c r="I42" s="10"/>
      <c r="J42" s="10"/>
    </row>
    <row r="43" spans="1:10" x14ac:dyDescent="0.25">
      <c r="C43" s="9"/>
      <c r="D43" s="9"/>
      <c r="E43" s="9"/>
      <c r="F43" s="9"/>
      <c r="G43" s="9"/>
      <c r="H43" s="9"/>
      <c r="I43" s="10"/>
      <c r="J43" s="10"/>
    </row>
    <row r="44" spans="1:10" x14ac:dyDescent="0.25">
      <c r="C44" s="9"/>
      <c r="D44" s="9"/>
      <c r="E44" s="9"/>
      <c r="F44" s="9"/>
      <c r="G44" s="9"/>
      <c r="H44" s="9"/>
      <c r="I44" s="10"/>
      <c r="J44" s="10"/>
    </row>
    <row r="45" spans="1:10" x14ac:dyDescent="0.25">
      <c r="A45" s="21" t="s">
        <v>53</v>
      </c>
      <c r="B45" s="21"/>
      <c r="C45" s="12" t="s">
        <v>8</v>
      </c>
      <c r="D45" s="12" t="s">
        <v>9</v>
      </c>
      <c r="E45" s="12" t="s">
        <v>10</v>
      </c>
      <c r="F45" s="12" t="s">
        <v>11</v>
      </c>
      <c r="G45" s="12" t="s">
        <v>12</v>
      </c>
      <c r="H45" s="15" t="s">
        <v>13</v>
      </c>
      <c r="I45" s="18"/>
      <c r="J45" s="18"/>
    </row>
    <row r="46" spans="1:10" x14ac:dyDescent="0.25">
      <c r="A46" s="20" t="s">
        <v>54</v>
      </c>
      <c r="B46" s="20"/>
      <c r="C46" s="11">
        <v>76190</v>
      </c>
      <c r="D46" s="11">
        <v>0</v>
      </c>
      <c r="E46" s="11">
        <v>39732</v>
      </c>
      <c r="F46" s="11">
        <v>0</v>
      </c>
      <c r="G46" s="11">
        <f>SUM(C46:F46)</f>
        <v>115922</v>
      </c>
      <c r="H46" s="17">
        <f>ROUND(G46/914,2)</f>
        <v>126.83</v>
      </c>
      <c r="I46" s="10"/>
      <c r="J46" s="10"/>
    </row>
    <row r="47" spans="1:10" x14ac:dyDescent="0.25">
      <c r="A47" s="20" t="s">
        <v>55</v>
      </c>
      <c r="B47" s="20"/>
      <c r="C47" s="11">
        <v>58300</v>
      </c>
      <c r="D47" s="11">
        <v>0</v>
      </c>
      <c r="E47" s="11">
        <v>10084</v>
      </c>
      <c r="F47" s="11">
        <v>0</v>
      </c>
      <c r="G47" s="11">
        <f>SUM(C47:F47)</f>
        <v>68384</v>
      </c>
      <c r="H47" s="17">
        <f>ROUND(G47/914,2)</f>
        <v>74.819999999999993</v>
      </c>
      <c r="I47" s="10"/>
      <c r="J47" s="10"/>
    </row>
    <row r="48" spans="1:10" x14ac:dyDescent="0.25">
      <c r="A48" s="20" t="s">
        <v>56</v>
      </c>
      <c r="B48" s="20"/>
      <c r="C48" s="11">
        <v>0</v>
      </c>
      <c r="D48" s="11">
        <v>0</v>
      </c>
      <c r="E48" s="11">
        <v>0</v>
      </c>
      <c r="F48" s="11">
        <v>0</v>
      </c>
      <c r="G48" s="11">
        <f>SUM(C48:F48)</f>
        <v>0</v>
      </c>
      <c r="H48" s="17">
        <f>ROUND(G48/914,2)</f>
        <v>0</v>
      </c>
      <c r="I48" s="10"/>
      <c r="J48" s="10"/>
    </row>
    <row r="49" spans="1:10" x14ac:dyDescent="0.25">
      <c r="C49" s="9"/>
      <c r="D49" s="9"/>
      <c r="E49" s="9"/>
      <c r="F49" s="9"/>
      <c r="G49" s="9"/>
      <c r="H49" s="9"/>
      <c r="I49" s="10"/>
      <c r="J49" s="10"/>
    </row>
    <row r="50" spans="1:10" x14ac:dyDescent="0.25">
      <c r="C50" s="9"/>
      <c r="D50" s="9"/>
      <c r="E50" s="9"/>
      <c r="F50" s="9"/>
      <c r="G50" s="9"/>
      <c r="H50" s="9"/>
      <c r="I50" s="10"/>
      <c r="J50" s="10"/>
    </row>
    <row r="51" spans="1:10" x14ac:dyDescent="0.25">
      <c r="C51" s="9"/>
      <c r="D51" s="9"/>
      <c r="E51" s="9"/>
      <c r="F51" s="9"/>
      <c r="G51" s="9"/>
      <c r="H51" s="9"/>
      <c r="I51" s="10"/>
      <c r="J51" s="10"/>
    </row>
    <row r="52" spans="1:10" x14ac:dyDescent="0.25">
      <c r="C52" s="9"/>
      <c r="D52" s="9"/>
      <c r="E52" s="9"/>
      <c r="F52" s="9"/>
      <c r="G52" s="9"/>
      <c r="H52" s="9"/>
      <c r="I52" s="10"/>
      <c r="J52" s="10"/>
    </row>
    <row r="53" spans="1:10" x14ac:dyDescent="0.25">
      <c r="A53" s="21" t="s">
        <v>57</v>
      </c>
      <c r="B53" s="21"/>
      <c r="C53" s="15" t="s">
        <v>2</v>
      </c>
      <c r="D53" s="15">
        <v>2023</v>
      </c>
      <c r="E53" s="15" t="s">
        <v>59</v>
      </c>
      <c r="F53" s="14"/>
      <c r="G53" s="15" t="s">
        <v>60</v>
      </c>
      <c r="H53" s="15" t="s">
        <v>2</v>
      </c>
      <c r="I53" s="13" t="s">
        <v>61</v>
      </c>
      <c r="J53" s="13" t="s">
        <v>59</v>
      </c>
    </row>
    <row r="54" spans="1:10" x14ac:dyDescent="0.25">
      <c r="A54" s="20" t="s">
        <v>58</v>
      </c>
      <c r="B54" s="20"/>
      <c r="C54" s="16">
        <f>ROUND(0.6362, 4)</f>
        <v>0.63619999999999999</v>
      </c>
      <c r="D54" s="16">
        <f>ROUND(0.6978, 4)</f>
        <v>0.69779999999999998</v>
      </c>
      <c r="E54" s="16">
        <f>ROUND(0.777, 4)</f>
        <v>0.77700000000000002</v>
      </c>
      <c r="F54" s="9"/>
      <c r="G54" s="15" t="s">
        <v>62</v>
      </c>
      <c r="H54" s="22" t="s">
        <v>63</v>
      </c>
      <c r="I54" s="24" t="s">
        <v>64</v>
      </c>
      <c r="J54" s="24" t="s">
        <v>65</v>
      </c>
    </row>
    <row r="55" spans="1:10" x14ac:dyDescent="0.25">
      <c r="A55" s="20" t="s">
        <v>66</v>
      </c>
      <c r="B55" s="20"/>
      <c r="C55" s="16">
        <f>ROUND(0.5972, 4)</f>
        <v>0.59719999999999995</v>
      </c>
      <c r="D55" s="16">
        <f>ROUND(0.6651, 4)</f>
        <v>0.66510000000000002</v>
      </c>
      <c r="E55" s="16">
        <f>ROUND(0.7608, 4)</f>
        <v>0.76080000000000003</v>
      </c>
      <c r="F55" s="9"/>
      <c r="G55" s="15" t="s">
        <v>67</v>
      </c>
      <c r="H55" s="23"/>
      <c r="I55" s="25"/>
      <c r="J55" s="25"/>
    </row>
    <row r="56" spans="1:10" x14ac:dyDescent="0.25">
      <c r="C56" s="9"/>
      <c r="D56" s="9"/>
      <c r="E56" s="9"/>
      <c r="F56" s="9"/>
      <c r="G56" s="9"/>
      <c r="H56" s="9"/>
      <c r="I56" s="10"/>
      <c r="J56" s="10"/>
    </row>
    <row r="57" spans="1:10" x14ac:dyDescent="0.25">
      <c r="C57" s="9"/>
      <c r="D57" s="9"/>
      <c r="E57" s="9"/>
      <c r="F57" s="9"/>
      <c r="G57" s="9"/>
      <c r="H57" s="9"/>
      <c r="I57" s="10"/>
      <c r="J57" s="10"/>
    </row>
    <row r="58" spans="1:10" x14ac:dyDescent="0.25">
      <c r="C58" s="9"/>
      <c r="D58" s="9"/>
      <c r="E58" s="9"/>
      <c r="F58" s="9"/>
      <c r="G58" s="9"/>
      <c r="H58" s="9"/>
      <c r="I58" s="10"/>
      <c r="J58" s="10"/>
    </row>
    <row r="59" spans="1:10" x14ac:dyDescent="0.25">
      <c r="A59" s="21" t="s">
        <v>68</v>
      </c>
      <c r="B59" s="21"/>
      <c r="C59" s="15" t="s">
        <v>2</v>
      </c>
      <c r="D59" s="15" t="s">
        <v>176</v>
      </c>
      <c r="E59" s="15" t="s">
        <v>70</v>
      </c>
      <c r="F59" s="15" t="s">
        <v>71</v>
      </c>
      <c r="G59" s="15" t="s">
        <v>72</v>
      </c>
      <c r="H59" s="14"/>
      <c r="I59" s="18"/>
      <c r="J59" s="18"/>
    </row>
    <row r="60" spans="1:10" x14ac:dyDescent="0.25">
      <c r="A60" s="20" t="s">
        <v>73</v>
      </c>
      <c r="B60" s="20"/>
      <c r="C60" s="17">
        <v>63.79</v>
      </c>
      <c r="D60" s="17">
        <v>141.28</v>
      </c>
      <c r="E60" s="17">
        <v>81.84</v>
      </c>
      <c r="F60" s="17">
        <v>48</v>
      </c>
      <c r="G60" s="17">
        <f>12/4*C60</f>
        <v>191.37</v>
      </c>
      <c r="H60" s="9"/>
      <c r="I60" s="10"/>
      <c r="J60" s="10"/>
    </row>
    <row r="61" spans="1:10" x14ac:dyDescent="0.25">
      <c r="A61" s="20" t="s">
        <v>74</v>
      </c>
      <c r="B61" s="20"/>
      <c r="C61" s="17">
        <v>21.85</v>
      </c>
      <c r="D61" s="17">
        <v>70.61</v>
      </c>
      <c r="E61" s="17">
        <v>55.63</v>
      </c>
      <c r="F61" s="17">
        <v>55.33</v>
      </c>
      <c r="G61" s="17">
        <f>12/4*C61</f>
        <v>65.550000000000011</v>
      </c>
      <c r="H61" s="9"/>
      <c r="I61" s="10"/>
      <c r="J61" s="10"/>
    </row>
    <row r="62" spans="1:10" x14ac:dyDescent="0.25">
      <c r="A62" s="20" t="s">
        <v>75</v>
      </c>
      <c r="B62" s="20"/>
      <c r="C62" s="17">
        <v>126.83</v>
      </c>
      <c r="D62" s="17">
        <v>447.89</v>
      </c>
      <c r="E62" s="17">
        <v>257.88</v>
      </c>
      <c r="F62" s="17">
        <v>242.78</v>
      </c>
      <c r="G62" s="17">
        <f>12/4*C62</f>
        <v>380.49</v>
      </c>
      <c r="H62" s="9"/>
      <c r="I62" s="10"/>
      <c r="J62" s="10"/>
    </row>
    <row r="63" spans="1:10" x14ac:dyDescent="0.25">
      <c r="A63" s="20" t="s">
        <v>76</v>
      </c>
      <c r="B63" s="20"/>
      <c r="C63" s="17">
        <v>74.819999999999993</v>
      </c>
      <c r="D63" s="17">
        <v>198.53</v>
      </c>
      <c r="E63" s="17">
        <v>103.14</v>
      </c>
      <c r="F63" s="17">
        <v>68.31</v>
      </c>
      <c r="G63" s="17">
        <f>12/4*C63</f>
        <v>224.45999999999998</v>
      </c>
      <c r="H63" s="9"/>
      <c r="I63" s="10"/>
      <c r="J63" s="10"/>
    </row>
    <row r="64" spans="1:10" x14ac:dyDescent="0.25">
      <c r="C64" s="9"/>
      <c r="D64" s="9"/>
      <c r="E64" s="9"/>
      <c r="F64" s="9"/>
      <c r="G64" s="9"/>
      <c r="H64" s="9"/>
      <c r="I64" s="10"/>
      <c r="J64" s="10"/>
    </row>
    <row r="65" spans="1:10" x14ac:dyDescent="0.25">
      <c r="C65" s="9"/>
      <c r="D65" s="9"/>
      <c r="E65" s="9"/>
      <c r="F65" s="9"/>
      <c r="G65" s="9"/>
      <c r="H65" s="9"/>
      <c r="I65" s="10"/>
      <c r="J65" s="10"/>
    </row>
    <row r="66" spans="1:10" x14ac:dyDescent="0.25">
      <c r="A66" s="19" t="s">
        <v>60</v>
      </c>
      <c r="B66" s="26"/>
      <c r="C66" s="9"/>
      <c r="D66" s="9"/>
      <c r="E66" s="9"/>
      <c r="F66" s="9"/>
      <c r="G66" s="9"/>
      <c r="H66" s="9"/>
      <c r="I66" s="10"/>
      <c r="J66" s="10"/>
    </row>
    <row r="67" spans="1:10" x14ac:dyDescent="0.25">
      <c r="A67" s="3" t="s">
        <v>77</v>
      </c>
      <c r="B67" s="1" t="s">
        <v>177</v>
      </c>
      <c r="C67" s="9"/>
      <c r="D67" s="9"/>
      <c r="E67" s="9"/>
      <c r="F67" s="9"/>
      <c r="G67" s="9"/>
      <c r="H67" s="9"/>
      <c r="I67" s="10"/>
      <c r="J67" s="10"/>
    </row>
    <row r="68" spans="1:10" x14ac:dyDescent="0.25">
      <c r="A68" s="3" t="s">
        <v>70</v>
      </c>
      <c r="B68" s="1" t="s">
        <v>79</v>
      </c>
    </row>
    <row r="69" spans="1:10" x14ac:dyDescent="0.25">
      <c r="A69" s="3" t="s">
        <v>71</v>
      </c>
      <c r="B69" s="1" t="s">
        <v>80</v>
      </c>
    </row>
    <row r="70" spans="1:10" x14ac:dyDescent="0.25">
      <c r="A70" s="3" t="s">
        <v>72</v>
      </c>
      <c r="B70" s="1" t="s">
        <v>81</v>
      </c>
    </row>
  </sheetData>
  <mergeCells count="19">
    <mergeCell ref="A61:B61"/>
    <mergeCell ref="A62:B62"/>
    <mergeCell ref="A63:B63"/>
    <mergeCell ref="A66:B66"/>
    <mergeCell ref="I54:I55"/>
    <mergeCell ref="J54:J55"/>
    <mergeCell ref="A55:B55"/>
    <mergeCell ref="A59:B59"/>
    <mergeCell ref="A60:B60"/>
    <mergeCell ref="A47:B47"/>
    <mergeCell ref="A48:B48"/>
    <mergeCell ref="A53:B53"/>
    <mergeCell ref="A54:B54"/>
    <mergeCell ref="H54:H55"/>
    <mergeCell ref="C7:G7"/>
    <mergeCell ref="A39:B39"/>
    <mergeCell ref="A40:B40"/>
    <mergeCell ref="A45:B45"/>
    <mergeCell ref="A46:B46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2:J79"/>
  <sheetViews>
    <sheetView workbookViewId="0">
      <selection activeCell="C9" sqref="C9:J79"/>
    </sheetView>
  </sheetViews>
  <sheetFormatPr defaultRowHeight="15" x14ac:dyDescent="0.25"/>
  <cols>
    <col min="1" max="1" width="38.85546875" bestFit="1" customWidth="1"/>
    <col min="2" max="2" width="79" bestFit="1" customWidth="1"/>
    <col min="3" max="3" width="14" bestFit="1" customWidth="1"/>
    <col min="4" max="4" width="31.7109375" bestFit="1" customWidth="1"/>
    <col min="5" max="5" width="16.42578125" bestFit="1" customWidth="1"/>
    <col min="6" max="6" width="10.5703125" bestFit="1" customWidth="1"/>
    <col min="7" max="7" width="68.28515625" bestFit="1" customWidth="1"/>
    <col min="8" max="9" width="20" bestFit="1" customWidth="1"/>
    <col min="10" max="10" width="30.5703125" bestFit="1" customWidth="1"/>
  </cols>
  <sheetData>
    <row r="2" spans="1:10" ht="18.75" x14ac:dyDescent="0.3">
      <c r="A2" s="3" t="s">
        <v>0</v>
      </c>
      <c r="B2" s="4" t="s">
        <v>178</v>
      </c>
    </row>
    <row r="3" spans="1:10" x14ac:dyDescent="0.25">
      <c r="A3" s="3" t="s">
        <v>2</v>
      </c>
      <c r="B3" s="1" t="s">
        <v>3</v>
      </c>
    </row>
    <row r="4" spans="1:10" x14ac:dyDescent="0.25">
      <c r="A4" s="3" t="s">
        <v>4</v>
      </c>
      <c r="B4" s="1">
        <v>530</v>
      </c>
    </row>
    <row r="7" spans="1:10" x14ac:dyDescent="0.25">
      <c r="C7" s="19" t="s">
        <v>5</v>
      </c>
      <c r="D7" s="20"/>
      <c r="E7" s="20"/>
      <c r="F7" s="20"/>
      <c r="G7" s="20"/>
    </row>
    <row r="8" spans="1:10" x14ac:dyDescent="0.25">
      <c r="A8" s="3" t="s">
        <v>6</v>
      </c>
      <c r="B8" s="3" t="s">
        <v>7</v>
      </c>
      <c r="C8" s="3" t="s">
        <v>8</v>
      </c>
      <c r="D8" s="3" t="s">
        <v>9</v>
      </c>
      <c r="E8" s="3" t="s">
        <v>10</v>
      </c>
      <c r="F8" s="3" t="s">
        <v>11</v>
      </c>
      <c r="G8" s="3" t="s">
        <v>12</v>
      </c>
      <c r="H8" s="3" t="s">
        <v>13</v>
      </c>
      <c r="I8" s="3" t="s">
        <v>14</v>
      </c>
      <c r="J8" s="3" t="s">
        <v>15</v>
      </c>
    </row>
    <row r="9" spans="1:10" x14ac:dyDescent="0.25">
      <c r="A9" s="1" t="s">
        <v>16</v>
      </c>
      <c r="B9" s="1" t="s">
        <v>19</v>
      </c>
      <c r="C9" s="11">
        <v>6870</v>
      </c>
      <c r="D9" s="11"/>
      <c r="E9" s="11">
        <v>214</v>
      </c>
      <c r="F9" s="11"/>
      <c r="G9" s="11">
        <f t="shared" ref="G9:G35" si="0">SUM(C9:F9)</f>
        <v>7084</v>
      </c>
      <c r="H9" s="17">
        <f t="shared" ref="H9:H35" si="1">ROUND(G9/530,2)</f>
        <v>13.37</v>
      </c>
      <c r="I9" s="16">
        <f t="shared" ref="I9:I35" si="2">ROUND(G9/$G$36,3)</f>
        <v>8.5000000000000006E-2</v>
      </c>
      <c r="J9" s="16">
        <f>ROUND(G9/6000.8-1,2)</f>
        <v>0.18</v>
      </c>
    </row>
    <row r="10" spans="1:10" x14ac:dyDescent="0.25">
      <c r="A10" s="1" t="s">
        <v>16</v>
      </c>
      <c r="B10" s="1" t="s">
        <v>20</v>
      </c>
      <c r="C10" s="11">
        <v>7450</v>
      </c>
      <c r="D10" s="11"/>
      <c r="E10" s="11"/>
      <c r="F10" s="11"/>
      <c r="G10" s="11">
        <f t="shared" si="0"/>
        <v>7450</v>
      </c>
      <c r="H10" s="17">
        <f t="shared" si="1"/>
        <v>14.06</v>
      </c>
      <c r="I10" s="16">
        <f t="shared" si="2"/>
        <v>0.09</v>
      </c>
      <c r="J10" s="16">
        <f>ROUND(G10/5883.68-1,2)</f>
        <v>0.27</v>
      </c>
    </row>
    <row r="11" spans="1:10" x14ac:dyDescent="0.25">
      <c r="A11" s="1" t="s">
        <v>16</v>
      </c>
      <c r="B11" s="1" t="s">
        <v>23</v>
      </c>
      <c r="C11" s="11"/>
      <c r="D11" s="11"/>
      <c r="E11" s="11">
        <v>8238</v>
      </c>
      <c r="F11" s="11"/>
      <c r="G11" s="11">
        <f t="shared" si="0"/>
        <v>8238</v>
      </c>
      <c r="H11" s="17">
        <f t="shared" si="1"/>
        <v>15.54</v>
      </c>
      <c r="I11" s="16">
        <f t="shared" si="2"/>
        <v>9.9000000000000005E-2</v>
      </c>
      <c r="J11" s="16">
        <f>ROUND(G11/2056.1-1,2)</f>
        <v>3.01</v>
      </c>
    </row>
    <row r="12" spans="1:10" x14ac:dyDescent="0.25">
      <c r="A12" s="1" t="s">
        <v>16</v>
      </c>
      <c r="B12" s="1" t="s">
        <v>24</v>
      </c>
      <c r="C12" s="11">
        <v>10420</v>
      </c>
      <c r="D12" s="11"/>
      <c r="E12" s="11">
        <v>1362</v>
      </c>
      <c r="F12" s="11"/>
      <c r="G12" s="11">
        <f t="shared" si="0"/>
        <v>11782</v>
      </c>
      <c r="H12" s="17">
        <f t="shared" si="1"/>
        <v>22.23</v>
      </c>
      <c r="I12" s="16">
        <f t="shared" si="2"/>
        <v>0.14199999999999999</v>
      </c>
      <c r="J12" s="16">
        <f>ROUND(G12/6250.3-1,2)</f>
        <v>0.89</v>
      </c>
    </row>
    <row r="13" spans="1:10" x14ac:dyDescent="0.25">
      <c r="A13" s="1" t="s">
        <v>16</v>
      </c>
      <c r="B13" s="1" t="s">
        <v>25</v>
      </c>
      <c r="C13" s="11"/>
      <c r="D13" s="11"/>
      <c r="E13" s="11">
        <v>316</v>
      </c>
      <c r="F13" s="11"/>
      <c r="G13" s="11">
        <f t="shared" si="0"/>
        <v>316</v>
      </c>
      <c r="H13" s="17">
        <f t="shared" si="1"/>
        <v>0.6</v>
      </c>
      <c r="I13" s="16">
        <f t="shared" si="2"/>
        <v>4.0000000000000001E-3</v>
      </c>
      <c r="J13" s="16"/>
    </row>
    <row r="14" spans="1:10" x14ac:dyDescent="0.25">
      <c r="A14" s="1" t="s">
        <v>16</v>
      </c>
      <c r="B14" s="1" t="s">
        <v>26</v>
      </c>
      <c r="C14" s="11">
        <v>7420</v>
      </c>
      <c r="D14" s="11"/>
      <c r="E14" s="11"/>
      <c r="F14" s="11"/>
      <c r="G14" s="11">
        <f t="shared" si="0"/>
        <v>7420</v>
      </c>
      <c r="H14" s="17">
        <f t="shared" si="1"/>
        <v>14</v>
      </c>
      <c r="I14" s="16">
        <f t="shared" si="2"/>
        <v>0.09</v>
      </c>
      <c r="J14" s="16">
        <f>ROUND(G14/7120-1,2)</f>
        <v>0.04</v>
      </c>
    </row>
    <row r="15" spans="1:10" x14ac:dyDescent="0.25">
      <c r="A15" s="1" t="s">
        <v>16</v>
      </c>
      <c r="B15" s="1" t="s">
        <v>27</v>
      </c>
      <c r="C15" s="11"/>
      <c r="D15" s="11"/>
      <c r="E15" s="11">
        <v>113</v>
      </c>
      <c r="F15" s="11"/>
      <c r="G15" s="11">
        <f t="shared" si="0"/>
        <v>113</v>
      </c>
      <c r="H15" s="17">
        <f t="shared" si="1"/>
        <v>0.21</v>
      </c>
      <c r="I15" s="16">
        <f t="shared" si="2"/>
        <v>1E-3</v>
      </c>
      <c r="J15" s="16"/>
    </row>
    <row r="16" spans="1:10" x14ac:dyDescent="0.25">
      <c r="A16" s="1" t="s">
        <v>16</v>
      </c>
      <c r="B16" s="1" t="s">
        <v>28</v>
      </c>
      <c r="C16" s="11"/>
      <c r="D16" s="11"/>
      <c r="E16" s="11">
        <v>27</v>
      </c>
      <c r="F16" s="11"/>
      <c r="G16" s="11">
        <f t="shared" si="0"/>
        <v>27</v>
      </c>
      <c r="H16" s="17">
        <f t="shared" si="1"/>
        <v>0.05</v>
      </c>
      <c r="I16" s="16">
        <f t="shared" si="2"/>
        <v>0</v>
      </c>
      <c r="J16" s="16"/>
    </row>
    <row r="17" spans="1:10" x14ac:dyDescent="0.25">
      <c r="A17" s="1" t="s">
        <v>16</v>
      </c>
      <c r="B17" s="1" t="s">
        <v>29</v>
      </c>
      <c r="C17" s="11"/>
      <c r="D17" s="11"/>
      <c r="E17" s="11">
        <v>55</v>
      </c>
      <c r="F17" s="11"/>
      <c r="G17" s="11">
        <f t="shared" si="0"/>
        <v>55</v>
      </c>
      <c r="H17" s="17">
        <f t="shared" si="1"/>
        <v>0.1</v>
      </c>
      <c r="I17" s="16">
        <f t="shared" si="2"/>
        <v>1E-3</v>
      </c>
      <c r="J17" s="16"/>
    </row>
    <row r="18" spans="1:10" x14ac:dyDescent="0.25">
      <c r="A18" s="1" t="s">
        <v>16</v>
      </c>
      <c r="B18" s="1" t="s">
        <v>35</v>
      </c>
      <c r="C18" s="11"/>
      <c r="D18" s="11"/>
      <c r="E18" s="11">
        <v>2751</v>
      </c>
      <c r="F18" s="11"/>
      <c r="G18" s="11">
        <f t="shared" si="0"/>
        <v>2751</v>
      </c>
      <c r="H18" s="17">
        <f t="shared" si="1"/>
        <v>5.19</v>
      </c>
      <c r="I18" s="16">
        <f t="shared" si="2"/>
        <v>3.3000000000000002E-2</v>
      </c>
      <c r="J18" s="16">
        <f>ROUND(G18/1769.57-1,2)</f>
        <v>0.55000000000000004</v>
      </c>
    </row>
    <row r="19" spans="1:10" x14ac:dyDescent="0.25">
      <c r="A19" s="1" t="s">
        <v>16</v>
      </c>
      <c r="B19" s="1" t="s">
        <v>37</v>
      </c>
      <c r="C19" s="11"/>
      <c r="D19" s="11"/>
      <c r="E19" s="11">
        <v>1650</v>
      </c>
      <c r="F19" s="11"/>
      <c r="G19" s="11">
        <f t="shared" si="0"/>
        <v>1650</v>
      </c>
      <c r="H19" s="17">
        <f t="shared" si="1"/>
        <v>3.11</v>
      </c>
      <c r="I19" s="16">
        <f t="shared" si="2"/>
        <v>0.02</v>
      </c>
      <c r="J19" s="16">
        <f>ROUND(G19/514.75-1,2)</f>
        <v>2.21</v>
      </c>
    </row>
    <row r="20" spans="1:10" x14ac:dyDescent="0.25">
      <c r="A20" s="1" t="s">
        <v>16</v>
      </c>
      <c r="B20" s="1" t="s">
        <v>38</v>
      </c>
      <c r="C20" s="11"/>
      <c r="D20" s="11"/>
      <c r="E20" s="11">
        <v>4237</v>
      </c>
      <c r="F20" s="11"/>
      <c r="G20" s="11">
        <f t="shared" si="0"/>
        <v>4237</v>
      </c>
      <c r="H20" s="17">
        <f t="shared" si="1"/>
        <v>7.99</v>
      </c>
      <c r="I20" s="16">
        <f t="shared" si="2"/>
        <v>5.0999999999999997E-2</v>
      </c>
      <c r="J20" s="16">
        <f>ROUND(G20/1690-1,2)</f>
        <v>1.51</v>
      </c>
    </row>
    <row r="21" spans="1:10" x14ac:dyDescent="0.25">
      <c r="A21" s="1" t="s">
        <v>16</v>
      </c>
      <c r="B21" s="1" t="s">
        <v>41</v>
      </c>
      <c r="C21" s="11"/>
      <c r="D21" s="11"/>
      <c r="E21" s="11"/>
      <c r="F21" s="11"/>
      <c r="G21" s="11">
        <f t="shared" si="0"/>
        <v>0</v>
      </c>
      <c r="H21" s="17">
        <f t="shared" si="1"/>
        <v>0</v>
      </c>
      <c r="I21" s="16">
        <f t="shared" si="2"/>
        <v>0</v>
      </c>
      <c r="J21" s="16"/>
    </row>
    <row r="22" spans="1:10" x14ac:dyDescent="0.25">
      <c r="A22" s="1" t="s">
        <v>16</v>
      </c>
      <c r="B22" s="1" t="s">
        <v>42</v>
      </c>
      <c r="C22" s="11"/>
      <c r="D22" s="11"/>
      <c r="E22" s="11"/>
      <c r="F22" s="11"/>
      <c r="G22" s="11">
        <f t="shared" si="0"/>
        <v>0</v>
      </c>
      <c r="H22" s="17">
        <f t="shared" si="1"/>
        <v>0</v>
      </c>
      <c r="I22" s="16">
        <f t="shared" si="2"/>
        <v>0</v>
      </c>
      <c r="J22" s="16"/>
    </row>
    <row r="23" spans="1:10" x14ac:dyDescent="0.25">
      <c r="A23" s="1" t="s">
        <v>16</v>
      </c>
      <c r="B23" s="1" t="s">
        <v>21</v>
      </c>
      <c r="C23" s="11"/>
      <c r="D23" s="11"/>
      <c r="E23" s="11"/>
      <c r="F23" s="11"/>
      <c r="G23" s="11">
        <f t="shared" si="0"/>
        <v>0</v>
      </c>
      <c r="H23" s="17">
        <f t="shared" si="1"/>
        <v>0</v>
      </c>
      <c r="I23" s="16">
        <f t="shared" si="2"/>
        <v>0</v>
      </c>
      <c r="J23" s="16"/>
    </row>
    <row r="24" spans="1:10" x14ac:dyDescent="0.25">
      <c r="A24" s="1" t="s">
        <v>16</v>
      </c>
      <c r="B24" s="1" t="s">
        <v>22</v>
      </c>
      <c r="C24" s="11"/>
      <c r="D24" s="11"/>
      <c r="E24" s="11"/>
      <c r="F24" s="11"/>
      <c r="G24" s="11">
        <f t="shared" si="0"/>
        <v>0</v>
      </c>
      <c r="H24" s="17">
        <f t="shared" si="1"/>
        <v>0</v>
      </c>
      <c r="I24" s="16">
        <f t="shared" si="2"/>
        <v>0</v>
      </c>
      <c r="J24" s="16"/>
    </row>
    <row r="25" spans="1:10" x14ac:dyDescent="0.25">
      <c r="A25" s="1" t="s">
        <v>16</v>
      </c>
      <c r="B25" s="1" t="s">
        <v>39</v>
      </c>
      <c r="C25" s="11"/>
      <c r="D25" s="11"/>
      <c r="E25" s="11"/>
      <c r="F25" s="11"/>
      <c r="G25" s="11">
        <f t="shared" si="0"/>
        <v>0</v>
      </c>
      <c r="H25" s="17">
        <f t="shared" si="1"/>
        <v>0</v>
      </c>
      <c r="I25" s="16">
        <f t="shared" si="2"/>
        <v>0</v>
      </c>
      <c r="J25" s="16"/>
    </row>
    <row r="26" spans="1:10" x14ac:dyDescent="0.25">
      <c r="A26" s="1" t="s">
        <v>16</v>
      </c>
      <c r="B26" s="1" t="s">
        <v>40</v>
      </c>
      <c r="C26" s="11"/>
      <c r="D26" s="11"/>
      <c r="E26" s="11"/>
      <c r="F26" s="11"/>
      <c r="G26" s="11">
        <f t="shared" si="0"/>
        <v>0</v>
      </c>
      <c r="H26" s="17">
        <f t="shared" si="1"/>
        <v>0</v>
      </c>
      <c r="I26" s="16">
        <f t="shared" si="2"/>
        <v>0</v>
      </c>
      <c r="J26" s="16"/>
    </row>
    <row r="27" spans="1:10" x14ac:dyDescent="0.25">
      <c r="A27" s="1" t="s">
        <v>16</v>
      </c>
      <c r="B27" s="1" t="s">
        <v>30</v>
      </c>
      <c r="C27" s="11"/>
      <c r="D27" s="11"/>
      <c r="E27" s="11"/>
      <c r="F27" s="11"/>
      <c r="G27" s="11">
        <f t="shared" si="0"/>
        <v>0</v>
      </c>
      <c r="H27" s="17">
        <f t="shared" si="1"/>
        <v>0</v>
      </c>
      <c r="I27" s="16">
        <f t="shared" si="2"/>
        <v>0</v>
      </c>
      <c r="J27" s="16"/>
    </row>
    <row r="28" spans="1:10" x14ac:dyDescent="0.25">
      <c r="A28" s="1" t="s">
        <v>16</v>
      </c>
      <c r="B28" s="1" t="s">
        <v>31</v>
      </c>
      <c r="C28" s="11"/>
      <c r="D28" s="11"/>
      <c r="E28" s="11"/>
      <c r="F28" s="11"/>
      <c r="G28" s="11">
        <f t="shared" si="0"/>
        <v>0</v>
      </c>
      <c r="H28" s="17">
        <f t="shared" si="1"/>
        <v>0</v>
      </c>
      <c r="I28" s="16">
        <f t="shared" si="2"/>
        <v>0</v>
      </c>
      <c r="J28" s="16"/>
    </row>
    <row r="29" spans="1:10" x14ac:dyDescent="0.25">
      <c r="A29" s="1" t="s">
        <v>16</v>
      </c>
      <c r="B29" s="1" t="s">
        <v>32</v>
      </c>
      <c r="C29" s="11"/>
      <c r="D29" s="11"/>
      <c r="E29" s="11"/>
      <c r="F29" s="11"/>
      <c r="G29" s="11">
        <f t="shared" si="0"/>
        <v>0</v>
      </c>
      <c r="H29" s="17">
        <f t="shared" si="1"/>
        <v>0</v>
      </c>
      <c r="I29" s="16">
        <f t="shared" si="2"/>
        <v>0</v>
      </c>
      <c r="J29" s="16"/>
    </row>
    <row r="30" spans="1:10" x14ac:dyDescent="0.25">
      <c r="A30" s="1" t="s">
        <v>16</v>
      </c>
      <c r="B30" s="1" t="s">
        <v>34</v>
      </c>
      <c r="C30" s="11"/>
      <c r="D30" s="11"/>
      <c r="E30" s="11"/>
      <c r="F30" s="11"/>
      <c r="G30" s="11">
        <f t="shared" si="0"/>
        <v>0</v>
      </c>
      <c r="H30" s="17">
        <f t="shared" si="1"/>
        <v>0</v>
      </c>
      <c r="I30" s="16">
        <f t="shared" si="2"/>
        <v>0</v>
      </c>
      <c r="J30" s="16"/>
    </row>
    <row r="31" spans="1:10" x14ac:dyDescent="0.25">
      <c r="A31" s="1" t="s">
        <v>16</v>
      </c>
      <c r="B31" s="1" t="s">
        <v>36</v>
      </c>
      <c r="C31" s="11"/>
      <c r="D31" s="11"/>
      <c r="E31" s="11"/>
      <c r="F31" s="11"/>
      <c r="G31" s="11">
        <f t="shared" si="0"/>
        <v>0</v>
      </c>
      <c r="H31" s="17">
        <f t="shared" si="1"/>
        <v>0</v>
      </c>
      <c r="I31" s="16">
        <f t="shared" si="2"/>
        <v>0</v>
      </c>
      <c r="J31" s="16"/>
    </row>
    <row r="32" spans="1:10" x14ac:dyDescent="0.25">
      <c r="A32" s="1" t="s">
        <v>44</v>
      </c>
      <c r="B32" s="1" t="s">
        <v>45</v>
      </c>
      <c r="C32" s="11">
        <v>20640</v>
      </c>
      <c r="D32" s="11"/>
      <c r="E32" s="11"/>
      <c r="F32" s="11"/>
      <c r="G32" s="11">
        <f t="shared" si="0"/>
        <v>20640</v>
      </c>
      <c r="H32" s="17">
        <f t="shared" si="1"/>
        <v>38.94</v>
      </c>
      <c r="I32" s="16">
        <f t="shared" si="2"/>
        <v>0.249</v>
      </c>
      <c r="J32" s="16">
        <f>ROUND(G32/19780-1,2)</f>
        <v>0.04</v>
      </c>
    </row>
    <row r="33" spans="1:10" x14ac:dyDescent="0.25">
      <c r="A33" s="1" t="s">
        <v>44</v>
      </c>
      <c r="B33" s="1" t="s">
        <v>47</v>
      </c>
      <c r="C33" s="11"/>
      <c r="D33" s="11"/>
      <c r="E33" s="11"/>
      <c r="F33" s="11">
        <v>7300</v>
      </c>
      <c r="G33" s="11">
        <f t="shared" si="0"/>
        <v>7300</v>
      </c>
      <c r="H33" s="17">
        <f t="shared" si="1"/>
        <v>13.77</v>
      </c>
      <c r="I33" s="16">
        <f t="shared" si="2"/>
        <v>8.7999999999999995E-2</v>
      </c>
      <c r="J33" s="16">
        <f>ROUND(G33/6765-1,2)</f>
        <v>0.08</v>
      </c>
    </row>
    <row r="34" spans="1:10" x14ac:dyDescent="0.25">
      <c r="A34" s="1" t="s">
        <v>44</v>
      </c>
      <c r="B34" s="1" t="s">
        <v>46</v>
      </c>
      <c r="C34" s="11"/>
      <c r="D34" s="11"/>
      <c r="E34" s="11">
        <v>3816</v>
      </c>
      <c r="F34" s="11"/>
      <c r="G34" s="11">
        <f t="shared" si="0"/>
        <v>3816</v>
      </c>
      <c r="H34" s="17">
        <f t="shared" si="1"/>
        <v>7.2</v>
      </c>
      <c r="I34" s="16">
        <f t="shared" si="2"/>
        <v>4.5999999999999999E-2</v>
      </c>
      <c r="J34" s="16">
        <f>ROUND(G34/1953.92-1,2)</f>
        <v>0.95</v>
      </c>
    </row>
    <row r="35" spans="1:10" x14ac:dyDescent="0.25">
      <c r="A35" s="1" t="s">
        <v>48</v>
      </c>
      <c r="B35" s="1" t="s">
        <v>51</v>
      </c>
      <c r="C35" s="11"/>
      <c r="D35" s="11"/>
      <c r="E35" s="11"/>
      <c r="F35" s="11"/>
      <c r="G35" s="11">
        <f t="shared" si="0"/>
        <v>0</v>
      </c>
      <c r="H35" s="17">
        <f t="shared" si="1"/>
        <v>0</v>
      </c>
      <c r="I35" s="16">
        <f t="shared" si="2"/>
        <v>0</v>
      </c>
      <c r="J35" s="16"/>
    </row>
    <row r="36" spans="1:10" x14ac:dyDescent="0.25">
      <c r="A36" s="21" t="s">
        <v>12</v>
      </c>
      <c r="B36" s="21"/>
      <c r="C36" s="12">
        <f t="shared" ref="C36:H36" si="3">SUM(C8:C35)</f>
        <v>52800</v>
      </c>
      <c r="D36" s="12">
        <f t="shared" si="3"/>
        <v>0</v>
      </c>
      <c r="E36" s="12">
        <f t="shared" si="3"/>
        <v>22779</v>
      </c>
      <c r="F36" s="12">
        <f t="shared" si="3"/>
        <v>7300</v>
      </c>
      <c r="G36" s="12">
        <f t="shared" si="3"/>
        <v>82879</v>
      </c>
      <c r="H36" s="15">
        <f t="shared" si="3"/>
        <v>156.35999999999999</v>
      </c>
      <c r="I36" s="18"/>
      <c r="J36" s="18"/>
    </row>
    <row r="37" spans="1:10" x14ac:dyDescent="0.25">
      <c r="A37" s="21" t="s">
        <v>14</v>
      </c>
      <c r="B37" s="21"/>
      <c r="C37" s="13">
        <f>ROUND(C36/G36,2)</f>
        <v>0.64</v>
      </c>
      <c r="D37" s="13">
        <f>ROUND(D36/G36,2)</f>
        <v>0</v>
      </c>
      <c r="E37" s="13">
        <f>ROUND(E36/G36,2)</f>
        <v>0.27</v>
      </c>
      <c r="F37" s="13">
        <f>ROUND(F36/G36,2)</f>
        <v>0.09</v>
      </c>
      <c r="G37" s="14"/>
      <c r="H37" s="14"/>
      <c r="I37" s="18"/>
      <c r="J37" s="18"/>
    </row>
    <row r="38" spans="1:10" x14ac:dyDescent="0.25">
      <c r="A38" s="2" t="s">
        <v>52</v>
      </c>
      <c r="B38" s="2"/>
      <c r="C38" s="14"/>
      <c r="D38" s="14"/>
      <c r="E38" s="14"/>
      <c r="F38" s="14"/>
      <c r="G38" s="14"/>
      <c r="H38" s="14"/>
      <c r="I38" s="18"/>
      <c r="J38" s="18"/>
    </row>
    <row r="39" spans="1:10" x14ac:dyDescent="0.25">
      <c r="C39" s="9"/>
      <c r="D39" s="9"/>
      <c r="E39" s="9"/>
      <c r="F39" s="9"/>
      <c r="G39" s="9"/>
      <c r="H39" s="9"/>
      <c r="I39" s="10"/>
      <c r="J39" s="10"/>
    </row>
    <row r="40" spans="1:10" x14ac:dyDescent="0.25">
      <c r="C40" s="9"/>
      <c r="D40" s="9"/>
      <c r="E40" s="9"/>
      <c r="F40" s="9"/>
      <c r="G40" s="9"/>
      <c r="H40" s="9"/>
      <c r="I40" s="10"/>
      <c r="J40" s="10"/>
    </row>
    <row r="41" spans="1:10" x14ac:dyDescent="0.25">
      <c r="C41" s="9"/>
      <c r="D41" s="9"/>
      <c r="E41" s="9"/>
      <c r="F41" s="9"/>
      <c r="G41" s="9"/>
      <c r="H41" s="9"/>
      <c r="I41" s="10"/>
      <c r="J41" s="10"/>
    </row>
    <row r="42" spans="1:10" x14ac:dyDescent="0.25">
      <c r="A42" s="21" t="s">
        <v>53</v>
      </c>
      <c r="B42" s="21"/>
      <c r="C42" s="12" t="s">
        <v>8</v>
      </c>
      <c r="D42" s="12" t="s">
        <v>9</v>
      </c>
      <c r="E42" s="12" t="s">
        <v>10</v>
      </c>
      <c r="F42" s="12" t="s">
        <v>11</v>
      </c>
      <c r="G42" s="12" t="s">
        <v>12</v>
      </c>
      <c r="H42" s="15" t="s">
        <v>13</v>
      </c>
      <c r="I42" s="18"/>
      <c r="J42" s="18"/>
    </row>
    <row r="43" spans="1:10" x14ac:dyDescent="0.25">
      <c r="A43" s="20" t="s">
        <v>54</v>
      </c>
      <c r="B43" s="20"/>
      <c r="C43" s="11">
        <v>32160</v>
      </c>
      <c r="D43" s="11">
        <v>0</v>
      </c>
      <c r="E43" s="11">
        <v>18963</v>
      </c>
      <c r="F43" s="11">
        <v>0</v>
      </c>
      <c r="G43" s="11">
        <f>SUM(C43:F43)</f>
        <v>51123</v>
      </c>
      <c r="H43" s="17">
        <f>ROUND(G43/530,2)</f>
        <v>96.46</v>
      </c>
      <c r="I43" s="10"/>
      <c r="J43" s="10"/>
    </row>
    <row r="44" spans="1:10" x14ac:dyDescent="0.25">
      <c r="A44" s="20" t="s">
        <v>55</v>
      </c>
      <c r="B44" s="20"/>
      <c r="C44" s="11">
        <v>20640</v>
      </c>
      <c r="D44" s="11">
        <v>0</v>
      </c>
      <c r="E44" s="11">
        <v>3816</v>
      </c>
      <c r="F44" s="11">
        <v>7300</v>
      </c>
      <c r="G44" s="11">
        <f>SUM(C44:F44)</f>
        <v>31756</v>
      </c>
      <c r="H44" s="17">
        <f>ROUND(G44/530,2)</f>
        <v>59.92</v>
      </c>
      <c r="I44" s="10"/>
      <c r="J44" s="10"/>
    </row>
    <row r="45" spans="1:10" x14ac:dyDescent="0.25">
      <c r="A45" s="20" t="s">
        <v>56</v>
      </c>
      <c r="B45" s="20"/>
      <c r="C45" s="11">
        <v>0</v>
      </c>
      <c r="D45" s="11">
        <v>0</v>
      </c>
      <c r="E45" s="11">
        <v>0</v>
      </c>
      <c r="F45" s="11">
        <v>0</v>
      </c>
      <c r="G45" s="11">
        <f>SUM(C45:F45)</f>
        <v>0</v>
      </c>
      <c r="H45" s="17">
        <f>ROUND(G45/530,2)</f>
        <v>0</v>
      </c>
      <c r="I45" s="10"/>
      <c r="J45" s="10"/>
    </row>
    <row r="46" spans="1:10" x14ac:dyDescent="0.25">
      <c r="C46" s="9"/>
      <c r="D46" s="9"/>
      <c r="E46" s="9"/>
      <c r="F46" s="9"/>
      <c r="G46" s="9"/>
      <c r="H46" s="9"/>
      <c r="I46" s="10"/>
      <c r="J46" s="10"/>
    </row>
    <row r="47" spans="1:10" x14ac:dyDescent="0.25">
      <c r="C47" s="9"/>
      <c r="D47" s="9"/>
      <c r="E47" s="9"/>
      <c r="F47" s="9"/>
      <c r="G47" s="9"/>
      <c r="H47" s="9"/>
      <c r="I47" s="10"/>
      <c r="J47" s="10"/>
    </row>
    <row r="48" spans="1:10" x14ac:dyDescent="0.25">
      <c r="C48" s="9"/>
      <c r="D48" s="9"/>
      <c r="E48" s="9"/>
      <c r="F48" s="9"/>
      <c r="G48" s="9"/>
      <c r="H48" s="9"/>
      <c r="I48" s="10"/>
      <c r="J48" s="10"/>
    </row>
    <row r="49" spans="1:10" x14ac:dyDescent="0.25">
      <c r="C49" s="9"/>
      <c r="D49" s="9"/>
      <c r="E49" s="9"/>
      <c r="F49" s="9"/>
      <c r="G49" s="9"/>
      <c r="H49" s="9"/>
      <c r="I49" s="10"/>
      <c r="J49" s="10"/>
    </row>
    <row r="50" spans="1:10" x14ac:dyDescent="0.25">
      <c r="A50" s="21" t="s">
        <v>57</v>
      </c>
      <c r="B50" s="21"/>
      <c r="C50" s="15" t="s">
        <v>2</v>
      </c>
      <c r="D50" s="15">
        <v>2023</v>
      </c>
      <c r="E50" s="15" t="s">
        <v>59</v>
      </c>
      <c r="F50" s="14"/>
      <c r="G50" s="15" t="s">
        <v>60</v>
      </c>
      <c r="H50" s="15" t="s">
        <v>2</v>
      </c>
      <c r="I50" s="13" t="s">
        <v>61</v>
      </c>
      <c r="J50" s="13" t="s">
        <v>59</v>
      </c>
    </row>
    <row r="51" spans="1:10" x14ac:dyDescent="0.25">
      <c r="A51" s="20" t="s">
        <v>58</v>
      </c>
      <c r="B51" s="20"/>
      <c r="C51" s="16">
        <f>ROUND(0.7053, 4)</f>
        <v>0.70530000000000004</v>
      </c>
      <c r="D51" s="16">
        <f>ROUND(0.595, 4)</f>
        <v>0.59499999999999997</v>
      </c>
      <c r="E51" s="16">
        <f>ROUND(0.777, 4)</f>
        <v>0.77700000000000002</v>
      </c>
      <c r="F51" s="9"/>
      <c r="G51" s="15" t="s">
        <v>62</v>
      </c>
      <c r="H51" s="22" t="s">
        <v>63</v>
      </c>
      <c r="I51" s="24" t="s">
        <v>64</v>
      </c>
      <c r="J51" s="24" t="s">
        <v>65</v>
      </c>
    </row>
    <row r="52" spans="1:10" x14ac:dyDescent="0.25">
      <c r="A52" s="20" t="s">
        <v>66</v>
      </c>
      <c r="B52" s="20"/>
      <c r="C52" s="16">
        <f>ROUND(0.6701, 4)</f>
        <v>0.67010000000000003</v>
      </c>
      <c r="D52" s="16">
        <f>ROUND(0.5522, 4)</f>
        <v>0.55220000000000002</v>
      </c>
      <c r="E52" s="16">
        <f>ROUND(0.7608, 4)</f>
        <v>0.76080000000000003</v>
      </c>
      <c r="F52" s="9"/>
      <c r="G52" s="15" t="s">
        <v>67</v>
      </c>
      <c r="H52" s="23"/>
      <c r="I52" s="25"/>
      <c r="J52" s="25"/>
    </row>
    <row r="53" spans="1:10" x14ac:dyDescent="0.25">
      <c r="C53" s="9"/>
      <c r="D53" s="9"/>
      <c r="E53" s="9"/>
      <c r="F53" s="9"/>
      <c r="G53" s="9"/>
      <c r="H53" s="9"/>
      <c r="I53" s="10"/>
      <c r="J53" s="10"/>
    </row>
    <row r="54" spans="1:10" x14ac:dyDescent="0.25">
      <c r="C54" s="9"/>
      <c r="D54" s="9"/>
      <c r="E54" s="9"/>
      <c r="F54" s="9"/>
      <c r="G54" s="9"/>
      <c r="H54" s="9"/>
      <c r="I54" s="10"/>
      <c r="J54" s="10"/>
    </row>
    <row r="55" spans="1:10" x14ac:dyDescent="0.25">
      <c r="C55" s="9"/>
      <c r="D55" s="9"/>
      <c r="E55" s="9"/>
      <c r="F55" s="9"/>
      <c r="G55" s="9"/>
      <c r="H55" s="9"/>
      <c r="I55" s="10"/>
      <c r="J55" s="10"/>
    </row>
    <row r="56" spans="1:10" x14ac:dyDescent="0.25">
      <c r="A56" s="21" t="s">
        <v>68</v>
      </c>
      <c r="B56" s="21"/>
      <c r="C56" s="15" t="s">
        <v>2</v>
      </c>
      <c r="D56" s="15" t="s">
        <v>179</v>
      </c>
      <c r="E56" s="15" t="s">
        <v>70</v>
      </c>
      <c r="F56" s="15" t="s">
        <v>71</v>
      </c>
      <c r="G56" s="15" t="s">
        <v>72</v>
      </c>
      <c r="H56" s="14"/>
      <c r="I56" s="18"/>
      <c r="J56" s="18"/>
    </row>
    <row r="57" spans="1:10" x14ac:dyDescent="0.25">
      <c r="A57" s="20" t="s">
        <v>73</v>
      </c>
      <c r="B57" s="20"/>
      <c r="C57" s="17">
        <v>38.94</v>
      </c>
      <c r="D57" s="17">
        <v>97.51</v>
      </c>
      <c r="E57" s="17">
        <v>81.84</v>
      </c>
      <c r="F57" s="17">
        <v>48</v>
      </c>
      <c r="G57" s="17">
        <f>12/4*C57</f>
        <v>116.82</v>
      </c>
      <c r="H57" s="9"/>
      <c r="I57" s="10"/>
      <c r="J57" s="10"/>
    </row>
    <row r="58" spans="1:10" x14ac:dyDescent="0.25">
      <c r="A58" s="20" t="s">
        <v>74</v>
      </c>
      <c r="B58" s="20"/>
      <c r="C58" s="17">
        <v>14</v>
      </c>
      <c r="D58" s="17">
        <v>43.96</v>
      </c>
      <c r="E58" s="17">
        <v>55.63</v>
      </c>
      <c r="F58" s="17">
        <v>55.33</v>
      </c>
      <c r="G58" s="17">
        <f>12/4*C58</f>
        <v>42</v>
      </c>
      <c r="H58" s="9"/>
      <c r="I58" s="10"/>
      <c r="J58" s="10"/>
    </row>
    <row r="59" spans="1:10" x14ac:dyDescent="0.25">
      <c r="A59" s="20" t="s">
        <v>75</v>
      </c>
      <c r="B59" s="20"/>
      <c r="C59" s="17">
        <v>96.46</v>
      </c>
      <c r="D59" s="17">
        <v>213.41</v>
      </c>
      <c r="E59" s="17">
        <v>257.88</v>
      </c>
      <c r="F59" s="17">
        <v>242.78</v>
      </c>
      <c r="G59" s="17">
        <f>12/4*C59</f>
        <v>289.38</v>
      </c>
      <c r="H59" s="9"/>
      <c r="I59" s="10"/>
      <c r="J59" s="10"/>
    </row>
    <row r="60" spans="1:10" x14ac:dyDescent="0.25">
      <c r="A60" s="20" t="s">
        <v>76</v>
      </c>
      <c r="B60" s="20"/>
      <c r="C60" s="17">
        <v>59.92</v>
      </c>
      <c r="D60" s="17">
        <v>126.97</v>
      </c>
      <c r="E60" s="17">
        <v>103.14</v>
      </c>
      <c r="F60" s="17">
        <v>68.31</v>
      </c>
      <c r="G60" s="17">
        <f>12/4*C60</f>
        <v>179.76</v>
      </c>
      <c r="H60" s="9"/>
      <c r="I60" s="10"/>
      <c r="J60" s="10"/>
    </row>
    <row r="61" spans="1:10" x14ac:dyDescent="0.25">
      <c r="C61" s="9"/>
      <c r="D61" s="9"/>
      <c r="E61" s="9"/>
      <c r="F61" s="9"/>
      <c r="G61" s="9"/>
      <c r="H61" s="9"/>
      <c r="I61" s="10"/>
      <c r="J61" s="10"/>
    </row>
    <row r="62" spans="1:10" x14ac:dyDescent="0.25">
      <c r="C62" s="9"/>
      <c r="D62" s="9"/>
      <c r="E62" s="9"/>
      <c r="F62" s="9"/>
      <c r="G62" s="9"/>
      <c r="H62" s="9"/>
      <c r="I62" s="10"/>
      <c r="J62" s="10"/>
    </row>
    <row r="63" spans="1:10" x14ac:dyDescent="0.25">
      <c r="A63" s="19" t="s">
        <v>60</v>
      </c>
      <c r="B63" s="26"/>
      <c r="C63" s="9"/>
      <c r="D63" s="9"/>
      <c r="E63" s="9"/>
      <c r="F63" s="9"/>
      <c r="G63" s="9"/>
      <c r="H63" s="9"/>
      <c r="I63" s="10"/>
      <c r="J63" s="10"/>
    </row>
    <row r="64" spans="1:10" x14ac:dyDescent="0.25">
      <c r="A64" s="3" t="s">
        <v>77</v>
      </c>
      <c r="B64" s="1" t="s">
        <v>180</v>
      </c>
      <c r="C64" s="9"/>
      <c r="D64" s="9"/>
      <c r="E64" s="9"/>
      <c r="F64" s="9"/>
      <c r="G64" s="9"/>
      <c r="H64" s="9"/>
      <c r="I64" s="10"/>
      <c r="J64" s="10"/>
    </row>
    <row r="65" spans="1:10" x14ac:dyDescent="0.25">
      <c r="A65" s="3" t="s">
        <v>70</v>
      </c>
      <c r="B65" s="1" t="s">
        <v>79</v>
      </c>
      <c r="C65" s="9"/>
      <c r="D65" s="9"/>
      <c r="E65" s="9"/>
      <c r="F65" s="9"/>
      <c r="G65" s="9"/>
      <c r="H65" s="9"/>
      <c r="I65" s="10"/>
      <c r="J65" s="10"/>
    </row>
    <row r="66" spans="1:10" x14ac:dyDescent="0.25">
      <c r="A66" s="3" t="s">
        <v>71</v>
      </c>
      <c r="B66" s="1" t="s">
        <v>80</v>
      </c>
      <c r="C66" s="9"/>
      <c r="D66" s="9"/>
      <c r="E66" s="9"/>
      <c r="F66" s="9"/>
      <c r="G66" s="9"/>
      <c r="H66" s="9"/>
      <c r="I66" s="10"/>
      <c r="J66" s="10"/>
    </row>
    <row r="67" spans="1:10" x14ac:dyDescent="0.25">
      <c r="A67" s="3" t="s">
        <v>72</v>
      </c>
      <c r="B67" s="1" t="s">
        <v>81</v>
      </c>
      <c r="C67" s="9"/>
      <c r="D67" s="9"/>
      <c r="E67" s="9"/>
      <c r="F67" s="9"/>
      <c r="G67" s="9"/>
      <c r="H67" s="9"/>
      <c r="I67" s="10"/>
      <c r="J67" s="10"/>
    </row>
    <row r="68" spans="1:10" x14ac:dyDescent="0.25">
      <c r="C68" s="9"/>
      <c r="D68" s="9"/>
      <c r="E68" s="9"/>
      <c r="F68" s="9"/>
      <c r="G68" s="9"/>
      <c r="H68" s="9"/>
      <c r="I68" s="10"/>
      <c r="J68" s="10"/>
    </row>
    <row r="69" spans="1:10" x14ac:dyDescent="0.25">
      <c r="C69" s="9"/>
      <c r="D69" s="9"/>
      <c r="E69" s="9"/>
      <c r="F69" s="9"/>
      <c r="G69" s="9"/>
      <c r="H69" s="9"/>
      <c r="I69" s="10"/>
      <c r="J69" s="10"/>
    </row>
    <row r="70" spans="1:10" x14ac:dyDescent="0.25">
      <c r="C70" s="9"/>
      <c r="D70" s="9"/>
      <c r="E70" s="9"/>
      <c r="F70" s="9"/>
      <c r="G70" s="9"/>
      <c r="H70" s="9"/>
      <c r="I70" s="10"/>
      <c r="J70" s="10"/>
    </row>
    <row r="71" spans="1:10" x14ac:dyDescent="0.25">
      <c r="C71" s="9"/>
      <c r="D71" s="9"/>
      <c r="E71" s="9"/>
      <c r="F71" s="9"/>
      <c r="G71" s="9"/>
      <c r="H71" s="9"/>
      <c r="I71" s="10"/>
      <c r="J71" s="10"/>
    </row>
    <row r="72" spans="1:10" x14ac:dyDescent="0.25">
      <c r="C72" s="9"/>
      <c r="D72" s="9"/>
      <c r="E72" s="9"/>
      <c r="F72" s="9"/>
      <c r="G72" s="9"/>
      <c r="H72" s="9"/>
      <c r="I72" s="10"/>
      <c r="J72" s="10"/>
    </row>
    <row r="73" spans="1:10" x14ac:dyDescent="0.25">
      <c r="C73" s="9"/>
      <c r="D73" s="9"/>
      <c r="E73" s="9"/>
      <c r="F73" s="9"/>
      <c r="G73" s="9"/>
      <c r="H73" s="9"/>
      <c r="I73" s="10"/>
      <c r="J73" s="10"/>
    </row>
    <row r="74" spans="1:10" x14ac:dyDescent="0.25">
      <c r="C74" s="9"/>
      <c r="D74" s="9"/>
      <c r="E74" s="9"/>
      <c r="F74" s="9"/>
      <c r="G74" s="9"/>
      <c r="H74" s="9"/>
      <c r="I74" s="10"/>
      <c r="J74" s="10"/>
    </row>
    <row r="75" spans="1:10" x14ac:dyDescent="0.25">
      <c r="C75" s="9"/>
      <c r="D75" s="9"/>
      <c r="E75" s="9"/>
      <c r="F75" s="9"/>
      <c r="G75" s="9"/>
      <c r="H75" s="9"/>
      <c r="I75" s="10"/>
      <c r="J75" s="10"/>
    </row>
    <row r="76" spans="1:10" x14ac:dyDescent="0.25">
      <c r="C76" s="9"/>
      <c r="D76" s="9"/>
      <c r="E76" s="9"/>
      <c r="F76" s="9"/>
      <c r="G76" s="9"/>
      <c r="H76" s="9"/>
      <c r="I76" s="10"/>
      <c r="J76" s="10"/>
    </row>
    <row r="77" spans="1:10" x14ac:dyDescent="0.25">
      <c r="C77" s="9"/>
      <c r="D77" s="9"/>
      <c r="E77" s="9"/>
      <c r="F77" s="9"/>
      <c r="G77" s="9"/>
      <c r="H77" s="9"/>
      <c r="I77" s="10"/>
      <c r="J77" s="10"/>
    </row>
    <row r="78" spans="1:10" x14ac:dyDescent="0.25">
      <c r="C78" s="9"/>
      <c r="D78" s="9"/>
      <c r="E78" s="9"/>
      <c r="F78" s="9"/>
      <c r="G78" s="9"/>
      <c r="H78" s="9"/>
      <c r="I78" s="10"/>
      <c r="J78" s="10"/>
    </row>
    <row r="79" spans="1:10" x14ac:dyDescent="0.25">
      <c r="C79" s="9"/>
      <c r="D79" s="9"/>
      <c r="E79" s="9"/>
      <c r="F79" s="9"/>
      <c r="G79" s="9"/>
      <c r="H79" s="9"/>
      <c r="I79" s="10"/>
      <c r="J79" s="10"/>
    </row>
  </sheetData>
  <mergeCells count="19">
    <mergeCell ref="A58:B58"/>
    <mergeCell ref="A59:B59"/>
    <mergeCell ref="A60:B60"/>
    <mergeCell ref="A63:B63"/>
    <mergeCell ref="I51:I52"/>
    <mergeCell ref="J51:J52"/>
    <mergeCell ref="A52:B52"/>
    <mergeCell ref="A56:B56"/>
    <mergeCell ref="A57:B57"/>
    <mergeCell ref="A44:B44"/>
    <mergeCell ref="A45:B45"/>
    <mergeCell ref="A50:B50"/>
    <mergeCell ref="A51:B51"/>
    <mergeCell ref="H51:H52"/>
    <mergeCell ref="C7:G7"/>
    <mergeCell ref="A36:B36"/>
    <mergeCell ref="A37:B37"/>
    <mergeCell ref="A42:B42"/>
    <mergeCell ref="A43:B43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2:J79"/>
  <sheetViews>
    <sheetView workbookViewId="0">
      <selection activeCell="C9" sqref="C9:J68"/>
    </sheetView>
  </sheetViews>
  <sheetFormatPr defaultRowHeight="15" x14ac:dyDescent="0.25"/>
  <cols>
    <col min="1" max="1" width="38.85546875" bestFit="1" customWidth="1"/>
    <col min="2" max="2" width="79" bestFit="1" customWidth="1"/>
    <col min="3" max="3" width="14" bestFit="1" customWidth="1"/>
    <col min="4" max="4" width="35.28515625" bestFit="1" customWidth="1"/>
    <col min="5" max="5" width="16.42578125" bestFit="1" customWidth="1"/>
    <col min="6" max="6" width="10.5703125" bestFit="1" customWidth="1"/>
    <col min="7" max="7" width="68.28515625" bestFit="1" customWidth="1"/>
    <col min="8" max="9" width="20" bestFit="1" customWidth="1"/>
    <col min="10" max="10" width="30.5703125" bestFit="1" customWidth="1"/>
  </cols>
  <sheetData>
    <row r="2" spans="1:10" ht="18.75" x14ac:dyDescent="0.3">
      <c r="A2" s="3" t="s">
        <v>0</v>
      </c>
      <c r="B2" s="4" t="s">
        <v>181</v>
      </c>
    </row>
    <row r="3" spans="1:10" x14ac:dyDescent="0.25">
      <c r="A3" s="3" t="s">
        <v>2</v>
      </c>
      <c r="B3" s="1" t="s">
        <v>3</v>
      </c>
    </row>
    <row r="4" spans="1:10" x14ac:dyDescent="0.25">
      <c r="A4" s="3" t="s">
        <v>4</v>
      </c>
      <c r="B4" s="1">
        <v>10520</v>
      </c>
    </row>
    <row r="7" spans="1:10" x14ac:dyDescent="0.25">
      <c r="C7" s="19" t="s">
        <v>5</v>
      </c>
      <c r="D7" s="20"/>
      <c r="E7" s="20"/>
      <c r="F7" s="20"/>
      <c r="G7" s="20"/>
    </row>
    <row r="8" spans="1:10" x14ac:dyDescent="0.25">
      <c r="A8" s="3" t="s">
        <v>6</v>
      </c>
      <c r="B8" s="3" t="s">
        <v>7</v>
      </c>
      <c r="C8" s="3" t="s">
        <v>8</v>
      </c>
      <c r="D8" s="3" t="s">
        <v>9</v>
      </c>
      <c r="E8" s="3" t="s">
        <v>10</v>
      </c>
      <c r="F8" s="3" t="s">
        <v>11</v>
      </c>
      <c r="G8" s="3" t="s">
        <v>12</v>
      </c>
      <c r="H8" s="3" t="s">
        <v>13</v>
      </c>
      <c r="I8" s="3" t="s">
        <v>14</v>
      </c>
      <c r="J8" s="3" t="s">
        <v>15</v>
      </c>
    </row>
    <row r="9" spans="1:10" x14ac:dyDescent="0.25">
      <c r="A9" s="1" t="s">
        <v>16</v>
      </c>
      <c r="B9" s="1" t="s">
        <v>17</v>
      </c>
      <c r="C9" s="11"/>
      <c r="D9" s="11"/>
      <c r="E9" s="11">
        <v>68</v>
      </c>
      <c r="F9" s="11"/>
      <c r="G9" s="11">
        <f t="shared" ref="G9:G47" si="0">SUM(C9:F9)</f>
        <v>68</v>
      </c>
      <c r="H9" s="17">
        <f t="shared" ref="H9:H47" si="1">ROUND(G9/10520,2)</f>
        <v>0.01</v>
      </c>
      <c r="I9" s="16">
        <f t="shared" ref="I9:I47" si="2">ROUND(G9/$G$48,3)</f>
        <v>0</v>
      </c>
      <c r="J9" s="16">
        <f>ROUND(G9/80-1,2)</f>
        <v>-0.15</v>
      </c>
    </row>
    <row r="10" spans="1:10" x14ac:dyDescent="0.25">
      <c r="A10" s="1" t="s">
        <v>16</v>
      </c>
      <c r="B10" s="1" t="s">
        <v>18</v>
      </c>
      <c r="C10" s="11"/>
      <c r="D10" s="11"/>
      <c r="E10" s="11">
        <v>12900</v>
      </c>
      <c r="F10" s="11">
        <v>9040</v>
      </c>
      <c r="G10" s="11">
        <f t="shared" si="0"/>
        <v>21940</v>
      </c>
      <c r="H10" s="17">
        <f t="shared" si="1"/>
        <v>2.09</v>
      </c>
      <c r="I10" s="16">
        <f t="shared" si="2"/>
        <v>1.6E-2</v>
      </c>
      <c r="J10" s="16">
        <f>ROUND(G10/16600-1,2)</f>
        <v>0.32</v>
      </c>
    </row>
    <row r="11" spans="1:10" x14ac:dyDescent="0.25">
      <c r="A11" s="1" t="s">
        <v>16</v>
      </c>
      <c r="B11" s="1" t="s">
        <v>90</v>
      </c>
      <c r="C11" s="11"/>
      <c r="D11" s="11"/>
      <c r="E11" s="11">
        <v>3040</v>
      </c>
      <c r="F11" s="11">
        <v>500</v>
      </c>
      <c r="G11" s="11">
        <f t="shared" si="0"/>
        <v>3540</v>
      </c>
      <c r="H11" s="17">
        <f t="shared" si="1"/>
        <v>0.34</v>
      </c>
      <c r="I11" s="16">
        <f t="shared" si="2"/>
        <v>3.0000000000000001E-3</v>
      </c>
      <c r="J11" s="16">
        <f>ROUND(G11/2060-1,2)</f>
        <v>0.72</v>
      </c>
    </row>
    <row r="12" spans="1:10" x14ac:dyDescent="0.25">
      <c r="A12" s="1" t="s">
        <v>16</v>
      </c>
      <c r="B12" s="1" t="s">
        <v>19</v>
      </c>
      <c r="C12" s="11">
        <v>127350</v>
      </c>
      <c r="D12" s="11"/>
      <c r="E12" s="11"/>
      <c r="F12" s="11">
        <v>830</v>
      </c>
      <c r="G12" s="11">
        <f t="shared" si="0"/>
        <v>128180</v>
      </c>
      <c r="H12" s="17">
        <f t="shared" si="1"/>
        <v>12.18</v>
      </c>
      <c r="I12" s="16">
        <f t="shared" si="2"/>
        <v>9.4E-2</v>
      </c>
      <c r="J12" s="16">
        <f>ROUND(G12/109080-1,2)</f>
        <v>0.18</v>
      </c>
    </row>
    <row r="13" spans="1:10" x14ac:dyDescent="0.25">
      <c r="A13" s="1" t="s">
        <v>16</v>
      </c>
      <c r="B13" s="1" t="s">
        <v>20</v>
      </c>
      <c r="C13" s="11">
        <v>146650</v>
      </c>
      <c r="D13" s="11"/>
      <c r="E13" s="11"/>
      <c r="F13" s="11">
        <v>360</v>
      </c>
      <c r="G13" s="11">
        <f t="shared" si="0"/>
        <v>147010</v>
      </c>
      <c r="H13" s="17">
        <f t="shared" si="1"/>
        <v>13.97</v>
      </c>
      <c r="I13" s="16">
        <f t="shared" si="2"/>
        <v>0.108</v>
      </c>
      <c r="J13" s="16">
        <f>ROUND(G13/150560-1,2)</f>
        <v>-0.02</v>
      </c>
    </row>
    <row r="14" spans="1:10" x14ac:dyDescent="0.25">
      <c r="A14" s="1" t="s">
        <v>16</v>
      </c>
      <c r="B14" s="1" t="s">
        <v>94</v>
      </c>
      <c r="C14" s="11"/>
      <c r="D14" s="11"/>
      <c r="E14" s="11">
        <v>91</v>
      </c>
      <c r="F14" s="11"/>
      <c r="G14" s="11">
        <f t="shared" si="0"/>
        <v>91</v>
      </c>
      <c r="H14" s="17">
        <f t="shared" si="1"/>
        <v>0.01</v>
      </c>
      <c r="I14" s="16">
        <f t="shared" si="2"/>
        <v>0</v>
      </c>
      <c r="J14" s="16">
        <f>ROUND(G14/136-1,2)</f>
        <v>-0.33</v>
      </c>
    </row>
    <row r="15" spans="1:10" x14ac:dyDescent="0.25">
      <c r="A15" s="1" t="s">
        <v>16</v>
      </c>
      <c r="B15" s="1" t="s">
        <v>21</v>
      </c>
      <c r="C15" s="11"/>
      <c r="D15" s="11"/>
      <c r="E15" s="11">
        <v>517</v>
      </c>
      <c r="F15" s="11"/>
      <c r="G15" s="11">
        <f t="shared" si="0"/>
        <v>517</v>
      </c>
      <c r="H15" s="17">
        <f t="shared" si="1"/>
        <v>0.05</v>
      </c>
      <c r="I15" s="16">
        <f t="shared" si="2"/>
        <v>0</v>
      </c>
      <c r="J15" s="16">
        <f>ROUND(G15/407-1,2)</f>
        <v>0.27</v>
      </c>
    </row>
    <row r="16" spans="1:10" x14ac:dyDescent="0.25">
      <c r="A16" s="1" t="s">
        <v>16</v>
      </c>
      <c r="B16" s="1" t="s">
        <v>23</v>
      </c>
      <c r="C16" s="11"/>
      <c r="D16" s="11"/>
      <c r="E16" s="11">
        <v>75330</v>
      </c>
      <c r="F16" s="11"/>
      <c r="G16" s="11">
        <f t="shared" si="0"/>
        <v>75330</v>
      </c>
      <c r="H16" s="17">
        <f t="shared" si="1"/>
        <v>7.16</v>
      </c>
      <c r="I16" s="16">
        <f t="shared" si="2"/>
        <v>5.5E-2</v>
      </c>
      <c r="J16" s="16">
        <f>ROUND(G16/76780-1,2)</f>
        <v>-0.02</v>
      </c>
    </row>
    <row r="17" spans="1:10" x14ac:dyDescent="0.25">
      <c r="A17" s="1" t="s">
        <v>16</v>
      </c>
      <c r="B17" s="1" t="s">
        <v>24</v>
      </c>
      <c r="C17" s="11">
        <v>196980</v>
      </c>
      <c r="D17" s="11"/>
      <c r="E17" s="11">
        <v>8420</v>
      </c>
      <c r="F17" s="11">
        <v>200</v>
      </c>
      <c r="G17" s="11">
        <f t="shared" si="0"/>
        <v>205600</v>
      </c>
      <c r="H17" s="17">
        <f t="shared" si="1"/>
        <v>19.54</v>
      </c>
      <c r="I17" s="16">
        <f t="shared" si="2"/>
        <v>0.151</v>
      </c>
      <c r="J17" s="16">
        <f>ROUND(G17/188690-1,2)</f>
        <v>0.09</v>
      </c>
    </row>
    <row r="18" spans="1:10" x14ac:dyDescent="0.25">
      <c r="A18" s="1" t="s">
        <v>16</v>
      </c>
      <c r="B18" s="1" t="s">
        <v>25</v>
      </c>
      <c r="C18" s="11"/>
      <c r="D18" s="11"/>
      <c r="E18" s="11">
        <v>8100</v>
      </c>
      <c r="F18" s="11"/>
      <c r="G18" s="11">
        <f t="shared" si="0"/>
        <v>8100</v>
      </c>
      <c r="H18" s="17">
        <f t="shared" si="1"/>
        <v>0.77</v>
      </c>
      <c r="I18" s="16">
        <f t="shared" si="2"/>
        <v>6.0000000000000001E-3</v>
      </c>
      <c r="J18" s="16">
        <f>ROUND(G18/6030-1,2)</f>
        <v>0.34</v>
      </c>
    </row>
    <row r="19" spans="1:10" x14ac:dyDescent="0.25">
      <c r="A19" s="1" t="s">
        <v>16</v>
      </c>
      <c r="B19" s="1" t="s">
        <v>26</v>
      </c>
      <c r="C19" s="11">
        <v>254170</v>
      </c>
      <c r="D19" s="11"/>
      <c r="E19" s="11"/>
      <c r="F19" s="11">
        <v>190</v>
      </c>
      <c r="G19" s="11">
        <f t="shared" si="0"/>
        <v>254360</v>
      </c>
      <c r="H19" s="17">
        <f t="shared" si="1"/>
        <v>24.18</v>
      </c>
      <c r="I19" s="16">
        <f t="shared" si="2"/>
        <v>0.187</v>
      </c>
      <c r="J19" s="16">
        <f>ROUND(G19/239100-1,2)</f>
        <v>0.06</v>
      </c>
    </row>
    <row r="20" spans="1:10" x14ac:dyDescent="0.25">
      <c r="A20" s="1" t="s">
        <v>16</v>
      </c>
      <c r="B20" s="1" t="s">
        <v>27</v>
      </c>
      <c r="C20" s="11"/>
      <c r="D20" s="11"/>
      <c r="E20" s="11">
        <v>365</v>
      </c>
      <c r="F20" s="11"/>
      <c r="G20" s="11">
        <f t="shared" si="0"/>
        <v>365</v>
      </c>
      <c r="H20" s="17">
        <f t="shared" si="1"/>
        <v>0.03</v>
      </c>
      <c r="I20" s="16">
        <f t="shared" si="2"/>
        <v>0</v>
      </c>
      <c r="J20" s="16">
        <f>ROUND(G20/189-1,2)</f>
        <v>0.93</v>
      </c>
    </row>
    <row r="21" spans="1:10" x14ac:dyDescent="0.25">
      <c r="A21" s="1" t="s">
        <v>16</v>
      </c>
      <c r="B21" s="1" t="s">
        <v>28</v>
      </c>
      <c r="C21" s="11"/>
      <c r="D21" s="11"/>
      <c r="E21" s="11">
        <v>192</v>
      </c>
      <c r="F21" s="11"/>
      <c r="G21" s="11">
        <f t="shared" si="0"/>
        <v>192</v>
      </c>
      <c r="H21" s="17">
        <f t="shared" si="1"/>
        <v>0.02</v>
      </c>
      <c r="I21" s="16">
        <f t="shared" si="2"/>
        <v>0</v>
      </c>
      <c r="J21" s="16">
        <f>ROUND(G21/240-1,2)</f>
        <v>-0.2</v>
      </c>
    </row>
    <row r="22" spans="1:10" x14ac:dyDescent="0.25">
      <c r="A22" s="1" t="s">
        <v>16</v>
      </c>
      <c r="B22" s="1" t="s">
        <v>29</v>
      </c>
      <c r="C22" s="11"/>
      <c r="D22" s="11"/>
      <c r="E22" s="11">
        <v>980</v>
      </c>
      <c r="F22" s="11"/>
      <c r="G22" s="11">
        <f t="shared" si="0"/>
        <v>980</v>
      </c>
      <c r="H22" s="17">
        <f t="shared" si="1"/>
        <v>0.09</v>
      </c>
      <c r="I22" s="16">
        <f t="shared" si="2"/>
        <v>1E-3</v>
      </c>
      <c r="J22" s="16">
        <f>ROUND(G22/930-1,2)</f>
        <v>0.05</v>
      </c>
    </row>
    <row r="23" spans="1:10" x14ac:dyDescent="0.25">
      <c r="A23" s="1" t="s">
        <v>16</v>
      </c>
      <c r="B23" s="1" t="s">
        <v>30</v>
      </c>
      <c r="C23" s="11"/>
      <c r="D23" s="11"/>
      <c r="E23" s="11">
        <v>420</v>
      </c>
      <c r="F23" s="11"/>
      <c r="G23" s="11">
        <f t="shared" si="0"/>
        <v>420</v>
      </c>
      <c r="H23" s="17">
        <f t="shared" si="1"/>
        <v>0.04</v>
      </c>
      <c r="I23" s="16">
        <f t="shared" si="2"/>
        <v>0</v>
      </c>
      <c r="J23" s="16">
        <f>ROUND(G23/450-1,2)</f>
        <v>-7.0000000000000007E-2</v>
      </c>
    </row>
    <row r="24" spans="1:10" x14ac:dyDescent="0.25">
      <c r="A24" s="1" t="s">
        <v>16</v>
      </c>
      <c r="B24" s="1" t="s">
        <v>31</v>
      </c>
      <c r="C24" s="11"/>
      <c r="D24" s="11"/>
      <c r="E24" s="11">
        <v>2915</v>
      </c>
      <c r="F24" s="11"/>
      <c r="G24" s="11">
        <f t="shared" si="0"/>
        <v>2915</v>
      </c>
      <c r="H24" s="17">
        <f t="shared" si="1"/>
        <v>0.28000000000000003</v>
      </c>
      <c r="I24" s="16">
        <f t="shared" si="2"/>
        <v>2E-3</v>
      </c>
      <c r="J24" s="16">
        <f>ROUND(G24/1575-1,2)</f>
        <v>0.85</v>
      </c>
    </row>
    <row r="25" spans="1:10" x14ac:dyDescent="0.25">
      <c r="A25" s="1" t="s">
        <v>16</v>
      </c>
      <c r="B25" s="1" t="s">
        <v>32</v>
      </c>
      <c r="C25" s="11"/>
      <c r="D25" s="11">
        <v>253</v>
      </c>
      <c r="E25" s="11"/>
      <c r="F25" s="11"/>
      <c r="G25" s="11">
        <f t="shared" si="0"/>
        <v>253</v>
      </c>
      <c r="H25" s="17">
        <f t="shared" si="1"/>
        <v>0.02</v>
      </c>
      <c r="I25" s="16">
        <f t="shared" si="2"/>
        <v>0</v>
      </c>
      <c r="J25" s="16">
        <f>ROUND(G25/443-1,2)</f>
        <v>-0.43</v>
      </c>
    </row>
    <row r="26" spans="1:10" x14ac:dyDescent="0.25">
      <c r="A26" s="1" t="s">
        <v>16</v>
      </c>
      <c r="B26" s="1" t="s">
        <v>33</v>
      </c>
      <c r="C26" s="11"/>
      <c r="D26" s="11"/>
      <c r="E26" s="11">
        <v>1710</v>
      </c>
      <c r="F26" s="11"/>
      <c r="G26" s="11">
        <f t="shared" si="0"/>
        <v>1710</v>
      </c>
      <c r="H26" s="17">
        <f t="shared" si="1"/>
        <v>0.16</v>
      </c>
      <c r="I26" s="16">
        <f t="shared" si="2"/>
        <v>1E-3</v>
      </c>
      <c r="J26" s="16">
        <f>ROUND(G26/1770-1,2)</f>
        <v>-0.03</v>
      </c>
    </row>
    <row r="27" spans="1:10" x14ac:dyDescent="0.25">
      <c r="A27" s="1" t="s">
        <v>16</v>
      </c>
      <c r="B27" s="1" t="s">
        <v>34</v>
      </c>
      <c r="C27" s="11"/>
      <c r="D27" s="11">
        <v>240</v>
      </c>
      <c r="E27" s="11">
        <v>350</v>
      </c>
      <c r="F27" s="11"/>
      <c r="G27" s="11">
        <f t="shared" si="0"/>
        <v>590</v>
      </c>
      <c r="H27" s="17">
        <f t="shared" si="1"/>
        <v>0.06</v>
      </c>
      <c r="I27" s="16">
        <f t="shared" si="2"/>
        <v>0</v>
      </c>
      <c r="J27" s="16">
        <f>ROUND(G27/620-1,2)</f>
        <v>-0.05</v>
      </c>
    </row>
    <row r="28" spans="1:10" x14ac:dyDescent="0.25">
      <c r="A28" s="1" t="s">
        <v>16</v>
      </c>
      <c r="B28" s="1" t="s">
        <v>35</v>
      </c>
      <c r="C28" s="11"/>
      <c r="D28" s="11"/>
      <c r="E28" s="11">
        <v>82920</v>
      </c>
      <c r="F28" s="11"/>
      <c r="G28" s="11">
        <f t="shared" si="0"/>
        <v>82920</v>
      </c>
      <c r="H28" s="17">
        <f t="shared" si="1"/>
        <v>7.88</v>
      </c>
      <c r="I28" s="16">
        <f t="shared" si="2"/>
        <v>6.0999999999999999E-2</v>
      </c>
      <c r="J28" s="16">
        <f>ROUND(G28/67320-1,2)</f>
        <v>0.23</v>
      </c>
    </row>
    <row r="29" spans="1:10" x14ac:dyDescent="0.25">
      <c r="A29" s="1" t="s">
        <v>16</v>
      </c>
      <c r="B29" s="1" t="s">
        <v>36</v>
      </c>
      <c r="C29" s="11"/>
      <c r="D29" s="11"/>
      <c r="E29" s="11">
        <v>2920</v>
      </c>
      <c r="F29" s="11"/>
      <c r="G29" s="11">
        <f t="shared" si="0"/>
        <v>2920</v>
      </c>
      <c r="H29" s="17">
        <f t="shared" si="1"/>
        <v>0.28000000000000003</v>
      </c>
      <c r="I29" s="16">
        <f t="shared" si="2"/>
        <v>2E-3</v>
      </c>
      <c r="J29" s="16">
        <f>ROUND(G29/6070-1,2)</f>
        <v>-0.52</v>
      </c>
    </row>
    <row r="30" spans="1:10" x14ac:dyDescent="0.25">
      <c r="A30" s="1" t="s">
        <v>16</v>
      </c>
      <c r="B30" s="1" t="s">
        <v>37</v>
      </c>
      <c r="C30" s="11"/>
      <c r="D30" s="11"/>
      <c r="E30" s="11">
        <v>21440</v>
      </c>
      <c r="F30" s="11"/>
      <c r="G30" s="11">
        <f t="shared" si="0"/>
        <v>21440</v>
      </c>
      <c r="H30" s="17">
        <f t="shared" si="1"/>
        <v>2.04</v>
      </c>
      <c r="I30" s="16">
        <f t="shared" si="2"/>
        <v>1.6E-2</v>
      </c>
      <c r="J30" s="16">
        <f>ROUND(G30/15740-1,2)</f>
        <v>0.36</v>
      </c>
    </row>
    <row r="31" spans="1:10" x14ac:dyDescent="0.25">
      <c r="A31" s="1" t="s">
        <v>16</v>
      </c>
      <c r="B31" s="1" t="s">
        <v>38</v>
      </c>
      <c r="C31" s="11"/>
      <c r="D31" s="11"/>
      <c r="E31" s="11">
        <v>75840</v>
      </c>
      <c r="F31" s="11">
        <v>1600</v>
      </c>
      <c r="G31" s="11">
        <f t="shared" si="0"/>
        <v>77440</v>
      </c>
      <c r="H31" s="17">
        <f t="shared" si="1"/>
        <v>7.36</v>
      </c>
      <c r="I31" s="16">
        <f t="shared" si="2"/>
        <v>5.7000000000000002E-2</v>
      </c>
      <c r="J31" s="16">
        <f>ROUND(G31/45460-1,2)</f>
        <v>0.7</v>
      </c>
    </row>
    <row r="32" spans="1:10" x14ac:dyDescent="0.25">
      <c r="A32" s="1" t="s">
        <v>16</v>
      </c>
      <c r="B32" s="1" t="s">
        <v>39</v>
      </c>
      <c r="C32" s="11"/>
      <c r="D32" s="11"/>
      <c r="E32" s="11"/>
      <c r="F32" s="11"/>
      <c r="G32" s="11">
        <f t="shared" si="0"/>
        <v>0</v>
      </c>
      <c r="H32" s="17">
        <f t="shared" si="1"/>
        <v>0</v>
      </c>
      <c r="I32" s="16">
        <f t="shared" si="2"/>
        <v>0</v>
      </c>
      <c r="J32" s="16">
        <f>ROUND(G32/262-1,2)</f>
        <v>-1</v>
      </c>
    </row>
    <row r="33" spans="1:10" x14ac:dyDescent="0.25">
      <c r="A33" s="1" t="s">
        <v>16</v>
      </c>
      <c r="B33" s="1" t="s">
        <v>40</v>
      </c>
      <c r="C33" s="11"/>
      <c r="D33" s="11"/>
      <c r="E33" s="11"/>
      <c r="F33" s="11"/>
      <c r="G33" s="11">
        <f t="shared" si="0"/>
        <v>0</v>
      </c>
      <c r="H33" s="17">
        <f t="shared" si="1"/>
        <v>0</v>
      </c>
      <c r="I33" s="16">
        <f t="shared" si="2"/>
        <v>0</v>
      </c>
      <c r="J33" s="16">
        <f>ROUND(G33/8820-1,2)</f>
        <v>-1</v>
      </c>
    </row>
    <row r="34" spans="1:10" x14ac:dyDescent="0.25">
      <c r="A34" s="1" t="s">
        <v>16</v>
      </c>
      <c r="B34" s="1" t="s">
        <v>41</v>
      </c>
      <c r="C34" s="11"/>
      <c r="D34" s="11"/>
      <c r="E34" s="11"/>
      <c r="F34" s="11"/>
      <c r="G34" s="11">
        <f t="shared" si="0"/>
        <v>0</v>
      </c>
      <c r="H34" s="17">
        <f t="shared" si="1"/>
        <v>0</v>
      </c>
      <c r="I34" s="16">
        <f t="shared" si="2"/>
        <v>0</v>
      </c>
      <c r="J34" s="16">
        <f>ROUND(G34/3250-1,2)</f>
        <v>-1</v>
      </c>
    </row>
    <row r="35" spans="1:10" x14ac:dyDescent="0.25">
      <c r="A35" s="1" t="s">
        <v>16</v>
      </c>
      <c r="B35" s="1" t="s">
        <v>42</v>
      </c>
      <c r="C35" s="11"/>
      <c r="D35" s="11"/>
      <c r="E35" s="11"/>
      <c r="F35" s="11"/>
      <c r="G35" s="11">
        <f t="shared" si="0"/>
        <v>0</v>
      </c>
      <c r="H35" s="17">
        <f t="shared" si="1"/>
        <v>0</v>
      </c>
      <c r="I35" s="16">
        <f t="shared" si="2"/>
        <v>0</v>
      </c>
      <c r="J35" s="16">
        <f>ROUND(G35/15020-1,2)</f>
        <v>-1</v>
      </c>
    </row>
    <row r="36" spans="1:10" x14ac:dyDescent="0.25">
      <c r="A36" s="1" t="s">
        <v>16</v>
      </c>
      <c r="B36" s="1" t="s">
        <v>43</v>
      </c>
      <c r="C36" s="11"/>
      <c r="D36" s="11"/>
      <c r="E36" s="11"/>
      <c r="F36" s="11"/>
      <c r="G36" s="11">
        <f t="shared" si="0"/>
        <v>0</v>
      </c>
      <c r="H36" s="17">
        <f t="shared" si="1"/>
        <v>0</v>
      </c>
      <c r="I36" s="16">
        <f t="shared" si="2"/>
        <v>0</v>
      </c>
      <c r="J36" s="16">
        <f>ROUND(G36/5700-1,2)</f>
        <v>-1</v>
      </c>
    </row>
    <row r="37" spans="1:10" x14ac:dyDescent="0.25">
      <c r="A37" s="1" t="s">
        <v>16</v>
      </c>
      <c r="B37" s="1" t="s">
        <v>22</v>
      </c>
      <c r="C37" s="11"/>
      <c r="D37" s="11"/>
      <c r="E37" s="11"/>
      <c r="F37" s="11"/>
      <c r="G37" s="11">
        <f t="shared" si="0"/>
        <v>0</v>
      </c>
      <c r="H37" s="17">
        <f t="shared" si="1"/>
        <v>0</v>
      </c>
      <c r="I37" s="16">
        <f t="shared" si="2"/>
        <v>0</v>
      </c>
      <c r="J37" s="16">
        <f>ROUND(G37/2860-1,2)</f>
        <v>-1</v>
      </c>
    </row>
    <row r="38" spans="1:10" x14ac:dyDescent="0.25">
      <c r="A38" s="1" t="s">
        <v>16</v>
      </c>
      <c r="B38" s="1" t="s">
        <v>96</v>
      </c>
      <c r="C38" s="11"/>
      <c r="D38" s="11"/>
      <c r="E38" s="11"/>
      <c r="F38" s="11"/>
      <c r="G38" s="11">
        <f t="shared" si="0"/>
        <v>0</v>
      </c>
      <c r="H38" s="17">
        <f t="shared" si="1"/>
        <v>0</v>
      </c>
      <c r="I38" s="16">
        <f t="shared" si="2"/>
        <v>0</v>
      </c>
      <c r="J38" s="16"/>
    </row>
    <row r="39" spans="1:10" x14ac:dyDescent="0.25">
      <c r="A39" s="1" t="s">
        <v>16</v>
      </c>
      <c r="B39" s="1" t="s">
        <v>182</v>
      </c>
      <c r="C39" s="11"/>
      <c r="D39" s="11"/>
      <c r="E39" s="11"/>
      <c r="F39" s="11"/>
      <c r="G39" s="11">
        <f t="shared" si="0"/>
        <v>0</v>
      </c>
      <c r="H39" s="17">
        <f t="shared" si="1"/>
        <v>0</v>
      </c>
      <c r="I39" s="16">
        <f t="shared" si="2"/>
        <v>0</v>
      </c>
      <c r="J39" s="16"/>
    </row>
    <row r="40" spans="1:10" x14ac:dyDescent="0.25">
      <c r="A40" s="1" t="s">
        <v>16</v>
      </c>
      <c r="B40" s="1" t="s">
        <v>170</v>
      </c>
      <c r="C40" s="11"/>
      <c r="D40" s="11"/>
      <c r="E40" s="11"/>
      <c r="F40" s="11"/>
      <c r="G40" s="11">
        <f t="shared" si="0"/>
        <v>0</v>
      </c>
      <c r="H40" s="17">
        <f t="shared" si="1"/>
        <v>0</v>
      </c>
      <c r="I40" s="16">
        <f t="shared" si="2"/>
        <v>0</v>
      </c>
      <c r="J40" s="16"/>
    </row>
    <row r="41" spans="1:10" x14ac:dyDescent="0.25">
      <c r="A41" s="1" t="s">
        <v>44</v>
      </c>
      <c r="B41" s="1" t="s">
        <v>45</v>
      </c>
      <c r="C41" s="11">
        <v>257420</v>
      </c>
      <c r="D41" s="11"/>
      <c r="E41" s="11"/>
      <c r="F41" s="11">
        <v>380</v>
      </c>
      <c r="G41" s="11">
        <f t="shared" si="0"/>
        <v>257800</v>
      </c>
      <c r="H41" s="17">
        <f t="shared" si="1"/>
        <v>24.51</v>
      </c>
      <c r="I41" s="16">
        <f t="shared" si="2"/>
        <v>0.189</v>
      </c>
      <c r="J41" s="16">
        <f>ROUND(G41/235300-1,2)</f>
        <v>0.1</v>
      </c>
    </row>
    <row r="42" spans="1:10" x14ac:dyDescent="0.25">
      <c r="A42" s="1" t="s">
        <v>44</v>
      </c>
      <c r="B42" s="1" t="s">
        <v>47</v>
      </c>
      <c r="C42" s="11"/>
      <c r="D42" s="11"/>
      <c r="E42" s="11"/>
      <c r="F42" s="11">
        <v>21060</v>
      </c>
      <c r="G42" s="11">
        <f t="shared" si="0"/>
        <v>21060</v>
      </c>
      <c r="H42" s="17">
        <f t="shared" si="1"/>
        <v>2</v>
      </c>
      <c r="I42" s="16">
        <f t="shared" si="2"/>
        <v>1.4999999999999999E-2</v>
      </c>
      <c r="J42" s="16">
        <f>ROUND(G42/29420-1,2)</f>
        <v>-0.28000000000000003</v>
      </c>
    </row>
    <row r="43" spans="1:10" x14ac:dyDescent="0.25">
      <c r="A43" s="1" t="s">
        <v>44</v>
      </c>
      <c r="B43" s="1" t="s">
        <v>46</v>
      </c>
      <c r="C43" s="11"/>
      <c r="D43" s="11"/>
      <c r="E43" s="11">
        <v>47380</v>
      </c>
      <c r="F43" s="11"/>
      <c r="G43" s="11">
        <f t="shared" si="0"/>
        <v>47380</v>
      </c>
      <c r="H43" s="17">
        <f t="shared" si="1"/>
        <v>4.5</v>
      </c>
      <c r="I43" s="16">
        <f t="shared" si="2"/>
        <v>3.5000000000000003E-2</v>
      </c>
      <c r="J43" s="16">
        <f>ROUND(G43/33280-1,2)</f>
        <v>0.42</v>
      </c>
    </row>
    <row r="44" spans="1:10" x14ac:dyDescent="0.25">
      <c r="A44" s="1" t="s">
        <v>48</v>
      </c>
      <c r="B44" s="1" t="s">
        <v>51</v>
      </c>
      <c r="C44" s="11"/>
      <c r="D44" s="11"/>
      <c r="E44" s="11"/>
      <c r="F44" s="11"/>
      <c r="G44" s="11">
        <f t="shared" si="0"/>
        <v>0</v>
      </c>
      <c r="H44" s="17">
        <f t="shared" si="1"/>
        <v>0</v>
      </c>
      <c r="I44" s="16">
        <f t="shared" si="2"/>
        <v>0</v>
      </c>
      <c r="J44" s="16"/>
    </row>
    <row r="45" spans="1:10" x14ac:dyDescent="0.25">
      <c r="A45" s="1" t="s">
        <v>48</v>
      </c>
      <c r="B45" s="1" t="s">
        <v>50</v>
      </c>
      <c r="C45" s="11"/>
      <c r="D45" s="11"/>
      <c r="E45" s="11"/>
      <c r="F45" s="11"/>
      <c r="G45" s="11">
        <f t="shared" si="0"/>
        <v>0</v>
      </c>
      <c r="H45" s="17">
        <f t="shared" si="1"/>
        <v>0</v>
      </c>
      <c r="I45" s="16">
        <f t="shared" si="2"/>
        <v>0</v>
      </c>
      <c r="J45" s="16"/>
    </row>
    <row r="46" spans="1:10" x14ac:dyDescent="0.25">
      <c r="A46" s="1" t="s">
        <v>48</v>
      </c>
      <c r="B46" s="1" t="s">
        <v>97</v>
      </c>
      <c r="C46" s="11"/>
      <c r="D46" s="11"/>
      <c r="E46" s="11"/>
      <c r="F46" s="11"/>
      <c r="G46" s="11">
        <f t="shared" si="0"/>
        <v>0</v>
      </c>
      <c r="H46" s="17">
        <f t="shared" si="1"/>
        <v>0</v>
      </c>
      <c r="I46" s="16">
        <f t="shared" si="2"/>
        <v>0</v>
      </c>
      <c r="J46" s="16"/>
    </row>
    <row r="47" spans="1:10" x14ac:dyDescent="0.25">
      <c r="A47" s="1" t="s">
        <v>48</v>
      </c>
      <c r="B47" s="1" t="s">
        <v>166</v>
      </c>
      <c r="C47" s="11"/>
      <c r="D47" s="11"/>
      <c r="E47" s="11"/>
      <c r="F47" s="11"/>
      <c r="G47" s="11">
        <f t="shared" si="0"/>
        <v>0</v>
      </c>
      <c r="H47" s="17">
        <f t="shared" si="1"/>
        <v>0</v>
      </c>
      <c r="I47" s="16">
        <f t="shared" si="2"/>
        <v>0</v>
      </c>
      <c r="J47" s="16"/>
    </row>
    <row r="48" spans="1:10" x14ac:dyDescent="0.25">
      <c r="A48" s="21" t="s">
        <v>12</v>
      </c>
      <c r="B48" s="21"/>
      <c r="C48" s="12">
        <f t="shared" ref="C48:H48" si="3">SUM(C8:C47)</f>
        <v>982570</v>
      </c>
      <c r="D48" s="12">
        <f t="shared" si="3"/>
        <v>493</v>
      </c>
      <c r="E48" s="12">
        <f t="shared" si="3"/>
        <v>345898</v>
      </c>
      <c r="F48" s="12">
        <f t="shared" si="3"/>
        <v>34160</v>
      </c>
      <c r="G48" s="12">
        <f t="shared" si="3"/>
        <v>1363121</v>
      </c>
      <c r="H48" s="15">
        <f t="shared" si="3"/>
        <v>129.57000000000002</v>
      </c>
      <c r="I48" s="18"/>
      <c r="J48" s="18"/>
    </row>
    <row r="49" spans="1:10" x14ac:dyDescent="0.25">
      <c r="A49" s="21" t="s">
        <v>14</v>
      </c>
      <c r="B49" s="21"/>
      <c r="C49" s="13">
        <f>ROUND(C48/G48,2)</f>
        <v>0.72</v>
      </c>
      <c r="D49" s="13">
        <f>ROUND(D48/G48,2)</f>
        <v>0</v>
      </c>
      <c r="E49" s="13">
        <f>ROUND(E48/G48,2)</f>
        <v>0.25</v>
      </c>
      <c r="F49" s="13">
        <f>ROUND(F48/G48,2)</f>
        <v>0.03</v>
      </c>
      <c r="G49" s="14"/>
      <c r="H49" s="14"/>
      <c r="I49" s="18"/>
      <c r="J49" s="18"/>
    </row>
    <row r="50" spans="1:10" x14ac:dyDescent="0.25">
      <c r="A50" s="2" t="s">
        <v>52</v>
      </c>
      <c r="B50" s="2"/>
      <c r="C50" s="14"/>
      <c r="D50" s="14"/>
      <c r="E50" s="14"/>
      <c r="F50" s="14"/>
      <c r="G50" s="14"/>
      <c r="H50" s="14"/>
      <c r="I50" s="18"/>
      <c r="J50" s="18"/>
    </row>
    <row r="51" spans="1:10" x14ac:dyDescent="0.25">
      <c r="C51" s="9"/>
      <c r="D51" s="9"/>
      <c r="E51" s="9"/>
      <c r="F51" s="9"/>
      <c r="G51" s="9"/>
      <c r="H51" s="9"/>
      <c r="I51" s="10"/>
      <c r="J51" s="10"/>
    </row>
    <row r="52" spans="1:10" x14ac:dyDescent="0.25">
      <c r="C52" s="9"/>
      <c r="D52" s="9"/>
      <c r="E52" s="9"/>
      <c r="F52" s="9"/>
      <c r="G52" s="9"/>
      <c r="H52" s="9"/>
      <c r="I52" s="10"/>
      <c r="J52" s="10"/>
    </row>
    <row r="53" spans="1:10" x14ac:dyDescent="0.25">
      <c r="C53" s="9"/>
      <c r="D53" s="9"/>
      <c r="E53" s="9"/>
      <c r="F53" s="9"/>
      <c r="G53" s="9"/>
      <c r="H53" s="9"/>
      <c r="I53" s="10"/>
      <c r="J53" s="10"/>
    </row>
    <row r="54" spans="1:10" x14ac:dyDescent="0.25">
      <c r="A54" s="21" t="s">
        <v>53</v>
      </c>
      <c r="B54" s="21"/>
      <c r="C54" s="12" t="s">
        <v>8</v>
      </c>
      <c r="D54" s="12" t="s">
        <v>9</v>
      </c>
      <c r="E54" s="12" t="s">
        <v>10</v>
      </c>
      <c r="F54" s="12" t="s">
        <v>11</v>
      </c>
      <c r="G54" s="12" t="s">
        <v>12</v>
      </c>
      <c r="H54" s="15" t="s">
        <v>13</v>
      </c>
      <c r="I54" s="18"/>
      <c r="J54" s="18"/>
    </row>
    <row r="55" spans="1:10" x14ac:dyDescent="0.25">
      <c r="A55" s="20" t="s">
        <v>54</v>
      </c>
      <c r="B55" s="20"/>
      <c r="C55" s="11">
        <v>725150</v>
      </c>
      <c r="D55" s="11">
        <v>493</v>
      </c>
      <c r="E55" s="11">
        <v>298518</v>
      </c>
      <c r="F55" s="11">
        <v>12720</v>
      </c>
      <c r="G55" s="11">
        <f>SUM(C55:F55)</f>
        <v>1036881</v>
      </c>
      <c r="H55" s="17">
        <f>ROUND(G55/10520,2)</f>
        <v>98.56</v>
      </c>
      <c r="I55" s="10"/>
      <c r="J55" s="10"/>
    </row>
    <row r="56" spans="1:10" x14ac:dyDescent="0.25">
      <c r="A56" s="20" t="s">
        <v>55</v>
      </c>
      <c r="B56" s="20"/>
      <c r="C56" s="11">
        <v>257420</v>
      </c>
      <c r="D56" s="11">
        <v>0</v>
      </c>
      <c r="E56" s="11">
        <v>47380</v>
      </c>
      <c r="F56" s="11">
        <v>21440</v>
      </c>
      <c r="G56" s="11">
        <f>SUM(C56:F56)</f>
        <v>326240</v>
      </c>
      <c r="H56" s="17">
        <f>ROUND(G56/10520,2)</f>
        <v>31.01</v>
      </c>
      <c r="I56" s="10"/>
      <c r="J56" s="10"/>
    </row>
    <row r="57" spans="1:10" x14ac:dyDescent="0.25">
      <c r="A57" s="20" t="s">
        <v>56</v>
      </c>
      <c r="B57" s="20"/>
      <c r="C57" s="11">
        <v>0</v>
      </c>
      <c r="D57" s="11">
        <v>0</v>
      </c>
      <c r="E57" s="11">
        <v>0</v>
      </c>
      <c r="F57" s="11">
        <v>0</v>
      </c>
      <c r="G57" s="11">
        <f>SUM(C57:F57)</f>
        <v>0</v>
      </c>
      <c r="H57" s="17">
        <f>ROUND(G57/10520,2)</f>
        <v>0</v>
      </c>
      <c r="I57" s="10"/>
      <c r="J57" s="10"/>
    </row>
    <row r="58" spans="1:10" x14ac:dyDescent="0.25">
      <c r="C58" s="9"/>
      <c r="D58" s="9"/>
      <c r="E58" s="9"/>
      <c r="F58" s="9"/>
      <c r="G58" s="9"/>
      <c r="H58" s="9"/>
      <c r="I58" s="10"/>
      <c r="J58" s="10"/>
    </row>
    <row r="59" spans="1:10" x14ac:dyDescent="0.25">
      <c r="C59" s="9"/>
      <c r="D59" s="9"/>
      <c r="E59" s="9"/>
      <c r="F59" s="9"/>
      <c r="G59" s="9"/>
      <c r="H59" s="9"/>
      <c r="I59" s="10"/>
      <c r="J59" s="10"/>
    </row>
    <row r="60" spans="1:10" x14ac:dyDescent="0.25">
      <c r="C60" s="9"/>
      <c r="D60" s="9"/>
      <c r="E60" s="9"/>
      <c r="F60" s="9"/>
      <c r="G60" s="9"/>
      <c r="H60" s="9"/>
      <c r="I60" s="10"/>
      <c r="J60" s="10"/>
    </row>
    <row r="61" spans="1:10" x14ac:dyDescent="0.25">
      <c r="C61" s="9"/>
      <c r="D61" s="9"/>
      <c r="E61" s="9"/>
      <c r="F61" s="9"/>
      <c r="G61" s="9"/>
      <c r="H61" s="9"/>
      <c r="I61" s="10"/>
      <c r="J61" s="10"/>
    </row>
    <row r="62" spans="1:10" x14ac:dyDescent="0.25">
      <c r="A62" s="21" t="s">
        <v>57</v>
      </c>
      <c r="B62" s="21"/>
      <c r="C62" s="15" t="s">
        <v>2</v>
      </c>
      <c r="D62" s="15">
        <v>2023</v>
      </c>
      <c r="E62" s="15" t="s">
        <v>59</v>
      </c>
      <c r="F62" s="14"/>
      <c r="G62" s="15" t="s">
        <v>60</v>
      </c>
      <c r="H62" s="15" t="s">
        <v>2</v>
      </c>
      <c r="I62" s="13" t="s">
        <v>61</v>
      </c>
      <c r="J62" s="13" t="s">
        <v>59</v>
      </c>
    </row>
    <row r="63" spans="1:10" x14ac:dyDescent="0.25">
      <c r="A63" s="20" t="s">
        <v>58</v>
      </c>
      <c r="B63" s="20"/>
      <c r="C63" s="16">
        <f>ROUND(0.8002, 4)</f>
        <v>0.80020000000000002</v>
      </c>
      <c r="D63" s="16">
        <f>ROUND(0.7897, 4)</f>
        <v>0.78969999999999996</v>
      </c>
      <c r="E63" s="16">
        <f>ROUND(0.777, 4)</f>
        <v>0.77700000000000002</v>
      </c>
      <c r="F63" s="9"/>
      <c r="G63" s="15" t="s">
        <v>62</v>
      </c>
      <c r="H63" s="22" t="s">
        <v>63</v>
      </c>
      <c r="I63" s="24" t="s">
        <v>64</v>
      </c>
      <c r="J63" s="24" t="s">
        <v>65</v>
      </c>
    </row>
    <row r="64" spans="1:10" x14ac:dyDescent="0.25">
      <c r="A64" s="20" t="s">
        <v>66</v>
      </c>
      <c r="B64" s="20"/>
      <c r="C64" s="16">
        <f>ROUND(0.7878, 4)</f>
        <v>0.78779999999999994</v>
      </c>
      <c r="D64" s="16">
        <f>ROUND(0.7772, 4)</f>
        <v>0.7772</v>
      </c>
      <c r="E64" s="16">
        <f>ROUND(0.7608, 4)</f>
        <v>0.76080000000000003</v>
      </c>
      <c r="F64" s="9"/>
      <c r="G64" s="15" t="s">
        <v>67</v>
      </c>
      <c r="H64" s="23"/>
      <c r="I64" s="25"/>
      <c r="J64" s="25"/>
    </row>
    <row r="65" spans="1:10" x14ac:dyDescent="0.25">
      <c r="C65" s="9"/>
      <c r="D65" s="9"/>
      <c r="E65" s="9"/>
      <c r="F65" s="9"/>
      <c r="G65" s="9"/>
      <c r="H65" s="9"/>
      <c r="I65" s="10"/>
      <c r="J65" s="10"/>
    </row>
    <row r="66" spans="1:10" x14ac:dyDescent="0.25">
      <c r="C66" s="9"/>
      <c r="D66" s="9"/>
      <c r="E66" s="9"/>
      <c r="F66" s="9"/>
      <c r="G66" s="9"/>
      <c r="H66" s="9"/>
      <c r="I66" s="10"/>
      <c r="J66" s="10"/>
    </row>
    <row r="67" spans="1:10" x14ac:dyDescent="0.25">
      <c r="C67" s="9"/>
      <c r="D67" s="9"/>
      <c r="E67" s="9"/>
      <c r="F67" s="9"/>
      <c r="G67" s="9"/>
      <c r="H67" s="9"/>
      <c r="I67" s="10"/>
      <c r="J67" s="10"/>
    </row>
    <row r="68" spans="1:10" x14ac:dyDescent="0.25">
      <c r="A68" s="21" t="s">
        <v>68</v>
      </c>
      <c r="B68" s="21"/>
      <c r="C68" s="15" t="s">
        <v>2</v>
      </c>
      <c r="D68" s="15" t="s">
        <v>183</v>
      </c>
      <c r="E68" s="15" t="s">
        <v>70</v>
      </c>
      <c r="F68" s="15" t="s">
        <v>71</v>
      </c>
      <c r="G68" s="15" t="s">
        <v>72</v>
      </c>
      <c r="H68" s="14"/>
      <c r="I68" s="18"/>
      <c r="J68" s="18"/>
    </row>
    <row r="69" spans="1:10" x14ac:dyDescent="0.25">
      <c r="A69" s="20" t="s">
        <v>73</v>
      </c>
      <c r="B69" s="20"/>
      <c r="C69" s="1">
        <v>24.51</v>
      </c>
      <c r="D69" s="1">
        <v>63.65</v>
      </c>
      <c r="E69" s="1">
        <v>81.84</v>
      </c>
      <c r="F69" s="1">
        <v>48</v>
      </c>
      <c r="G69" s="1">
        <f>12/4*C69</f>
        <v>73.53</v>
      </c>
    </row>
    <row r="70" spans="1:10" x14ac:dyDescent="0.25">
      <c r="A70" s="20" t="s">
        <v>74</v>
      </c>
      <c r="B70" s="20"/>
      <c r="C70" s="1">
        <v>24.18</v>
      </c>
      <c r="D70" s="1">
        <v>64.45</v>
      </c>
      <c r="E70" s="1">
        <v>55.63</v>
      </c>
      <c r="F70" s="1">
        <v>55.33</v>
      </c>
      <c r="G70" s="1">
        <f>12/4*C70</f>
        <v>72.539999999999992</v>
      </c>
    </row>
    <row r="71" spans="1:10" x14ac:dyDescent="0.25">
      <c r="A71" s="20" t="s">
        <v>75</v>
      </c>
      <c r="B71" s="20"/>
      <c r="C71" s="1">
        <v>102.07</v>
      </c>
      <c r="D71" s="1">
        <v>259.29000000000002</v>
      </c>
      <c r="E71" s="1">
        <v>257.88</v>
      </c>
      <c r="F71" s="1">
        <v>242.78</v>
      </c>
      <c r="G71" s="1">
        <f>12/4*C71</f>
        <v>306.20999999999998</v>
      </c>
    </row>
    <row r="72" spans="1:10" x14ac:dyDescent="0.25">
      <c r="A72" s="20" t="s">
        <v>76</v>
      </c>
      <c r="B72" s="20"/>
      <c r="C72" s="1">
        <v>31.01</v>
      </c>
      <c r="D72" s="1">
        <v>81.95</v>
      </c>
      <c r="E72" s="1">
        <v>103.14</v>
      </c>
      <c r="F72" s="1">
        <v>68.31</v>
      </c>
      <c r="G72" s="1">
        <f>12/4*C72</f>
        <v>93.03</v>
      </c>
    </row>
    <row r="75" spans="1:10" x14ac:dyDescent="0.25">
      <c r="A75" s="19" t="s">
        <v>60</v>
      </c>
      <c r="B75" s="26"/>
    </row>
    <row r="76" spans="1:10" x14ac:dyDescent="0.25">
      <c r="A76" s="3" t="s">
        <v>77</v>
      </c>
      <c r="B76" s="1" t="s">
        <v>184</v>
      </c>
    </row>
    <row r="77" spans="1:10" x14ac:dyDescent="0.25">
      <c r="A77" s="3" t="s">
        <v>70</v>
      </c>
      <c r="B77" s="1" t="s">
        <v>79</v>
      </c>
    </row>
    <row r="78" spans="1:10" x14ac:dyDescent="0.25">
      <c r="A78" s="3" t="s">
        <v>71</v>
      </c>
      <c r="B78" s="1" t="s">
        <v>80</v>
      </c>
    </row>
    <row r="79" spans="1:10" x14ac:dyDescent="0.25">
      <c r="A79" s="3" t="s">
        <v>72</v>
      </c>
      <c r="B79" s="1" t="s">
        <v>81</v>
      </c>
    </row>
  </sheetData>
  <mergeCells count="19">
    <mergeCell ref="A70:B70"/>
    <mergeCell ref="A71:B71"/>
    <mergeCell ref="A72:B72"/>
    <mergeCell ref="A75:B75"/>
    <mergeCell ref="I63:I64"/>
    <mergeCell ref="J63:J64"/>
    <mergeCell ref="A64:B64"/>
    <mergeCell ref="A68:B68"/>
    <mergeCell ref="A69:B69"/>
    <mergeCell ref="A56:B56"/>
    <mergeCell ref="A57:B57"/>
    <mergeCell ref="A62:B62"/>
    <mergeCell ref="A63:B63"/>
    <mergeCell ref="H63:H64"/>
    <mergeCell ref="C7:G7"/>
    <mergeCell ref="A48:B48"/>
    <mergeCell ref="A49:B49"/>
    <mergeCell ref="A54:B54"/>
    <mergeCell ref="A55:B55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2:J74"/>
  <sheetViews>
    <sheetView workbookViewId="0">
      <selection activeCell="C9" sqref="C9:J74"/>
    </sheetView>
  </sheetViews>
  <sheetFormatPr defaultRowHeight="15" x14ac:dyDescent="0.25"/>
  <cols>
    <col min="1" max="1" width="38.85546875" bestFit="1" customWidth="1"/>
    <col min="2" max="2" width="79" bestFit="1" customWidth="1"/>
    <col min="3" max="3" width="14" bestFit="1" customWidth="1"/>
    <col min="4" max="4" width="21.140625" bestFit="1" customWidth="1"/>
    <col min="5" max="5" width="16.42578125" bestFit="1" customWidth="1"/>
    <col min="6" max="6" width="10.5703125" bestFit="1" customWidth="1"/>
    <col min="7" max="7" width="68.28515625" bestFit="1" customWidth="1"/>
    <col min="8" max="9" width="20" bestFit="1" customWidth="1"/>
    <col min="10" max="10" width="30.5703125" bestFit="1" customWidth="1"/>
  </cols>
  <sheetData>
    <row r="2" spans="1:10" ht="18.75" x14ac:dyDescent="0.3">
      <c r="A2" s="3" t="s">
        <v>0</v>
      </c>
      <c r="B2" s="4" t="s">
        <v>185</v>
      </c>
    </row>
    <row r="3" spans="1:10" x14ac:dyDescent="0.25">
      <c r="A3" s="3" t="s">
        <v>2</v>
      </c>
      <c r="B3" s="1" t="s">
        <v>3</v>
      </c>
    </row>
    <row r="4" spans="1:10" x14ac:dyDescent="0.25">
      <c r="A4" s="3" t="s">
        <v>4</v>
      </c>
      <c r="B4" s="1">
        <v>652</v>
      </c>
    </row>
    <row r="7" spans="1:10" x14ac:dyDescent="0.25">
      <c r="C7" s="19" t="s">
        <v>5</v>
      </c>
      <c r="D7" s="20"/>
      <c r="E7" s="20"/>
      <c r="F7" s="20"/>
      <c r="G7" s="20"/>
    </row>
    <row r="8" spans="1:10" x14ac:dyDescent="0.25">
      <c r="A8" s="3" t="s">
        <v>6</v>
      </c>
      <c r="B8" s="3" t="s">
        <v>7</v>
      </c>
      <c r="C8" s="3" t="s">
        <v>8</v>
      </c>
      <c r="D8" s="3" t="s">
        <v>9</v>
      </c>
      <c r="E8" s="3" t="s">
        <v>10</v>
      </c>
      <c r="F8" s="3" t="s">
        <v>11</v>
      </c>
      <c r="G8" s="3" t="s">
        <v>12</v>
      </c>
      <c r="H8" s="3" t="s">
        <v>13</v>
      </c>
      <c r="I8" s="3" t="s">
        <v>14</v>
      </c>
      <c r="J8" s="3" t="s">
        <v>15</v>
      </c>
    </row>
    <row r="9" spans="1:10" x14ac:dyDescent="0.25">
      <c r="A9" s="1" t="s">
        <v>16</v>
      </c>
      <c r="B9" s="1" t="s">
        <v>17</v>
      </c>
      <c r="C9" s="11"/>
      <c r="D9" s="11"/>
      <c r="E9" s="11">
        <v>1</v>
      </c>
      <c r="F9" s="11"/>
      <c r="G9" s="11">
        <f t="shared" ref="G9:G36" si="0">SUM(C9:F9)</f>
        <v>1</v>
      </c>
      <c r="H9" s="17">
        <f t="shared" ref="H9:H36" si="1">ROUND(G9/652,2)</f>
        <v>0</v>
      </c>
      <c r="I9" s="16">
        <f t="shared" ref="I9:I36" si="2">ROUND(G9/$G$37,3)</f>
        <v>0</v>
      </c>
      <c r="J9" s="16"/>
    </row>
    <row r="10" spans="1:10" x14ac:dyDescent="0.25">
      <c r="A10" s="1" t="s">
        <v>16</v>
      </c>
      <c r="B10" s="1" t="s">
        <v>19</v>
      </c>
      <c r="C10" s="11">
        <v>7420</v>
      </c>
      <c r="D10" s="11"/>
      <c r="E10" s="11">
        <v>1329</v>
      </c>
      <c r="F10" s="11"/>
      <c r="G10" s="11">
        <f t="shared" si="0"/>
        <v>8749</v>
      </c>
      <c r="H10" s="17">
        <f t="shared" si="1"/>
        <v>13.42</v>
      </c>
      <c r="I10" s="16">
        <f t="shared" si="2"/>
        <v>0.109</v>
      </c>
      <c r="J10" s="16">
        <f>ROUND(G10/6546.32-1,2)</f>
        <v>0.34</v>
      </c>
    </row>
    <row r="11" spans="1:10" x14ac:dyDescent="0.25">
      <c r="A11" s="1" t="s">
        <v>16</v>
      </c>
      <c r="B11" s="1" t="s">
        <v>20</v>
      </c>
      <c r="C11" s="11">
        <v>7050</v>
      </c>
      <c r="D11" s="11"/>
      <c r="E11" s="11"/>
      <c r="F11" s="11"/>
      <c r="G11" s="11">
        <f t="shared" si="0"/>
        <v>7050</v>
      </c>
      <c r="H11" s="17">
        <f t="shared" si="1"/>
        <v>10.81</v>
      </c>
      <c r="I11" s="16">
        <f t="shared" si="2"/>
        <v>8.7999999999999995E-2</v>
      </c>
      <c r="J11" s="16">
        <f>ROUND(G11/6990-1,2)</f>
        <v>0.01</v>
      </c>
    </row>
    <row r="12" spans="1:10" x14ac:dyDescent="0.25">
      <c r="A12" s="1" t="s">
        <v>16</v>
      </c>
      <c r="B12" s="1" t="s">
        <v>21</v>
      </c>
      <c r="C12" s="11"/>
      <c r="D12" s="11"/>
      <c r="E12" s="11">
        <v>38</v>
      </c>
      <c r="F12" s="11"/>
      <c r="G12" s="11">
        <f t="shared" si="0"/>
        <v>38</v>
      </c>
      <c r="H12" s="17">
        <f t="shared" si="1"/>
        <v>0.06</v>
      </c>
      <c r="I12" s="16">
        <f t="shared" si="2"/>
        <v>0</v>
      </c>
      <c r="J12" s="16"/>
    </row>
    <row r="13" spans="1:10" x14ac:dyDescent="0.25">
      <c r="A13" s="1" t="s">
        <v>16</v>
      </c>
      <c r="B13" s="1" t="s">
        <v>22</v>
      </c>
      <c r="C13" s="11"/>
      <c r="D13" s="11"/>
      <c r="E13" s="11">
        <v>384</v>
      </c>
      <c r="F13" s="11"/>
      <c r="G13" s="11">
        <f t="shared" si="0"/>
        <v>384</v>
      </c>
      <c r="H13" s="17">
        <f t="shared" si="1"/>
        <v>0.59</v>
      </c>
      <c r="I13" s="16">
        <f t="shared" si="2"/>
        <v>5.0000000000000001E-3</v>
      </c>
      <c r="J13" s="16"/>
    </row>
    <row r="14" spans="1:10" x14ac:dyDescent="0.25">
      <c r="A14" s="1" t="s">
        <v>16</v>
      </c>
      <c r="B14" s="1" t="s">
        <v>23</v>
      </c>
      <c r="C14" s="11"/>
      <c r="D14" s="11"/>
      <c r="E14" s="11">
        <v>6171</v>
      </c>
      <c r="F14" s="11"/>
      <c r="G14" s="11">
        <f t="shared" si="0"/>
        <v>6171</v>
      </c>
      <c r="H14" s="17">
        <f t="shared" si="1"/>
        <v>9.4600000000000009</v>
      </c>
      <c r="I14" s="16">
        <f t="shared" si="2"/>
        <v>7.6999999999999999E-2</v>
      </c>
      <c r="J14" s="16">
        <f>ROUND(G14/1734.88-1,2)</f>
        <v>2.56</v>
      </c>
    </row>
    <row r="15" spans="1:10" x14ac:dyDescent="0.25">
      <c r="A15" s="1" t="s">
        <v>16</v>
      </c>
      <c r="B15" s="1" t="s">
        <v>24</v>
      </c>
      <c r="C15" s="11">
        <v>5340</v>
      </c>
      <c r="D15" s="11"/>
      <c r="E15" s="11">
        <v>3196</v>
      </c>
      <c r="F15" s="11"/>
      <c r="G15" s="11">
        <f t="shared" si="0"/>
        <v>8536</v>
      </c>
      <c r="H15" s="17">
        <f t="shared" si="1"/>
        <v>13.09</v>
      </c>
      <c r="I15" s="16">
        <f t="shared" si="2"/>
        <v>0.106</v>
      </c>
      <c r="J15" s="16">
        <f>ROUND(G15/6274.9-1,2)</f>
        <v>0.36</v>
      </c>
    </row>
    <row r="16" spans="1:10" x14ac:dyDescent="0.25">
      <c r="A16" s="1" t="s">
        <v>16</v>
      </c>
      <c r="B16" s="1" t="s">
        <v>25</v>
      </c>
      <c r="C16" s="11"/>
      <c r="D16" s="11"/>
      <c r="E16" s="11">
        <v>637</v>
      </c>
      <c r="F16" s="11"/>
      <c r="G16" s="11">
        <f t="shared" si="0"/>
        <v>637</v>
      </c>
      <c r="H16" s="17">
        <f t="shared" si="1"/>
        <v>0.98</v>
      </c>
      <c r="I16" s="16">
        <f t="shared" si="2"/>
        <v>8.0000000000000002E-3</v>
      </c>
      <c r="J16" s="16"/>
    </row>
    <row r="17" spans="1:10" x14ac:dyDescent="0.25">
      <c r="A17" s="1" t="s">
        <v>16</v>
      </c>
      <c r="B17" s="1" t="s">
        <v>26</v>
      </c>
      <c r="C17" s="11">
        <v>7180</v>
      </c>
      <c r="D17" s="11"/>
      <c r="E17" s="11"/>
      <c r="F17" s="11"/>
      <c r="G17" s="11">
        <f t="shared" si="0"/>
        <v>7180</v>
      </c>
      <c r="H17" s="17">
        <f t="shared" si="1"/>
        <v>11.01</v>
      </c>
      <c r="I17" s="16">
        <f t="shared" si="2"/>
        <v>8.8999999999999996E-2</v>
      </c>
      <c r="J17" s="16">
        <f>ROUND(G17/8080-1,2)</f>
        <v>-0.11</v>
      </c>
    </row>
    <row r="18" spans="1:10" x14ac:dyDescent="0.25">
      <c r="A18" s="1" t="s">
        <v>16</v>
      </c>
      <c r="B18" s="1" t="s">
        <v>27</v>
      </c>
      <c r="C18" s="11"/>
      <c r="D18" s="11"/>
      <c r="E18" s="11">
        <v>64</v>
      </c>
      <c r="F18" s="11"/>
      <c r="G18" s="11">
        <f t="shared" si="0"/>
        <v>64</v>
      </c>
      <c r="H18" s="17">
        <f t="shared" si="1"/>
        <v>0.1</v>
      </c>
      <c r="I18" s="16">
        <f t="shared" si="2"/>
        <v>1E-3</v>
      </c>
      <c r="J18" s="16"/>
    </row>
    <row r="19" spans="1:10" x14ac:dyDescent="0.25">
      <c r="A19" s="1" t="s">
        <v>16</v>
      </c>
      <c r="B19" s="1" t="s">
        <v>28</v>
      </c>
      <c r="C19" s="11"/>
      <c r="D19" s="11"/>
      <c r="E19" s="11">
        <v>43</v>
      </c>
      <c r="F19" s="11"/>
      <c r="G19" s="11">
        <f t="shared" si="0"/>
        <v>43</v>
      </c>
      <c r="H19" s="17">
        <f t="shared" si="1"/>
        <v>7.0000000000000007E-2</v>
      </c>
      <c r="I19" s="16">
        <f t="shared" si="2"/>
        <v>1E-3</v>
      </c>
      <c r="J19" s="16"/>
    </row>
    <row r="20" spans="1:10" x14ac:dyDescent="0.25">
      <c r="A20" s="1" t="s">
        <v>16</v>
      </c>
      <c r="B20" s="1" t="s">
        <v>29</v>
      </c>
      <c r="C20" s="11"/>
      <c r="D20" s="11"/>
      <c r="E20" s="11">
        <v>57</v>
      </c>
      <c r="F20" s="11"/>
      <c r="G20" s="11">
        <f t="shared" si="0"/>
        <v>57</v>
      </c>
      <c r="H20" s="17">
        <f t="shared" si="1"/>
        <v>0.09</v>
      </c>
      <c r="I20" s="16">
        <f t="shared" si="2"/>
        <v>1E-3</v>
      </c>
      <c r="J20" s="16"/>
    </row>
    <row r="21" spans="1:10" x14ac:dyDescent="0.25">
      <c r="A21" s="1" t="s">
        <v>16</v>
      </c>
      <c r="B21" s="1" t="s">
        <v>31</v>
      </c>
      <c r="C21" s="11"/>
      <c r="D21" s="11"/>
      <c r="E21" s="11">
        <v>203</v>
      </c>
      <c r="F21" s="11"/>
      <c r="G21" s="11">
        <f t="shared" si="0"/>
        <v>203</v>
      </c>
      <c r="H21" s="17">
        <f t="shared" si="1"/>
        <v>0.31</v>
      </c>
      <c r="I21" s="16">
        <f t="shared" si="2"/>
        <v>3.0000000000000001E-3</v>
      </c>
      <c r="J21" s="16"/>
    </row>
    <row r="22" spans="1:10" x14ac:dyDescent="0.25">
      <c r="A22" s="1" t="s">
        <v>16</v>
      </c>
      <c r="B22" s="1" t="s">
        <v>32</v>
      </c>
      <c r="C22" s="11"/>
      <c r="D22" s="11"/>
      <c r="E22" s="11">
        <v>29</v>
      </c>
      <c r="F22" s="11"/>
      <c r="G22" s="11">
        <f t="shared" si="0"/>
        <v>29</v>
      </c>
      <c r="H22" s="17">
        <f t="shared" si="1"/>
        <v>0.04</v>
      </c>
      <c r="I22" s="16">
        <f t="shared" si="2"/>
        <v>0</v>
      </c>
      <c r="J22" s="16"/>
    </row>
    <row r="23" spans="1:10" x14ac:dyDescent="0.25">
      <c r="A23" s="1" t="s">
        <v>16</v>
      </c>
      <c r="B23" s="1" t="s">
        <v>35</v>
      </c>
      <c r="C23" s="11"/>
      <c r="D23" s="11"/>
      <c r="E23" s="11">
        <v>8781</v>
      </c>
      <c r="F23" s="11"/>
      <c r="G23" s="11">
        <f t="shared" si="0"/>
        <v>8781</v>
      </c>
      <c r="H23" s="17">
        <f t="shared" si="1"/>
        <v>13.47</v>
      </c>
      <c r="I23" s="16">
        <f t="shared" si="2"/>
        <v>0.109</v>
      </c>
      <c r="J23" s="16">
        <f>ROUND(G23/3807.01-1,2)</f>
        <v>1.31</v>
      </c>
    </row>
    <row r="24" spans="1:10" x14ac:dyDescent="0.25">
      <c r="A24" s="1" t="s">
        <v>16</v>
      </c>
      <c r="B24" s="1" t="s">
        <v>37</v>
      </c>
      <c r="C24" s="11"/>
      <c r="D24" s="11"/>
      <c r="E24" s="11">
        <v>2738</v>
      </c>
      <c r="F24" s="11"/>
      <c r="G24" s="11">
        <f t="shared" si="0"/>
        <v>2738</v>
      </c>
      <c r="H24" s="17">
        <f t="shared" si="1"/>
        <v>4.2</v>
      </c>
      <c r="I24" s="16">
        <f t="shared" si="2"/>
        <v>3.4000000000000002E-2</v>
      </c>
      <c r="J24" s="16">
        <f>ROUND(G24/1771.27-1,2)</f>
        <v>0.55000000000000004</v>
      </c>
    </row>
    <row r="25" spans="1:10" x14ac:dyDescent="0.25">
      <c r="A25" s="1" t="s">
        <v>16</v>
      </c>
      <c r="B25" s="1" t="s">
        <v>38</v>
      </c>
      <c r="C25" s="11"/>
      <c r="D25" s="11"/>
      <c r="E25" s="11">
        <v>3873</v>
      </c>
      <c r="F25" s="11"/>
      <c r="G25" s="11">
        <f t="shared" si="0"/>
        <v>3873</v>
      </c>
      <c r="H25" s="17">
        <f t="shared" si="1"/>
        <v>5.94</v>
      </c>
      <c r="I25" s="16">
        <f t="shared" si="2"/>
        <v>4.8000000000000001E-2</v>
      </c>
      <c r="J25" s="16">
        <f>ROUND(G25/187.38-1,2)</f>
        <v>19.670000000000002</v>
      </c>
    </row>
    <row r="26" spans="1:10" x14ac:dyDescent="0.25">
      <c r="A26" s="1" t="s">
        <v>16</v>
      </c>
      <c r="B26" s="1" t="s">
        <v>42</v>
      </c>
      <c r="C26" s="11"/>
      <c r="D26" s="11"/>
      <c r="E26" s="11"/>
      <c r="F26" s="11"/>
      <c r="G26" s="11">
        <f t="shared" si="0"/>
        <v>0</v>
      </c>
      <c r="H26" s="17">
        <f t="shared" si="1"/>
        <v>0</v>
      </c>
      <c r="I26" s="16">
        <f t="shared" si="2"/>
        <v>0</v>
      </c>
      <c r="J26" s="16">
        <f>ROUND(G26/58.02-1,2)</f>
        <v>-1</v>
      </c>
    </row>
    <row r="27" spans="1:10" x14ac:dyDescent="0.25">
      <c r="A27" s="1" t="s">
        <v>16</v>
      </c>
      <c r="B27" s="1" t="s">
        <v>30</v>
      </c>
      <c r="C27" s="11"/>
      <c r="D27" s="11"/>
      <c r="E27" s="11"/>
      <c r="F27" s="11"/>
      <c r="G27" s="11">
        <f t="shared" si="0"/>
        <v>0</v>
      </c>
      <c r="H27" s="17">
        <f t="shared" si="1"/>
        <v>0</v>
      </c>
      <c r="I27" s="16">
        <f t="shared" si="2"/>
        <v>0</v>
      </c>
      <c r="J27" s="16">
        <f>ROUND(G27/42.86-1,2)</f>
        <v>-1</v>
      </c>
    </row>
    <row r="28" spans="1:10" x14ac:dyDescent="0.25">
      <c r="A28" s="1" t="s">
        <v>16</v>
      </c>
      <c r="B28" s="1" t="s">
        <v>41</v>
      </c>
      <c r="C28" s="11"/>
      <c r="D28" s="11"/>
      <c r="E28" s="11"/>
      <c r="F28" s="11"/>
      <c r="G28" s="11">
        <f t="shared" si="0"/>
        <v>0</v>
      </c>
      <c r="H28" s="17">
        <f t="shared" si="1"/>
        <v>0</v>
      </c>
      <c r="I28" s="16">
        <f t="shared" si="2"/>
        <v>0</v>
      </c>
      <c r="J28" s="16">
        <f>ROUND(G28/390.32-1,2)</f>
        <v>-1</v>
      </c>
    </row>
    <row r="29" spans="1:10" x14ac:dyDescent="0.25">
      <c r="A29" s="1" t="s">
        <v>16</v>
      </c>
      <c r="B29" s="1" t="s">
        <v>39</v>
      </c>
      <c r="C29" s="11"/>
      <c r="D29" s="11"/>
      <c r="E29" s="11"/>
      <c r="F29" s="11"/>
      <c r="G29" s="11">
        <f t="shared" si="0"/>
        <v>0</v>
      </c>
      <c r="H29" s="17">
        <f t="shared" si="1"/>
        <v>0</v>
      </c>
      <c r="I29" s="16">
        <f t="shared" si="2"/>
        <v>0</v>
      </c>
      <c r="J29" s="16">
        <f>ROUND(G29/37.24-1,2)</f>
        <v>-1</v>
      </c>
    </row>
    <row r="30" spans="1:10" x14ac:dyDescent="0.25">
      <c r="A30" s="1" t="s">
        <v>16</v>
      </c>
      <c r="B30" s="1" t="s">
        <v>40</v>
      </c>
      <c r="C30" s="11"/>
      <c r="D30" s="11"/>
      <c r="E30" s="11"/>
      <c r="F30" s="11"/>
      <c r="G30" s="11">
        <f t="shared" si="0"/>
        <v>0</v>
      </c>
      <c r="H30" s="17">
        <f t="shared" si="1"/>
        <v>0</v>
      </c>
      <c r="I30" s="16">
        <f t="shared" si="2"/>
        <v>0</v>
      </c>
      <c r="J30" s="16">
        <f>ROUND(G30/138.57-1,2)</f>
        <v>-1</v>
      </c>
    </row>
    <row r="31" spans="1:10" x14ac:dyDescent="0.25">
      <c r="A31" s="1" t="s">
        <v>16</v>
      </c>
      <c r="B31" s="1" t="s">
        <v>34</v>
      </c>
      <c r="C31" s="11"/>
      <c r="D31" s="11"/>
      <c r="E31" s="11"/>
      <c r="F31" s="11"/>
      <c r="G31" s="11">
        <f t="shared" si="0"/>
        <v>0</v>
      </c>
      <c r="H31" s="17">
        <f t="shared" si="1"/>
        <v>0</v>
      </c>
      <c r="I31" s="16">
        <f t="shared" si="2"/>
        <v>0</v>
      </c>
      <c r="J31" s="16"/>
    </row>
    <row r="32" spans="1:10" x14ac:dyDescent="0.25">
      <c r="A32" s="1" t="s">
        <v>16</v>
      </c>
      <c r="B32" s="1" t="s">
        <v>36</v>
      </c>
      <c r="C32" s="11"/>
      <c r="D32" s="11"/>
      <c r="E32" s="11"/>
      <c r="F32" s="11"/>
      <c r="G32" s="11">
        <f t="shared" si="0"/>
        <v>0</v>
      </c>
      <c r="H32" s="17">
        <f t="shared" si="1"/>
        <v>0</v>
      </c>
      <c r="I32" s="16">
        <f t="shared" si="2"/>
        <v>0</v>
      </c>
      <c r="J32" s="16"/>
    </row>
    <row r="33" spans="1:10" x14ac:dyDescent="0.25">
      <c r="A33" s="1" t="s">
        <v>44</v>
      </c>
      <c r="B33" s="1" t="s">
        <v>45</v>
      </c>
      <c r="C33" s="11">
        <v>20650</v>
      </c>
      <c r="D33" s="11"/>
      <c r="E33" s="11"/>
      <c r="F33" s="11"/>
      <c r="G33" s="11">
        <f t="shared" si="0"/>
        <v>20650</v>
      </c>
      <c r="H33" s="17">
        <f t="shared" si="1"/>
        <v>31.67</v>
      </c>
      <c r="I33" s="16">
        <f t="shared" si="2"/>
        <v>0.25700000000000001</v>
      </c>
      <c r="J33" s="16">
        <f>ROUND(G33/19420-1,2)</f>
        <v>0.06</v>
      </c>
    </row>
    <row r="34" spans="1:10" x14ac:dyDescent="0.25">
      <c r="A34" s="1" t="s">
        <v>44</v>
      </c>
      <c r="B34" s="1" t="s">
        <v>46</v>
      </c>
      <c r="C34" s="11"/>
      <c r="D34" s="11"/>
      <c r="E34" s="11">
        <v>5184</v>
      </c>
      <c r="F34" s="11"/>
      <c r="G34" s="11">
        <f t="shared" si="0"/>
        <v>5184</v>
      </c>
      <c r="H34" s="17">
        <f t="shared" si="1"/>
        <v>7.95</v>
      </c>
      <c r="I34" s="16">
        <f t="shared" si="2"/>
        <v>6.5000000000000002E-2</v>
      </c>
      <c r="J34" s="16">
        <f>ROUND(G34/2066.46-1,2)</f>
        <v>1.51</v>
      </c>
    </row>
    <row r="35" spans="1:10" x14ac:dyDescent="0.25">
      <c r="A35" s="1" t="s">
        <v>44</v>
      </c>
      <c r="B35" s="1" t="s">
        <v>47</v>
      </c>
      <c r="C35" s="11"/>
      <c r="D35" s="11"/>
      <c r="E35" s="11"/>
      <c r="F35" s="11"/>
      <c r="G35" s="11">
        <f t="shared" si="0"/>
        <v>0</v>
      </c>
      <c r="H35" s="17">
        <f t="shared" si="1"/>
        <v>0</v>
      </c>
      <c r="I35" s="16">
        <f t="shared" si="2"/>
        <v>0</v>
      </c>
      <c r="J35" s="16"/>
    </row>
    <row r="36" spans="1:10" x14ac:dyDescent="0.25">
      <c r="A36" s="1" t="s">
        <v>48</v>
      </c>
      <c r="B36" s="1" t="s">
        <v>51</v>
      </c>
      <c r="C36" s="11"/>
      <c r="D36" s="11"/>
      <c r="E36" s="11"/>
      <c r="F36" s="11"/>
      <c r="G36" s="11">
        <f t="shared" si="0"/>
        <v>0</v>
      </c>
      <c r="H36" s="17">
        <f t="shared" si="1"/>
        <v>0</v>
      </c>
      <c r="I36" s="16">
        <f t="shared" si="2"/>
        <v>0</v>
      </c>
      <c r="J36" s="16"/>
    </row>
    <row r="37" spans="1:10" x14ac:dyDescent="0.25">
      <c r="A37" s="21" t="s">
        <v>12</v>
      </c>
      <c r="B37" s="21"/>
      <c r="C37" s="12">
        <f t="shared" ref="C37:H37" si="3">SUM(C8:C36)</f>
        <v>47640</v>
      </c>
      <c r="D37" s="12">
        <f t="shared" si="3"/>
        <v>0</v>
      </c>
      <c r="E37" s="12">
        <f t="shared" si="3"/>
        <v>32728</v>
      </c>
      <c r="F37" s="12">
        <f t="shared" si="3"/>
        <v>0</v>
      </c>
      <c r="G37" s="12">
        <f t="shared" si="3"/>
        <v>80368</v>
      </c>
      <c r="H37" s="15">
        <f t="shared" si="3"/>
        <v>123.26000000000002</v>
      </c>
      <c r="I37" s="18"/>
      <c r="J37" s="18"/>
    </row>
    <row r="38" spans="1:10" x14ac:dyDescent="0.25">
      <c r="A38" s="21" t="s">
        <v>14</v>
      </c>
      <c r="B38" s="21"/>
      <c r="C38" s="13">
        <f>ROUND(C37/G37,2)</f>
        <v>0.59</v>
      </c>
      <c r="D38" s="13">
        <f>ROUND(D37/G37,2)</f>
        <v>0</v>
      </c>
      <c r="E38" s="13">
        <f>ROUND(E37/G37,2)</f>
        <v>0.41</v>
      </c>
      <c r="F38" s="13">
        <f>ROUND(F37/G37,2)</f>
        <v>0</v>
      </c>
      <c r="G38" s="14"/>
      <c r="H38" s="14"/>
      <c r="I38" s="18"/>
      <c r="J38" s="18"/>
    </row>
    <row r="39" spans="1:10" x14ac:dyDescent="0.25">
      <c r="A39" s="2" t="s">
        <v>52</v>
      </c>
      <c r="B39" s="2"/>
      <c r="C39" s="14"/>
      <c r="D39" s="14"/>
      <c r="E39" s="14"/>
      <c r="F39" s="14"/>
      <c r="G39" s="14"/>
      <c r="H39" s="14"/>
      <c r="I39" s="18"/>
      <c r="J39" s="18"/>
    </row>
    <row r="40" spans="1:10" x14ac:dyDescent="0.25">
      <c r="C40" s="9"/>
      <c r="D40" s="9"/>
      <c r="E40" s="9"/>
      <c r="F40" s="9"/>
      <c r="G40" s="9"/>
      <c r="H40" s="9"/>
      <c r="I40" s="10"/>
      <c r="J40" s="10"/>
    </row>
    <row r="41" spans="1:10" x14ac:dyDescent="0.25">
      <c r="C41" s="9"/>
      <c r="D41" s="9"/>
      <c r="E41" s="9"/>
      <c r="F41" s="9"/>
      <c r="G41" s="9"/>
      <c r="H41" s="9"/>
      <c r="I41" s="10"/>
      <c r="J41" s="10"/>
    </row>
    <row r="42" spans="1:10" x14ac:dyDescent="0.25">
      <c r="C42" s="9"/>
      <c r="D42" s="9"/>
      <c r="E42" s="9"/>
      <c r="F42" s="9"/>
      <c r="G42" s="9"/>
      <c r="H42" s="9"/>
      <c r="I42" s="10"/>
      <c r="J42" s="10"/>
    </row>
    <row r="43" spans="1:10" x14ac:dyDescent="0.25">
      <c r="A43" s="21" t="s">
        <v>53</v>
      </c>
      <c r="B43" s="21"/>
      <c r="C43" s="12" t="s">
        <v>8</v>
      </c>
      <c r="D43" s="12" t="s">
        <v>9</v>
      </c>
      <c r="E43" s="12" t="s">
        <v>10</v>
      </c>
      <c r="F43" s="12" t="s">
        <v>11</v>
      </c>
      <c r="G43" s="12" t="s">
        <v>12</v>
      </c>
      <c r="H43" s="15" t="s">
        <v>13</v>
      </c>
      <c r="I43" s="18"/>
      <c r="J43" s="18"/>
    </row>
    <row r="44" spans="1:10" x14ac:dyDescent="0.25">
      <c r="A44" s="20" t="s">
        <v>54</v>
      </c>
      <c r="B44" s="20"/>
      <c r="C44" s="11">
        <v>26990</v>
      </c>
      <c r="D44" s="11">
        <v>0</v>
      </c>
      <c r="E44" s="11">
        <v>27544</v>
      </c>
      <c r="F44" s="11">
        <v>0</v>
      </c>
      <c r="G44" s="11">
        <f>SUM(C44:F44)</f>
        <v>54534</v>
      </c>
      <c r="H44" s="17">
        <f>ROUND(G44/652,2)</f>
        <v>83.64</v>
      </c>
      <c r="I44" s="10"/>
      <c r="J44" s="10"/>
    </row>
    <row r="45" spans="1:10" x14ac:dyDescent="0.25">
      <c r="A45" s="20" t="s">
        <v>55</v>
      </c>
      <c r="B45" s="20"/>
      <c r="C45" s="11">
        <v>20650</v>
      </c>
      <c r="D45" s="11">
        <v>0</v>
      </c>
      <c r="E45" s="11">
        <v>5184</v>
      </c>
      <c r="F45" s="11">
        <v>0</v>
      </c>
      <c r="G45" s="11">
        <f>SUM(C45:F45)</f>
        <v>25834</v>
      </c>
      <c r="H45" s="17">
        <f>ROUND(G45/652,2)</f>
        <v>39.619999999999997</v>
      </c>
      <c r="I45" s="10"/>
      <c r="J45" s="10"/>
    </row>
    <row r="46" spans="1:10" x14ac:dyDescent="0.25">
      <c r="A46" s="20" t="s">
        <v>56</v>
      </c>
      <c r="B46" s="20"/>
      <c r="C46" s="11">
        <v>0</v>
      </c>
      <c r="D46" s="11">
        <v>0</v>
      </c>
      <c r="E46" s="11">
        <v>0</v>
      </c>
      <c r="F46" s="11">
        <v>0</v>
      </c>
      <c r="G46" s="11">
        <f>SUM(C46:F46)</f>
        <v>0</v>
      </c>
      <c r="H46" s="17">
        <f>ROUND(G46/652,2)</f>
        <v>0</v>
      </c>
      <c r="I46" s="10"/>
      <c r="J46" s="10"/>
    </row>
    <row r="47" spans="1:10" x14ac:dyDescent="0.25">
      <c r="C47" s="9"/>
      <c r="D47" s="9"/>
      <c r="E47" s="9"/>
      <c r="F47" s="9"/>
      <c r="G47" s="9"/>
      <c r="H47" s="9"/>
      <c r="I47" s="10"/>
      <c r="J47" s="10"/>
    </row>
    <row r="48" spans="1:10" x14ac:dyDescent="0.25">
      <c r="C48" s="9"/>
      <c r="D48" s="9"/>
      <c r="E48" s="9"/>
      <c r="F48" s="9"/>
      <c r="G48" s="9"/>
      <c r="H48" s="9"/>
      <c r="I48" s="10"/>
      <c r="J48" s="10"/>
    </row>
    <row r="49" spans="1:10" x14ac:dyDescent="0.25">
      <c r="C49" s="9"/>
      <c r="D49" s="9"/>
      <c r="E49" s="9"/>
      <c r="F49" s="9"/>
      <c r="G49" s="9"/>
      <c r="H49" s="9"/>
      <c r="I49" s="10"/>
      <c r="J49" s="10"/>
    </row>
    <row r="50" spans="1:10" x14ac:dyDescent="0.25">
      <c r="C50" s="9"/>
      <c r="D50" s="9"/>
      <c r="E50" s="9"/>
      <c r="F50" s="9"/>
      <c r="G50" s="9"/>
      <c r="H50" s="9"/>
      <c r="I50" s="10"/>
      <c r="J50" s="10"/>
    </row>
    <row r="51" spans="1:10" x14ac:dyDescent="0.25">
      <c r="A51" s="21" t="s">
        <v>57</v>
      </c>
      <c r="B51" s="21"/>
      <c r="C51" s="15" t="s">
        <v>2</v>
      </c>
      <c r="D51" s="15">
        <v>2023</v>
      </c>
      <c r="E51" s="15" t="s">
        <v>59</v>
      </c>
      <c r="F51" s="14"/>
      <c r="G51" s="15" t="s">
        <v>60</v>
      </c>
      <c r="H51" s="15" t="s">
        <v>2</v>
      </c>
      <c r="I51" s="13" t="s">
        <v>61</v>
      </c>
      <c r="J51" s="13" t="s">
        <v>59</v>
      </c>
    </row>
    <row r="52" spans="1:10" x14ac:dyDescent="0.25">
      <c r="A52" s="20" t="s">
        <v>58</v>
      </c>
      <c r="B52" s="20"/>
      <c r="C52" s="16">
        <f>ROUND(0.7203, 4)</f>
        <v>0.72030000000000005</v>
      </c>
      <c r="D52" s="16">
        <f>ROUND(0.5958, 4)</f>
        <v>0.5958</v>
      </c>
      <c r="E52" s="16">
        <f>ROUND(0.777, 4)</f>
        <v>0.77700000000000002</v>
      </c>
      <c r="F52" s="9"/>
      <c r="G52" s="15" t="s">
        <v>62</v>
      </c>
      <c r="H52" s="22" t="s">
        <v>63</v>
      </c>
      <c r="I52" s="24" t="s">
        <v>64</v>
      </c>
      <c r="J52" s="24" t="s">
        <v>65</v>
      </c>
    </row>
    <row r="53" spans="1:10" x14ac:dyDescent="0.25">
      <c r="A53" s="20" t="s">
        <v>66</v>
      </c>
      <c r="B53" s="20"/>
      <c r="C53" s="16">
        <f>ROUND(0.6762, 4)</f>
        <v>0.67620000000000002</v>
      </c>
      <c r="D53" s="16">
        <f>ROUND(0.5494, 4)</f>
        <v>0.5494</v>
      </c>
      <c r="E53" s="16">
        <f>ROUND(0.7608, 4)</f>
        <v>0.76080000000000003</v>
      </c>
      <c r="F53" s="9"/>
      <c r="G53" s="15" t="s">
        <v>67</v>
      </c>
      <c r="H53" s="23"/>
      <c r="I53" s="25"/>
      <c r="J53" s="25"/>
    </row>
    <row r="54" spans="1:10" x14ac:dyDescent="0.25">
      <c r="C54" s="9"/>
      <c r="D54" s="9"/>
      <c r="E54" s="9"/>
      <c r="F54" s="9"/>
      <c r="G54" s="9"/>
      <c r="H54" s="9"/>
      <c r="I54" s="10"/>
      <c r="J54" s="10"/>
    </row>
    <row r="55" spans="1:10" x14ac:dyDescent="0.25">
      <c r="C55" s="9"/>
      <c r="D55" s="9"/>
      <c r="E55" s="9"/>
      <c r="F55" s="9"/>
      <c r="G55" s="9"/>
      <c r="H55" s="9"/>
      <c r="I55" s="10"/>
      <c r="J55" s="10"/>
    </row>
    <row r="56" spans="1:10" x14ac:dyDescent="0.25">
      <c r="C56" s="9"/>
      <c r="D56" s="9"/>
      <c r="E56" s="9"/>
      <c r="F56" s="9"/>
      <c r="G56" s="9"/>
      <c r="H56" s="9"/>
      <c r="I56" s="10"/>
      <c r="J56" s="10"/>
    </row>
    <row r="57" spans="1:10" x14ac:dyDescent="0.25">
      <c r="A57" s="21" t="s">
        <v>68</v>
      </c>
      <c r="B57" s="21"/>
      <c r="C57" s="15" t="s">
        <v>2</v>
      </c>
      <c r="D57" s="15" t="s">
        <v>186</v>
      </c>
      <c r="E57" s="15" t="s">
        <v>70</v>
      </c>
      <c r="F57" s="15" t="s">
        <v>71</v>
      </c>
      <c r="G57" s="15" t="s">
        <v>72</v>
      </c>
      <c r="H57" s="14"/>
      <c r="I57" s="18"/>
      <c r="J57" s="18"/>
    </row>
    <row r="58" spans="1:10" x14ac:dyDescent="0.25">
      <c r="A58" s="20" t="s">
        <v>73</v>
      </c>
      <c r="B58" s="20"/>
      <c r="C58" s="17">
        <v>31.67</v>
      </c>
      <c r="D58" s="17">
        <v>80.5</v>
      </c>
      <c r="E58" s="17">
        <v>81.84</v>
      </c>
      <c r="F58" s="17">
        <v>48</v>
      </c>
      <c r="G58" s="17">
        <f>12/4*C58</f>
        <v>95.01</v>
      </c>
      <c r="H58" s="9"/>
      <c r="I58" s="10"/>
      <c r="J58" s="10"/>
    </row>
    <row r="59" spans="1:10" x14ac:dyDescent="0.25">
      <c r="A59" s="20" t="s">
        <v>74</v>
      </c>
      <c r="B59" s="20"/>
      <c r="C59" s="17">
        <v>11.01</v>
      </c>
      <c r="D59" s="17">
        <v>30.84</v>
      </c>
      <c r="E59" s="17">
        <v>55.63</v>
      </c>
      <c r="F59" s="17">
        <v>55.33</v>
      </c>
      <c r="G59" s="17">
        <f>12/4*C59</f>
        <v>33.03</v>
      </c>
      <c r="H59" s="9"/>
      <c r="I59" s="10"/>
      <c r="J59" s="10"/>
    </row>
    <row r="60" spans="1:10" x14ac:dyDescent="0.25">
      <c r="A60" s="20" t="s">
        <v>75</v>
      </c>
      <c r="B60" s="20"/>
      <c r="C60" s="17">
        <v>83.64</v>
      </c>
      <c r="D60" s="17">
        <v>165.46</v>
      </c>
      <c r="E60" s="17">
        <v>257.88</v>
      </c>
      <c r="F60" s="17">
        <v>242.78</v>
      </c>
      <c r="G60" s="17">
        <f>12/4*C60</f>
        <v>250.92000000000002</v>
      </c>
      <c r="H60" s="9"/>
      <c r="I60" s="10"/>
      <c r="J60" s="10"/>
    </row>
    <row r="61" spans="1:10" x14ac:dyDescent="0.25">
      <c r="A61" s="20" t="s">
        <v>76</v>
      </c>
      <c r="B61" s="20"/>
      <c r="C61" s="17">
        <v>39.619999999999997</v>
      </c>
      <c r="D61" s="17">
        <v>91.94</v>
      </c>
      <c r="E61" s="17">
        <v>103.14</v>
      </c>
      <c r="F61" s="17">
        <v>68.31</v>
      </c>
      <c r="G61" s="17">
        <f>12/4*C61</f>
        <v>118.85999999999999</v>
      </c>
      <c r="H61" s="9"/>
      <c r="I61" s="10"/>
      <c r="J61" s="10"/>
    </row>
    <row r="62" spans="1:10" x14ac:dyDescent="0.25">
      <c r="C62" s="9"/>
      <c r="D62" s="9"/>
      <c r="E62" s="9"/>
      <c r="F62" s="9"/>
      <c r="G62" s="9"/>
      <c r="H62" s="9"/>
      <c r="I62" s="10"/>
      <c r="J62" s="10"/>
    </row>
    <row r="63" spans="1:10" x14ac:dyDescent="0.25">
      <c r="C63" s="9"/>
      <c r="D63" s="9"/>
      <c r="E63" s="9"/>
      <c r="F63" s="9"/>
      <c r="G63" s="9"/>
      <c r="H63" s="9"/>
      <c r="I63" s="10"/>
      <c r="J63" s="10"/>
    </row>
    <row r="64" spans="1:10" x14ac:dyDescent="0.25">
      <c r="A64" s="19" t="s">
        <v>60</v>
      </c>
      <c r="B64" s="26"/>
      <c r="C64" s="9"/>
      <c r="D64" s="9"/>
      <c r="E64" s="9"/>
      <c r="F64" s="9"/>
      <c r="G64" s="9"/>
      <c r="H64" s="9"/>
      <c r="I64" s="10"/>
      <c r="J64" s="10"/>
    </row>
    <row r="65" spans="1:10" x14ac:dyDescent="0.25">
      <c r="A65" s="3" t="s">
        <v>77</v>
      </c>
      <c r="B65" s="1" t="s">
        <v>187</v>
      </c>
      <c r="C65" s="9"/>
      <c r="D65" s="9"/>
      <c r="E65" s="9"/>
      <c r="F65" s="9"/>
      <c r="G65" s="9"/>
      <c r="H65" s="9"/>
      <c r="I65" s="10"/>
      <c r="J65" s="10"/>
    </row>
    <row r="66" spans="1:10" x14ac:dyDescent="0.25">
      <c r="A66" s="3" t="s">
        <v>70</v>
      </c>
      <c r="B66" s="1" t="s">
        <v>79</v>
      </c>
      <c r="C66" s="9"/>
      <c r="D66" s="9"/>
      <c r="E66" s="9"/>
      <c r="F66" s="9"/>
      <c r="G66" s="9"/>
      <c r="H66" s="9"/>
      <c r="I66" s="10"/>
      <c r="J66" s="10"/>
    </row>
    <row r="67" spans="1:10" x14ac:dyDescent="0.25">
      <c r="A67" s="3" t="s">
        <v>71</v>
      </c>
      <c r="B67" s="1" t="s">
        <v>80</v>
      </c>
      <c r="C67" s="9"/>
      <c r="D67" s="9"/>
      <c r="E67" s="9"/>
      <c r="F67" s="9"/>
      <c r="G67" s="9"/>
      <c r="H67" s="9"/>
      <c r="I67" s="10"/>
      <c r="J67" s="10"/>
    </row>
    <row r="68" spans="1:10" x14ac:dyDescent="0.25">
      <c r="A68" s="3" t="s">
        <v>72</v>
      </c>
      <c r="B68" s="1" t="s">
        <v>81</v>
      </c>
      <c r="C68" s="9"/>
      <c r="D68" s="9"/>
      <c r="E68" s="9"/>
      <c r="F68" s="9"/>
      <c r="G68" s="9"/>
      <c r="H68" s="9"/>
      <c r="I68" s="10"/>
      <c r="J68" s="10"/>
    </row>
    <row r="69" spans="1:10" x14ac:dyDescent="0.25">
      <c r="C69" s="9"/>
      <c r="D69" s="9"/>
      <c r="E69" s="9"/>
      <c r="F69" s="9"/>
      <c r="G69" s="9"/>
      <c r="H69" s="9"/>
      <c r="I69" s="10"/>
      <c r="J69" s="10"/>
    </row>
    <row r="70" spans="1:10" x14ac:dyDescent="0.25">
      <c r="C70" s="9"/>
      <c r="D70" s="9"/>
      <c r="E70" s="9"/>
      <c r="F70" s="9"/>
      <c r="G70" s="9"/>
      <c r="H70" s="9"/>
      <c r="I70" s="10"/>
      <c r="J70" s="10"/>
    </row>
    <row r="71" spans="1:10" x14ac:dyDescent="0.25">
      <c r="C71" s="9"/>
      <c r="D71" s="9"/>
      <c r="E71" s="9"/>
      <c r="F71" s="9"/>
      <c r="G71" s="9"/>
      <c r="H71" s="9"/>
      <c r="I71" s="10"/>
      <c r="J71" s="10"/>
    </row>
    <row r="72" spans="1:10" x14ac:dyDescent="0.25">
      <c r="C72" s="9"/>
      <c r="D72" s="9"/>
      <c r="E72" s="9"/>
      <c r="F72" s="9"/>
      <c r="G72" s="9"/>
      <c r="H72" s="9"/>
      <c r="I72" s="10"/>
      <c r="J72" s="10"/>
    </row>
    <row r="73" spans="1:10" x14ac:dyDescent="0.25">
      <c r="C73" s="9"/>
      <c r="D73" s="9"/>
      <c r="E73" s="9"/>
      <c r="F73" s="9"/>
      <c r="G73" s="9"/>
      <c r="H73" s="9"/>
      <c r="I73" s="10"/>
      <c r="J73" s="10"/>
    </row>
    <row r="74" spans="1:10" x14ac:dyDescent="0.25">
      <c r="C74" s="9"/>
      <c r="D74" s="9"/>
      <c r="E74" s="9"/>
      <c r="F74" s="9"/>
      <c r="G74" s="9"/>
      <c r="H74" s="9"/>
      <c r="I74" s="10"/>
      <c r="J74" s="10"/>
    </row>
  </sheetData>
  <mergeCells count="19">
    <mergeCell ref="A59:B59"/>
    <mergeCell ref="A60:B60"/>
    <mergeCell ref="A61:B61"/>
    <mergeCell ref="A64:B64"/>
    <mergeCell ref="I52:I53"/>
    <mergeCell ref="J52:J53"/>
    <mergeCell ref="A53:B53"/>
    <mergeCell ref="A57:B57"/>
    <mergeCell ref="A58:B58"/>
    <mergeCell ref="A45:B45"/>
    <mergeCell ref="A46:B46"/>
    <mergeCell ref="A51:B51"/>
    <mergeCell ref="A52:B52"/>
    <mergeCell ref="H52:H53"/>
    <mergeCell ref="C7:G7"/>
    <mergeCell ref="A37:B37"/>
    <mergeCell ref="A38:B38"/>
    <mergeCell ref="A43:B43"/>
    <mergeCell ref="A44:B44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2:J74"/>
  <sheetViews>
    <sheetView workbookViewId="0">
      <selection activeCell="C9" sqref="C9:J69"/>
    </sheetView>
  </sheetViews>
  <sheetFormatPr defaultRowHeight="15" x14ac:dyDescent="0.25"/>
  <cols>
    <col min="1" max="1" width="38.85546875" bestFit="1" customWidth="1"/>
    <col min="2" max="2" width="79" bestFit="1" customWidth="1"/>
    <col min="3" max="3" width="14" bestFit="1" customWidth="1"/>
    <col min="4" max="4" width="24.7109375" bestFit="1" customWidth="1"/>
    <col min="5" max="5" width="16.42578125" bestFit="1" customWidth="1"/>
    <col min="6" max="6" width="10.5703125" bestFit="1" customWidth="1"/>
    <col min="7" max="7" width="68.28515625" bestFit="1" customWidth="1"/>
    <col min="8" max="9" width="20" bestFit="1" customWidth="1"/>
    <col min="10" max="10" width="30.5703125" bestFit="1" customWidth="1"/>
  </cols>
  <sheetData>
    <row r="2" spans="1:10" ht="18.75" x14ac:dyDescent="0.3">
      <c r="A2" s="3" t="s">
        <v>0</v>
      </c>
      <c r="B2" s="4" t="s">
        <v>188</v>
      </c>
    </row>
    <row r="3" spans="1:10" x14ac:dyDescent="0.25">
      <c r="A3" s="3" t="s">
        <v>2</v>
      </c>
      <c r="B3" s="1" t="s">
        <v>3</v>
      </c>
    </row>
    <row r="4" spans="1:10" x14ac:dyDescent="0.25">
      <c r="A4" s="3" t="s">
        <v>4</v>
      </c>
      <c r="B4" s="1">
        <v>3611</v>
      </c>
    </row>
    <row r="7" spans="1:10" x14ac:dyDescent="0.25">
      <c r="C7" s="19" t="s">
        <v>5</v>
      </c>
      <c r="D7" s="20"/>
      <c r="E7" s="20"/>
      <c r="F7" s="20"/>
      <c r="G7" s="20"/>
    </row>
    <row r="8" spans="1:10" x14ac:dyDescent="0.25">
      <c r="A8" s="3" t="s">
        <v>6</v>
      </c>
      <c r="B8" s="3" t="s">
        <v>7</v>
      </c>
      <c r="C8" s="3" t="s">
        <v>8</v>
      </c>
      <c r="D8" s="3" t="s">
        <v>9</v>
      </c>
      <c r="E8" s="3" t="s">
        <v>10</v>
      </c>
      <c r="F8" s="3" t="s">
        <v>11</v>
      </c>
      <c r="G8" s="3" t="s">
        <v>12</v>
      </c>
      <c r="H8" s="3" t="s">
        <v>13</v>
      </c>
      <c r="I8" s="3" t="s">
        <v>14</v>
      </c>
      <c r="J8" s="3" t="s">
        <v>15</v>
      </c>
    </row>
    <row r="9" spans="1:10" x14ac:dyDescent="0.25">
      <c r="A9" s="1" t="s">
        <v>16</v>
      </c>
      <c r="B9" s="1" t="s">
        <v>17</v>
      </c>
      <c r="C9" s="11"/>
      <c r="D9" s="11"/>
      <c r="E9" s="11">
        <v>60</v>
      </c>
      <c r="F9" s="11"/>
      <c r="G9" s="11">
        <f t="shared" ref="G9:G42" si="0">SUM(C9:F9)</f>
        <v>60</v>
      </c>
      <c r="H9" s="17">
        <f t="shared" ref="H9:H42" si="1">ROUND(G9/3611,2)</f>
        <v>0.02</v>
      </c>
      <c r="I9" s="16">
        <f t="shared" ref="I9:I42" si="2">ROUND(G9/$G$43,3)</f>
        <v>0</v>
      </c>
      <c r="J9" s="16">
        <f>ROUND(G9/36-1,2)</f>
        <v>0.67</v>
      </c>
    </row>
    <row r="10" spans="1:10" x14ac:dyDescent="0.25">
      <c r="A10" s="1" t="s">
        <v>16</v>
      </c>
      <c r="B10" s="1" t="s">
        <v>19</v>
      </c>
      <c r="C10" s="11">
        <v>41030</v>
      </c>
      <c r="D10" s="11"/>
      <c r="E10" s="11">
        <v>1980</v>
      </c>
      <c r="F10" s="11">
        <v>70</v>
      </c>
      <c r="G10" s="11">
        <f t="shared" si="0"/>
        <v>43080</v>
      </c>
      <c r="H10" s="17">
        <f t="shared" si="1"/>
        <v>11.93</v>
      </c>
      <c r="I10" s="16">
        <f t="shared" si="2"/>
        <v>0.10199999999999999</v>
      </c>
      <c r="J10" s="16">
        <f>ROUND(G10/39130-1,2)</f>
        <v>0.1</v>
      </c>
    </row>
    <row r="11" spans="1:10" x14ac:dyDescent="0.25">
      <c r="A11" s="1" t="s">
        <v>16</v>
      </c>
      <c r="B11" s="1" t="s">
        <v>20</v>
      </c>
      <c r="C11" s="11">
        <v>41980</v>
      </c>
      <c r="D11" s="11"/>
      <c r="E11" s="11"/>
      <c r="F11" s="11"/>
      <c r="G11" s="11">
        <f t="shared" si="0"/>
        <v>41980</v>
      </c>
      <c r="H11" s="17">
        <f t="shared" si="1"/>
        <v>11.63</v>
      </c>
      <c r="I11" s="16">
        <f t="shared" si="2"/>
        <v>0.1</v>
      </c>
      <c r="J11" s="16">
        <f>ROUND(G11/40960-1,2)</f>
        <v>0.02</v>
      </c>
    </row>
    <row r="12" spans="1:10" x14ac:dyDescent="0.25">
      <c r="A12" s="1" t="s">
        <v>16</v>
      </c>
      <c r="B12" s="1" t="s">
        <v>94</v>
      </c>
      <c r="C12" s="11"/>
      <c r="D12" s="11"/>
      <c r="E12" s="11">
        <v>77</v>
      </c>
      <c r="F12" s="11"/>
      <c r="G12" s="11">
        <f t="shared" si="0"/>
        <v>77</v>
      </c>
      <c r="H12" s="17">
        <f t="shared" si="1"/>
        <v>0.02</v>
      </c>
      <c r="I12" s="16">
        <f t="shared" si="2"/>
        <v>0</v>
      </c>
      <c r="J12" s="16">
        <f>ROUND(G12/54-1,2)</f>
        <v>0.43</v>
      </c>
    </row>
    <row r="13" spans="1:10" x14ac:dyDescent="0.25">
      <c r="A13" s="1" t="s">
        <v>16</v>
      </c>
      <c r="B13" s="1" t="s">
        <v>21</v>
      </c>
      <c r="C13" s="11"/>
      <c r="D13" s="11"/>
      <c r="E13" s="11">
        <v>264</v>
      </c>
      <c r="F13" s="11"/>
      <c r="G13" s="11">
        <f t="shared" si="0"/>
        <v>264</v>
      </c>
      <c r="H13" s="17">
        <f t="shared" si="1"/>
        <v>7.0000000000000007E-2</v>
      </c>
      <c r="I13" s="16">
        <f t="shared" si="2"/>
        <v>1E-3</v>
      </c>
      <c r="J13" s="16">
        <f>ROUND(G13/76-1,2)</f>
        <v>2.4700000000000002</v>
      </c>
    </row>
    <row r="14" spans="1:10" x14ac:dyDescent="0.25">
      <c r="A14" s="1" t="s">
        <v>16</v>
      </c>
      <c r="B14" s="1" t="s">
        <v>22</v>
      </c>
      <c r="C14" s="11"/>
      <c r="D14" s="11"/>
      <c r="E14" s="11">
        <v>700</v>
      </c>
      <c r="F14" s="11"/>
      <c r="G14" s="11">
        <f t="shared" si="0"/>
        <v>700</v>
      </c>
      <c r="H14" s="17">
        <f t="shared" si="1"/>
        <v>0.19</v>
      </c>
      <c r="I14" s="16">
        <f t="shared" si="2"/>
        <v>2E-3</v>
      </c>
      <c r="J14" s="16">
        <f>ROUND(G14/1500-1,2)</f>
        <v>-0.53</v>
      </c>
    </row>
    <row r="15" spans="1:10" x14ac:dyDescent="0.25">
      <c r="A15" s="1" t="s">
        <v>16</v>
      </c>
      <c r="B15" s="1" t="s">
        <v>23</v>
      </c>
      <c r="C15" s="11"/>
      <c r="D15" s="11"/>
      <c r="E15" s="11">
        <v>63520</v>
      </c>
      <c r="F15" s="11"/>
      <c r="G15" s="11">
        <f t="shared" si="0"/>
        <v>63520</v>
      </c>
      <c r="H15" s="17">
        <f t="shared" si="1"/>
        <v>17.59</v>
      </c>
      <c r="I15" s="16">
        <f t="shared" si="2"/>
        <v>0.151</v>
      </c>
      <c r="J15" s="16">
        <f>ROUND(G15/10340-1,2)</f>
        <v>5.14</v>
      </c>
    </row>
    <row r="16" spans="1:10" x14ac:dyDescent="0.25">
      <c r="A16" s="1" t="s">
        <v>16</v>
      </c>
      <c r="B16" s="1" t="s">
        <v>24</v>
      </c>
      <c r="C16" s="11">
        <v>44160</v>
      </c>
      <c r="D16" s="11"/>
      <c r="E16" s="11">
        <v>5540</v>
      </c>
      <c r="F16" s="11"/>
      <c r="G16" s="11">
        <f t="shared" si="0"/>
        <v>49700</v>
      </c>
      <c r="H16" s="17">
        <f t="shared" si="1"/>
        <v>13.76</v>
      </c>
      <c r="I16" s="16">
        <f t="shared" si="2"/>
        <v>0.11799999999999999</v>
      </c>
      <c r="J16" s="16">
        <f>ROUND(G16/58640-1,2)</f>
        <v>-0.15</v>
      </c>
    </row>
    <row r="17" spans="1:10" x14ac:dyDescent="0.25">
      <c r="A17" s="1" t="s">
        <v>16</v>
      </c>
      <c r="B17" s="1" t="s">
        <v>25</v>
      </c>
      <c r="C17" s="11"/>
      <c r="D17" s="11"/>
      <c r="E17" s="11">
        <v>4960</v>
      </c>
      <c r="F17" s="11"/>
      <c r="G17" s="11">
        <f t="shared" si="0"/>
        <v>4960</v>
      </c>
      <c r="H17" s="17">
        <f t="shared" si="1"/>
        <v>1.37</v>
      </c>
      <c r="I17" s="16">
        <f t="shared" si="2"/>
        <v>1.2E-2</v>
      </c>
      <c r="J17" s="16">
        <f>ROUND(G17/2090-1,2)</f>
        <v>1.37</v>
      </c>
    </row>
    <row r="18" spans="1:10" x14ac:dyDescent="0.25">
      <c r="A18" s="1" t="s">
        <v>16</v>
      </c>
      <c r="B18" s="1" t="s">
        <v>26</v>
      </c>
      <c r="C18" s="11">
        <v>66160</v>
      </c>
      <c r="D18" s="11"/>
      <c r="E18" s="11"/>
      <c r="F18" s="11"/>
      <c r="G18" s="11">
        <f t="shared" si="0"/>
        <v>66160</v>
      </c>
      <c r="H18" s="17">
        <f t="shared" si="1"/>
        <v>18.32</v>
      </c>
      <c r="I18" s="16">
        <f t="shared" si="2"/>
        <v>0.157</v>
      </c>
      <c r="J18" s="16">
        <f>ROUND(G18/62240-1,2)</f>
        <v>0.06</v>
      </c>
    </row>
    <row r="19" spans="1:10" x14ac:dyDescent="0.25">
      <c r="A19" s="1" t="s">
        <v>16</v>
      </c>
      <c r="B19" s="1" t="s">
        <v>27</v>
      </c>
      <c r="C19" s="11"/>
      <c r="D19" s="11"/>
      <c r="E19" s="11">
        <v>257</v>
      </c>
      <c r="F19" s="11"/>
      <c r="G19" s="11">
        <f t="shared" si="0"/>
        <v>257</v>
      </c>
      <c r="H19" s="17">
        <f t="shared" si="1"/>
        <v>7.0000000000000007E-2</v>
      </c>
      <c r="I19" s="16">
        <f t="shared" si="2"/>
        <v>1E-3</v>
      </c>
      <c r="J19" s="16">
        <f>ROUND(G19/228-1,2)</f>
        <v>0.13</v>
      </c>
    </row>
    <row r="20" spans="1:10" x14ac:dyDescent="0.25">
      <c r="A20" s="1" t="s">
        <v>16</v>
      </c>
      <c r="B20" s="1" t="s">
        <v>28</v>
      </c>
      <c r="C20" s="11"/>
      <c r="D20" s="11"/>
      <c r="E20" s="11">
        <v>160</v>
      </c>
      <c r="F20" s="11"/>
      <c r="G20" s="11">
        <f t="shared" si="0"/>
        <v>160</v>
      </c>
      <c r="H20" s="17">
        <f t="shared" si="1"/>
        <v>0.04</v>
      </c>
      <c r="I20" s="16">
        <f t="shared" si="2"/>
        <v>0</v>
      </c>
      <c r="J20" s="16">
        <f>ROUND(G20/165-1,2)</f>
        <v>-0.03</v>
      </c>
    </row>
    <row r="21" spans="1:10" x14ac:dyDescent="0.25">
      <c r="A21" s="1" t="s">
        <v>16</v>
      </c>
      <c r="B21" s="1" t="s">
        <v>29</v>
      </c>
      <c r="C21" s="11"/>
      <c r="D21" s="11"/>
      <c r="E21" s="11">
        <v>550</v>
      </c>
      <c r="F21" s="11"/>
      <c r="G21" s="11">
        <f t="shared" si="0"/>
        <v>550</v>
      </c>
      <c r="H21" s="17">
        <f t="shared" si="1"/>
        <v>0.15</v>
      </c>
      <c r="I21" s="16">
        <f t="shared" si="2"/>
        <v>1E-3</v>
      </c>
      <c r="J21" s="16">
        <f>ROUND(G21/410-1,2)</f>
        <v>0.34</v>
      </c>
    </row>
    <row r="22" spans="1:10" x14ac:dyDescent="0.25">
      <c r="A22" s="1" t="s">
        <v>16</v>
      </c>
      <c r="B22" s="1" t="s">
        <v>31</v>
      </c>
      <c r="C22" s="11"/>
      <c r="D22" s="11"/>
      <c r="E22" s="11">
        <v>520</v>
      </c>
      <c r="F22" s="11"/>
      <c r="G22" s="11">
        <f t="shared" si="0"/>
        <v>520</v>
      </c>
      <c r="H22" s="17">
        <f t="shared" si="1"/>
        <v>0.14000000000000001</v>
      </c>
      <c r="I22" s="16">
        <f t="shared" si="2"/>
        <v>1E-3</v>
      </c>
      <c r="J22" s="16">
        <f>ROUND(G22/370-1,2)</f>
        <v>0.41</v>
      </c>
    </row>
    <row r="23" spans="1:10" x14ac:dyDescent="0.25">
      <c r="A23" s="1" t="s">
        <v>16</v>
      </c>
      <c r="B23" s="1" t="s">
        <v>32</v>
      </c>
      <c r="C23" s="11"/>
      <c r="D23" s="11">
        <v>143</v>
      </c>
      <c r="E23" s="11"/>
      <c r="F23" s="11"/>
      <c r="G23" s="11">
        <f t="shared" si="0"/>
        <v>143</v>
      </c>
      <c r="H23" s="17">
        <f t="shared" si="1"/>
        <v>0.04</v>
      </c>
      <c r="I23" s="16">
        <f t="shared" si="2"/>
        <v>0</v>
      </c>
      <c r="J23" s="16">
        <f>ROUND(G23/79-1,2)</f>
        <v>0.81</v>
      </c>
    </row>
    <row r="24" spans="1:10" x14ac:dyDescent="0.25">
      <c r="A24" s="1" t="s">
        <v>16</v>
      </c>
      <c r="B24" s="1" t="s">
        <v>33</v>
      </c>
      <c r="C24" s="11"/>
      <c r="D24" s="11"/>
      <c r="E24" s="11">
        <v>600</v>
      </c>
      <c r="F24" s="11"/>
      <c r="G24" s="11">
        <f t="shared" si="0"/>
        <v>600</v>
      </c>
      <c r="H24" s="17">
        <f t="shared" si="1"/>
        <v>0.17</v>
      </c>
      <c r="I24" s="16">
        <f t="shared" si="2"/>
        <v>1E-3</v>
      </c>
      <c r="J24" s="16"/>
    </row>
    <row r="25" spans="1:10" x14ac:dyDescent="0.25">
      <c r="A25" s="1" t="s">
        <v>16</v>
      </c>
      <c r="B25" s="1" t="s">
        <v>35</v>
      </c>
      <c r="C25" s="11"/>
      <c r="D25" s="11"/>
      <c r="E25" s="11">
        <v>31420</v>
      </c>
      <c r="F25" s="11"/>
      <c r="G25" s="11">
        <f t="shared" si="0"/>
        <v>31420</v>
      </c>
      <c r="H25" s="17">
        <f t="shared" si="1"/>
        <v>8.6999999999999993</v>
      </c>
      <c r="I25" s="16">
        <f t="shared" si="2"/>
        <v>7.4999999999999997E-2</v>
      </c>
      <c r="J25" s="16">
        <f>ROUND(G25/22120-1,2)</f>
        <v>0.42</v>
      </c>
    </row>
    <row r="26" spans="1:10" x14ac:dyDescent="0.25">
      <c r="A26" s="1" t="s">
        <v>16</v>
      </c>
      <c r="B26" s="1" t="s">
        <v>36</v>
      </c>
      <c r="C26" s="11"/>
      <c r="D26" s="11"/>
      <c r="E26" s="11">
        <v>1980</v>
      </c>
      <c r="F26" s="11"/>
      <c r="G26" s="11">
        <f t="shared" si="0"/>
        <v>1980</v>
      </c>
      <c r="H26" s="17">
        <f t="shared" si="1"/>
        <v>0.55000000000000004</v>
      </c>
      <c r="I26" s="16">
        <f t="shared" si="2"/>
        <v>5.0000000000000001E-3</v>
      </c>
      <c r="J26" s="16">
        <f>ROUND(G26/1450-1,2)</f>
        <v>0.37</v>
      </c>
    </row>
    <row r="27" spans="1:10" x14ac:dyDescent="0.25">
      <c r="A27" s="1" t="s">
        <v>16</v>
      </c>
      <c r="B27" s="1" t="s">
        <v>37</v>
      </c>
      <c r="C27" s="11"/>
      <c r="D27" s="11"/>
      <c r="E27" s="11">
        <v>9090</v>
      </c>
      <c r="F27" s="11"/>
      <c r="G27" s="11">
        <f t="shared" si="0"/>
        <v>9090</v>
      </c>
      <c r="H27" s="17">
        <f t="shared" si="1"/>
        <v>2.52</v>
      </c>
      <c r="I27" s="16">
        <f t="shared" si="2"/>
        <v>2.1999999999999999E-2</v>
      </c>
      <c r="J27" s="16">
        <f>ROUND(G27/5160-1,2)</f>
        <v>0.76</v>
      </c>
    </row>
    <row r="28" spans="1:10" x14ac:dyDescent="0.25">
      <c r="A28" s="1" t="s">
        <v>16</v>
      </c>
      <c r="B28" s="1" t="s">
        <v>38</v>
      </c>
      <c r="C28" s="11"/>
      <c r="D28" s="11"/>
      <c r="E28" s="11">
        <v>22580</v>
      </c>
      <c r="F28" s="11"/>
      <c r="G28" s="11">
        <f t="shared" si="0"/>
        <v>22580</v>
      </c>
      <c r="H28" s="17">
        <f t="shared" si="1"/>
        <v>6.25</v>
      </c>
      <c r="I28" s="16">
        <f t="shared" si="2"/>
        <v>5.3999999999999999E-2</v>
      </c>
      <c r="J28" s="16">
        <f>ROUND(G28/25640-1,2)</f>
        <v>-0.12</v>
      </c>
    </row>
    <row r="29" spans="1:10" x14ac:dyDescent="0.25">
      <c r="A29" s="1" t="s">
        <v>16</v>
      </c>
      <c r="B29" s="1" t="s">
        <v>40</v>
      </c>
      <c r="C29" s="11"/>
      <c r="D29" s="11"/>
      <c r="E29" s="11"/>
      <c r="F29" s="11"/>
      <c r="G29" s="11">
        <f t="shared" si="0"/>
        <v>0</v>
      </c>
      <c r="H29" s="17">
        <f t="shared" si="1"/>
        <v>0</v>
      </c>
      <c r="I29" s="16">
        <f t="shared" si="2"/>
        <v>0</v>
      </c>
      <c r="J29" s="16">
        <f>ROUND(G29/2360-1,2)</f>
        <v>-1</v>
      </c>
    </row>
    <row r="30" spans="1:10" x14ac:dyDescent="0.25">
      <c r="A30" s="1" t="s">
        <v>16</v>
      </c>
      <c r="B30" s="1" t="s">
        <v>30</v>
      </c>
      <c r="C30" s="11"/>
      <c r="D30" s="11"/>
      <c r="E30" s="11"/>
      <c r="F30" s="11"/>
      <c r="G30" s="11">
        <f t="shared" si="0"/>
        <v>0</v>
      </c>
      <c r="H30" s="17">
        <f t="shared" si="1"/>
        <v>0</v>
      </c>
      <c r="I30" s="16">
        <f t="shared" si="2"/>
        <v>0</v>
      </c>
      <c r="J30" s="16">
        <f>ROUND(G30/530-1,2)</f>
        <v>-1</v>
      </c>
    </row>
    <row r="31" spans="1:10" x14ac:dyDescent="0.25">
      <c r="A31" s="1" t="s">
        <v>16</v>
      </c>
      <c r="B31" s="1" t="s">
        <v>41</v>
      </c>
      <c r="C31" s="11"/>
      <c r="D31" s="11"/>
      <c r="E31" s="11"/>
      <c r="F31" s="11"/>
      <c r="G31" s="11">
        <f t="shared" si="0"/>
        <v>0</v>
      </c>
      <c r="H31" s="17">
        <f t="shared" si="1"/>
        <v>0</v>
      </c>
      <c r="I31" s="16">
        <f t="shared" si="2"/>
        <v>0</v>
      </c>
      <c r="J31" s="16">
        <f>ROUND(G31/2824-1,2)</f>
        <v>-1</v>
      </c>
    </row>
    <row r="32" spans="1:10" x14ac:dyDescent="0.25">
      <c r="A32" s="1" t="s">
        <v>16</v>
      </c>
      <c r="B32" s="1" t="s">
        <v>43</v>
      </c>
      <c r="C32" s="11"/>
      <c r="D32" s="11"/>
      <c r="E32" s="11"/>
      <c r="F32" s="11"/>
      <c r="G32" s="11">
        <f t="shared" si="0"/>
        <v>0</v>
      </c>
      <c r="H32" s="17">
        <f t="shared" si="1"/>
        <v>0</v>
      </c>
      <c r="I32" s="16">
        <f t="shared" si="2"/>
        <v>0</v>
      </c>
      <c r="J32" s="16">
        <f>ROUND(G32/1500-1,2)</f>
        <v>-1</v>
      </c>
    </row>
    <row r="33" spans="1:10" x14ac:dyDescent="0.25">
      <c r="A33" s="1" t="s">
        <v>16</v>
      </c>
      <c r="B33" s="1" t="s">
        <v>42</v>
      </c>
      <c r="C33" s="11"/>
      <c r="D33" s="11"/>
      <c r="E33" s="11"/>
      <c r="F33" s="11"/>
      <c r="G33" s="11">
        <f t="shared" si="0"/>
        <v>0</v>
      </c>
      <c r="H33" s="17">
        <f t="shared" si="1"/>
        <v>0</v>
      </c>
      <c r="I33" s="16">
        <f t="shared" si="2"/>
        <v>0</v>
      </c>
      <c r="J33" s="16">
        <f>ROUND(G33/1680-1,2)</f>
        <v>-1</v>
      </c>
    </row>
    <row r="34" spans="1:10" x14ac:dyDescent="0.25">
      <c r="A34" s="1" t="s">
        <v>16</v>
      </c>
      <c r="B34" s="1" t="s">
        <v>39</v>
      </c>
      <c r="C34" s="11"/>
      <c r="D34" s="11"/>
      <c r="E34" s="11"/>
      <c r="F34" s="11"/>
      <c r="G34" s="11">
        <f t="shared" si="0"/>
        <v>0</v>
      </c>
      <c r="H34" s="17">
        <f t="shared" si="1"/>
        <v>0</v>
      </c>
      <c r="I34" s="16">
        <f t="shared" si="2"/>
        <v>0</v>
      </c>
      <c r="J34" s="16">
        <f>ROUND(G34/144-1,2)</f>
        <v>-1</v>
      </c>
    </row>
    <row r="35" spans="1:10" x14ac:dyDescent="0.25">
      <c r="A35" s="1" t="s">
        <v>16</v>
      </c>
      <c r="B35" s="1" t="s">
        <v>34</v>
      </c>
      <c r="C35" s="11"/>
      <c r="D35" s="11"/>
      <c r="E35" s="11"/>
      <c r="F35" s="11"/>
      <c r="G35" s="11">
        <f t="shared" si="0"/>
        <v>0</v>
      </c>
      <c r="H35" s="17">
        <f t="shared" si="1"/>
        <v>0</v>
      </c>
      <c r="I35" s="16">
        <f t="shared" si="2"/>
        <v>0</v>
      </c>
      <c r="J35" s="16"/>
    </row>
    <row r="36" spans="1:10" x14ac:dyDescent="0.25">
      <c r="A36" s="1" t="s">
        <v>44</v>
      </c>
      <c r="B36" s="1" t="s">
        <v>45</v>
      </c>
      <c r="C36" s="11">
        <v>59060</v>
      </c>
      <c r="D36" s="11"/>
      <c r="E36" s="11"/>
      <c r="F36" s="11"/>
      <c r="G36" s="11">
        <f t="shared" si="0"/>
        <v>59060</v>
      </c>
      <c r="H36" s="17">
        <f t="shared" si="1"/>
        <v>16.36</v>
      </c>
      <c r="I36" s="16">
        <f t="shared" si="2"/>
        <v>0.14000000000000001</v>
      </c>
      <c r="J36" s="16">
        <f>ROUND(G36/51140-1,2)</f>
        <v>0.15</v>
      </c>
    </row>
    <row r="37" spans="1:10" x14ac:dyDescent="0.25">
      <c r="A37" s="1" t="s">
        <v>44</v>
      </c>
      <c r="B37" s="1" t="s">
        <v>46</v>
      </c>
      <c r="C37" s="11"/>
      <c r="D37" s="11"/>
      <c r="E37" s="11">
        <v>23720</v>
      </c>
      <c r="F37" s="11"/>
      <c r="G37" s="11">
        <f t="shared" si="0"/>
        <v>23720</v>
      </c>
      <c r="H37" s="17">
        <f t="shared" si="1"/>
        <v>6.57</v>
      </c>
      <c r="I37" s="16">
        <f t="shared" si="2"/>
        <v>5.6000000000000001E-2</v>
      </c>
      <c r="J37" s="16">
        <f>ROUND(G37/18260-1,2)</f>
        <v>0.3</v>
      </c>
    </row>
    <row r="38" spans="1:10" x14ac:dyDescent="0.25">
      <c r="A38" s="1" t="s">
        <v>44</v>
      </c>
      <c r="B38" s="1" t="s">
        <v>47</v>
      </c>
      <c r="C38" s="11"/>
      <c r="D38" s="11"/>
      <c r="E38" s="11"/>
      <c r="F38" s="11"/>
      <c r="G38" s="11">
        <f t="shared" si="0"/>
        <v>0</v>
      </c>
      <c r="H38" s="17">
        <f t="shared" si="1"/>
        <v>0</v>
      </c>
      <c r="I38" s="16">
        <f t="shared" si="2"/>
        <v>0</v>
      </c>
      <c r="J38" s="16"/>
    </row>
    <row r="39" spans="1:10" x14ac:dyDescent="0.25">
      <c r="A39" s="1" t="s">
        <v>48</v>
      </c>
      <c r="B39" s="1" t="s">
        <v>51</v>
      </c>
      <c r="C39" s="11"/>
      <c r="D39" s="11"/>
      <c r="E39" s="11"/>
      <c r="F39" s="11"/>
      <c r="G39" s="11">
        <f t="shared" si="0"/>
        <v>0</v>
      </c>
      <c r="H39" s="17">
        <f t="shared" si="1"/>
        <v>0</v>
      </c>
      <c r="I39" s="16">
        <f t="shared" si="2"/>
        <v>0</v>
      </c>
      <c r="J39" s="16"/>
    </row>
    <row r="40" spans="1:10" x14ac:dyDescent="0.25">
      <c r="A40" s="1" t="s">
        <v>48</v>
      </c>
      <c r="B40" s="1" t="s">
        <v>49</v>
      </c>
      <c r="C40" s="11"/>
      <c r="D40" s="11"/>
      <c r="E40" s="11"/>
      <c r="F40" s="11"/>
      <c r="G40" s="11">
        <f t="shared" si="0"/>
        <v>0</v>
      </c>
      <c r="H40" s="17">
        <f t="shared" si="1"/>
        <v>0</v>
      </c>
      <c r="I40" s="16">
        <f t="shared" si="2"/>
        <v>0</v>
      </c>
      <c r="J40" s="16"/>
    </row>
    <row r="41" spans="1:10" x14ac:dyDescent="0.25">
      <c r="A41" s="1" t="s">
        <v>48</v>
      </c>
      <c r="B41" s="1" t="s">
        <v>50</v>
      </c>
      <c r="C41" s="11"/>
      <c r="D41" s="11"/>
      <c r="E41" s="11"/>
      <c r="F41" s="11"/>
      <c r="G41" s="11">
        <f t="shared" si="0"/>
        <v>0</v>
      </c>
      <c r="H41" s="17">
        <f t="shared" si="1"/>
        <v>0</v>
      </c>
      <c r="I41" s="16">
        <f t="shared" si="2"/>
        <v>0</v>
      </c>
      <c r="J41" s="16"/>
    </row>
    <row r="42" spans="1:10" x14ac:dyDescent="0.25">
      <c r="A42" s="1" t="s">
        <v>48</v>
      </c>
      <c r="B42" s="1" t="s">
        <v>86</v>
      </c>
      <c r="C42" s="11"/>
      <c r="D42" s="11"/>
      <c r="E42" s="11"/>
      <c r="F42" s="11"/>
      <c r="G42" s="11">
        <f t="shared" si="0"/>
        <v>0</v>
      </c>
      <c r="H42" s="17">
        <f t="shared" si="1"/>
        <v>0</v>
      </c>
      <c r="I42" s="16">
        <f t="shared" si="2"/>
        <v>0</v>
      </c>
      <c r="J42" s="16"/>
    </row>
    <row r="43" spans="1:10" x14ac:dyDescent="0.25">
      <c r="A43" s="21" t="s">
        <v>12</v>
      </c>
      <c r="B43" s="21"/>
      <c r="C43" s="12">
        <f t="shared" ref="C43:H43" si="3">SUM(C8:C42)</f>
        <v>252390</v>
      </c>
      <c r="D43" s="12">
        <f t="shared" si="3"/>
        <v>143</v>
      </c>
      <c r="E43" s="12">
        <f t="shared" si="3"/>
        <v>167978</v>
      </c>
      <c r="F43" s="12">
        <f t="shared" si="3"/>
        <v>70</v>
      </c>
      <c r="G43" s="12">
        <f t="shared" si="3"/>
        <v>420581</v>
      </c>
      <c r="H43" s="15">
        <f t="shared" si="3"/>
        <v>116.46000000000001</v>
      </c>
      <c r="I43" s="18"/>
      <c r="J43" s="18"/>
    </row>
    <row r="44" spans="1:10" x14ac:dyDescent="0.25">
      <c r="A44" s="21" t="s">
        <v>14</v>
      </c>
      <c r="B44" s="21"/>
      <c r="C44" s="13">
        <f>ROUND(C43/G43,2)</f>
        <v>0.6</v>
      </c>
      <c r="D44" s="13">
        <f>ROUND(D43/G43,2)</f>
        <v>0</v>
      </c>
      <c r="E44" s="13">
        <f>ROUND(E43/G43,2)</f>
        <v>0.4</v>
      </c>
      <c r="F44" s="13">
        <f>ROUND(F43/G43,2)</f>
        <v>0</v>
      </c>
      <c r="G44" s="14"/>
      <c r="H44" s="14"/>
      <c r="I44" s="18"/>
      <c r="J44" s="18"/>
    </row>
    <row r="45" spans="1:10" x14ac:dyDescent="0.25">
      <c r="A45" s="2" t="s">
        <v>52</v>
      </c>
      <c r="B45" s="2"/>
      <c r="C45" s="14"/>
      <c r="D45" s="14"/>
      <c r="E45" s="14"/>
      <c r="F45" s="14"/>
      <c r="G45" s="14"/>
      <c r="H45" s="14"/>
      <c r="I45" s="18"/>
      <c r="J45" s="18"/>
    </row>
    <row r="46" spans="1:10" x14ac:dyDescent="0.25">
      <c r="C46" s="9"/>
      <c r="D46" s="9"/>
      <c r="E46" s="9"/>
      <c r="F46" s="9"/>
      <c r="G46" s="9"/>
      <c r="H46" s="9"/>
      <c r="I46" s="10"/>
      <c r="J46" s="10"/>
    </row>
    <row r="47" spans="1:10" x14ac:dyDescent="0.25">
      <c r="C47" s="9"/>
      <c r="D47" s="9"/>
      <c r="E47" s="9"/>
      <c r="F47" s="9"/>
      <c r="G47" s="9"/>
      <c r="H47" s="9"/>
      <c r="I47" s="10"/>
      <c r="J47" s="10"/>
    </row>
    <row r="48" spans="1:10" x14ac:dyDescent="0.25">
      <c r="C48" s="9"/>
      <c r="D48" s="9"/>
      <c r="E48" s="9"/>
      <c r="F48" s="9"/>
      <c r="G48" s="9"/>
      <c r="H48" s="9"/>
      <c r="I48" s="10"/>
      <c r="J48" s="10"/>
    </row>
    <row r="49" spans="1:10" x14ac:dyDescent="0.25">
      <c r="A49" s="21" t="s">
        <v>53</v>
      </c>
      <c r="B49" s="21"/>
      <c r="C49" s="12" t="s">
        <v>8</v>
      </c>
      <c r="D49" s="12" t="s">
        <v>9</v>
      </c>
      <c r="E49" s="12" t="s">
        <v>10</v>
      </c>
      <c r="F49" s="12" t="s">
        <v>11</v>
      </c>
      <c r="G49" s="12" t="s">
        <v>12</v>
      </c>
      <c r="H49" s="15" t="s">
        <v>13</v>
      </c>
      <c r="I49" s="18"/>
      <c r="J49" s="18"/>
    </row>
    <row r="50" spans="1:10" x14ac:dyDescent="0.25">
      <c r="A50" s="20" t="s">
        <v>54</v>
      </c>
      <c r="B50" s="20"/>
      <c r="C50" s="11">
        <v>193330</v>
      </c>
      <c r="D50" s="11">
        <v>143</v>
      </c>
      <c r="E50" s="11">
        <v>144258</v>
      </c>
      <c r="F50" s="11">
        <v>70</v>
      </c>
      <c r="G50" s="11">
        <f>SUM(C50:F50)</f>
        <v>337801</v>
      </c>
      <c r="H50" s="17">
        <f>ROUND(G50/3611,2)</f>
        <v>93.55</v>
      </c>
      <c r="I50" s="10"/>
      <c r="J50" s="10"/>
    </row>
    <row r="51" spans="1:10" x14ac:dyDescent="0.25">
      <c r="A51" s="20" t="s">
        <v>55</v>
      </c>
      <c r="B51" s="20"/>
      <c r="C51" s="11">
        <v>59060</v>
      </c>
      <c r="D51" s="11">
        <v>0</v>
      </c>
      <c r="E51" s="11">
        <v>23720</v>
      </c>
      <c r="F51" s="11">
        <v>0</v>
      </c>
      <c r="G51" s="11">
        <f>SUM(C51:F51)</f>
        <v>82780</v>
      </c>
      <c r="H51" s="17">
        <f>ROUND(G51/3611,2)</f>
        <v>22.92</v>
      </c>
      <c r="I51" s="10"/>
      <c r="J51" s="10"/>
    </row>
    <row r="52" spans="1:10" x14ac:dyDescent="0.25">
      <c r="A52" s="20" t="s">
        <v>56</v>
      </c>
      <c r="B52" s="20"/>
      <c r="C52" s="11">
        <v>0</v>
      </c>
      <c r="D52" s="11">
        <v>0</v>
      </c>
      <c r="E52" s="11">
        <v>0</v>
      </c>
      <c r="F52" s="11">
        <v>0</v>
      </c>
      <c r="G52" s="11">
        <f>SUM(C52:F52)</f>
        <v>0</v>
      </c>
      <c r="H52" s="17">
        <f>ROUND(G52/3611,2)</f>
        <v>0</v>
      </c>
      <c r="I52" s="10"/>
      <c r="J52" s="10"/>
    </row>
    <row r="53" spans="1:10" x14ac:dyDescent="0.25">
      <c r="C53" s="9"/>
      <c r="D53" s="9"/>
      <c r="E53" s="9"/>
      <c r="F53" s="9"/>
      <c r="G53" s="9"/>
      <c r="H53" s="9"/>
      <c r="I53" s="10"/>
      <c r="J53" s="10"/>
    </row>
    <row r="54" spans="1:10" x14ac:dyDescent="0.25">
      <c r="C54" s="9"/>
      <c r="D54" s="9"/>
      <c r="E54" s="9"/>
      <c r="F54" s="9"/>
      <c r="G54" s="9"/>
      <c r="H54" s="9"/>
      <c r="I54" s="10"/>
      <c r="J54" s="10"/>
    </row>
    <row r="55" spans="1:10" x14ac:dyDescent="0.25">
      <c r="C55" s="9"/>
      <c r="D55" s="9"/>
      <c r="E55" s="9"/>
      <c r="F55" s="9"/>
      <c r="G55" s="9"/>
      <c r="H55" s="9"/>
      <c r="I55" s="10"/>
      <c r="J55" s="10"/>
    </row>
    <row r="56" spans="1:10" x14ac:dyDescent="0.25">
      <c r="C56" s="9"/>
      <c r="D56" s="9"/>
      <c r="E56" s="9"/>
      <c r="F56" s="9"/>
      <c r="G56" s="9"/>
      <c r="H56" s="9"/>
      <c r="I56" s="10"/>
      <c r="J56" s="10"/>
    </row>
    <row r="57" spans="1:10" x14ac:dyDescent="0.25">
      <c r="A57" s="21" t="s">
        <v>57</v>
      </c>
      <c r="B57" s="21"/>
      <c r="C57" s="15" t="s">
        <v>2</v>
      </c>
      <c r="D57" s="15">
        <v>2023</v>
      </c>
      <c r="E57" s="15" t="s">
        <v>59</v>
      </c>
      <c r="F57" s="14"/>
      <c r="G57" s="15" t="s">
        <v>60</v>
      </c>
      <c r="H57" s="15" t="s">
        <v>2</v>
      </c>
      <c r="I57" s="13" t="s">
        <v>61</v>
      </c>
      <c r="J57" s="13" t="s">
        <v>59</v>
      </c>
    </row>
    <row r="58" spans="1:10" x14ac:dyDescent="0.25">
      <c r="A58" s="20" t="s">
        <v>58</v>
      </c>
      <c r="B58" s="20"/>
      <c r="C58" s="16">
        <f>ROUND(0.8343, 4)</f>
        <v>0.83430000000000004</v>
      </c>
      <c r="D58" s="16">
        <f>ROUND(0.8455, 4)</f>
        <v>0.84550000000000003</v>
      </c>
      <c r="E58" s="16">
        <f>ROUND(0.777, 4)</f>
        <v>0.77700000000000002</v>
      </c>
      <c r="F58" s="9"/>
      <c r="G58" s="15" t="s">
        <v>62</v>
      </c>
      <c r="H58" s="22" t="s">
        <v>63</v>
      </c>
      <c r="I58" s="24" t="s">
        <v>64</v>
      </c>
      <c r="J58" s="24" t="s">
        <v>65</v>
      </c>
    </row>
    <row r="59" spans="1:10" x14ac:dyDescent="0.25">
      <c r="A59" s="20" t="s">
        <v>66</v>
      </c>
      <c r="B59" s="20"/>
      <c r="C59" s="16">
        <f>ROUND(0.8188, 4)</f>
        <v>0.81879999999999997</v>
      </c>
      <c r="D59" s="16">
        <f>ROUND(0.8324, 4)</f>
        <v>0.83240000000000003</v>
      </c>
      <c r="E59" s="16">
        <f>ROUND(0.7608, 4)</f>
        <v>0.76080000000000003</v>
      </c>
      <c r="F59" s="9"/>
      <c r="G59" s="15" t="s">
        <v>67</v>
      </c>
      <c r="H59" s="23"/>
      <c r="I59" s="25"/>
      <c r="J59" s="25"/>
    </row>
    <row r="60" spans="1:10" x14ac:dyDescent="0.25">
      <c r="C60" s="9"/>
      <c r="D60" s="9"/>
      <c r="E60" s="9"/>
      <c r="F60" s="9"/>
      <c r="G60" s="9"/>
      <c r="H60" s="9"/>
      <c r="I60" s="10"/>
      <c r="J60" s="10"/>
    </row>
    <row r="61" spans="1:10" x14ac:dyDescent="0.25">
      <c r="C61" s="9"/>
      <c r="D61" s="9"/>
      <c r="E61" s="9"/>
      <c r="F61" s="9"/>
      <c r="G61" s="9"/>
      <c r="H61" s="9"/>
      <c r="I61" s="10"/>
      <c r="J61" s="10"/>
    </row>
    <row r="62" spans="1:10" x14ac:dyDescent="0.25">
      <c r="C62" s="9"/>
      <c r="D62" s="9"/>
      <c r="E62" s="9"/>
      <c r="F62" s="9"/>
      <c r="G62" s="9"/>
      <c r="H62" s="9"/>
      <c r="I62" s="10"/>
      <c r="J62" s="10"/>
    </row>
    <row r="63" spans="1:10" x14ac:dyDescent="0.25">
      <c r="A63" s="21" t="s">
        <v>68</v>
      </c>
      <c r="B63" s="21"/>
      <c r="C63" s="15" t="s">
        <v>2</v>
      </c>
      <c r="D63" s="15" t="s">
        <v>189</v>
      </c>
      <c r="E63" s="15" t="s">
        <v>70</v>
      </c>
      <c r="F63" s="15" t="s">
        <v>71</v>
      </c>
      <c r="G63" s="15" t="s">
        <v>72</v>
      </c>
      <c r="H63" s="14"/>
      <c r="I63" s="18"/>
      <c r="J63" s="18"/>
    </row>
    <row r="64" spans="1:10" x14ac:dyDescent="0.25">
      <c r="A64" s="20" t="s">
        <v>73</v>
      </c>
      <c r="B64" s="20"/>
      <c r="C64" s="17">
        <v>16.36</v>
      </c>
      <c r="D64" s="17">
        <v>38.79</v>
      </c>
      <c r="E64" s="17">
        <v>81.84</v>
      </c>
      <c r="F64" s="17">
        <v>48</v>
      </c>
      <c r="G64" s="17">
        <f>12/4*C64</f>
        <v>49.08</v>
      </c>
      <c r="H64" s="9"/>
      <c r="I64" s="10"/>
      <c r="J64" s="10"/>
    </row>
    <row r="65" spans="1:10" x14ac:dyDescent="0.25">
      <c r="A65" s="20" t="s">
        <v>74</v>
      </c>
      <c r="B65" s="20"/>
      <c r="C65" s="17">
        <v>18.32</v>
      </c>
      <c r="D65" s="17">
        <v>49.01</v>
      </c>
      <c r="E65" s="17">
        <v>55.63</v>
      </c>
      <c r="F65" s="17">
        <v>55.33</v>
      </c>
      <c r="G65" s="17">
        <f>12/4*C65</f>
        <v>54.96</v>
      </c>
      <c r="H65" s="9"/>
      <c r="I65" s="10"/>
      <c r="J65" s="10"/>
    </row>
    <row r="66" spans="1:10" x14ac:dyDescent="0.25">
      <c r="A66" s="20" t="s">
        <v>75</v>
      </c>
      <c r="B66" s="20"/>
      <c r="C66" s="17">
        <v>109.2</v>
      </c>
      <c r="D66" s="17">
        <v>247.01</v>
      </c>
      <c r="E66" s="17">
        <v>257.88</v>
      </c>
      <c r="F66" s="17">
        <v>242.78</v>
      </c>
      <c r="G66" s="17">
        <f>12/4*C66</f>
        <v>327.60000000000002</v>
      </c>
      <c r="H66" s="9"/>
      <c r="I66" s="10"/>
      <c r="J66" s="10"/>
    </row>
    <row r="67" spans="1:10" x14ac:dyDescent="0.25">
      <c r="A67" s="20" t="s">
        <v>76</v>
      </c>
      <c r="B67" s="20"/>
      <c r="C67" s="17">
        <v>22.92</v>
      </c>
      <c r="D67" s="17">
        <v>62.39</v>
      </c>
      <c r="E67" s="17">
        <v>103.14</v>
      </c>
      <c r="F67" s="17">
        <v>68.31</v>
      </c>
      <c r="G67" s="17">
        <f>12/4*C67</f>
        <v>68.760000000000005</v>
      </c>
      <c r="H67" s="9"/>
      <c r="I67" s="10"/>
      <c r="J67" s="10"/>
    </row>
    <row r="68" spans="1:10" x14ac:dyDescent="0.25">
      <c r="C68" s="9"/>
      <c r="D68" s="9"/>
      <c r="E68" s="9"/>
      <c r="F68" s="9"/>
      <c r="G68" s="9"/>
      <c r="H68" s="9"/>
      <c r="I68" s="10"/>
      <c r="J68" s="10"/>
    </row>
    <row r="69" spans="1:10" x14ac:dyDescent="0.25">
      <c r="C69" s="9"/>
      <c r="D69" s="9"/>
      <c r="E69" s="9"/>
      <c r="F69" s="9"/>
      <c r="G69" s="9"/>
      <c r="H69" s="9"/>
      <c r="I69" s="10"/>
      <c r="J69" s="10"/>
    </row>
    <row r="70" spans="1:10" x14ac:dyDescent="0.25">
      <c r="A70" s="19" t="s">
        <v>60</v>
      </c>
      <c r="B70" s="26"/>
    </row>
    <row r="71" spans="1:10" x14ac:dyDescent="0.25">
      <c r="A71" s="3" t="s">
        <v>77</v>
      </c>
      <c r="B71" s="1" t="s">
        <v>190</v>
      </c>
    </row>
    <row r="72" spans="1:10" x14ac:dyDescent="0.25">
      <c r="A72" s="3" t="s">
        <v>70</v>
      </c>
      <c r="B72" s="1" t="s">
        <v>79</v>
      </c>
    </row>
    <row r="73" spans="1:10" x14ac:dyDescent="0.25">
      <c r="A73" s="3" t="s">
        <v>71</v>
      </c>
      <c r="B73" s="1" t="s">
        <v>80</v>
      </c>
    </row>
    <row r="74" spans="1:10" x14ac:dyDescent="0.25">
      <c r="A74" s="3" t="s">
        <v>72</v>
      </c>
      <c r="B74" s="1" t="s">
        <v>81</v>
      </c>
    </row>
  </sheetData>
  <mergeCells count="19">
    <mergeCell ref="A65:B65"/>
    <mergeCell ref="A66:B66"/>
    <mergeCell ref="A67:B67"/>
    <mergeCell ref="A70:B70"/>
    <mergeCell ref="I58:I59"/>
    <mergeCell ref="J58:J59"/>
    <mergeCell ref="A59:B59"/>
    <mergeCell ref="A63:B63"/>
    <mergeCell ref="A64:B64"/>
    <mergeCell ref="A51:B51"/>
    <mergeCell ref="A52:B52"/>
    <mergeCell ref="A57:B57"/>
    <mergeCell ref="A58:B58"/>
    <mergeCell ref="H58:H59"/>
    <mergeCell ref="C7:G7"/>
    <mergeCell ref="A43:B43"/>
    <mergeCell ref="A44:B44"/>
    <mergeCell ref="A49:B49"/>
    <mergeCell ref="A50:B5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J74"/>
  <sheetViews>
    <sheetView workbookViewId="0">
      <selection activeCell="C9" sqref="C9:J73"/>
    </sheetView>
  </sheetViews>
  <sheetFormatPr defaultRowHeight="15" x14ac:dyDescent="0.25"/>
  <cols>
    <col min="1" max="1" width="38.85546875" bestFit="1" customWidth="1"/>
    <col min="2" max="2" width="79" bestFit="1" customWidth="1"/>
    <col min="3" max="3" width="14" bestFit="1" customWidth="1"/>
    <col min="4" max="4" width="27" bestFit="1" customWidth="1"/>
    <col min="5" max="5" width="16.42578125" bestFit="1" customWidth="1"/>
    <col min="6" max="6" width="10.5703125" bestFit="1" customWidth="1"/>
    <col min="7" max="7" width="68.28515625" bestFit="1" customWidth="1"/>
    <col min="8" max="9" width="20" bestFit="1" customWidth="1"/>
    <col min="10" max="10" width="30.5703125" bestFit="1" customWidth="1"/>
  </cols>
  <sheetData>
    <row r="2" spans="1:10" ht="18.75" x14ac:dyDescent="0.3">
      <c r="A2" s="3" t="s">
        <v>0</v>
      </c>
      <c r="B2" s="4" t="s">
        <v>85</v>
      </c>
    </row>
    <row r="3" spans="1:10" x14ac:dyDescent="0.25">
      <c r="A3" s="3" t="s">
        <v>2</v>
      </c>
      <c r="B3" s="1" t="s">
        <v>3</v>
      </c>
    </row>
    <row r="4" spans="1:10" x14ac:dyDescent="0.25">
      <c r="A4" s="3" t="s">
        <v>4</v>
      </c>
      <c r="B4" s="1">
        <v>2036</v>
      </c>
    </row>
    <row r="7" spans="1:10" x14ac:dyDescent="0.25">
      <c r="C7" s="19" t="s">
        <v>5</v>
      </c>
      <c r="D7" s="20"/>
      <c r="E7" s="20"/>
      <c r="F7" s="20"/>
      <c r="G7" s="20"/>
    </row>
    <row r="8" spans="1:10" x14ac:dyDescent="0.25">
      <c r="A8" s="3" t="s">
        <v>6</v>
      </c>
      <c r="B8" s="3" t="s">
        <v>7</v>
      </c>
      <c r="C8" s="3" t="s">
        <v>8</v>
      </c>
      <c r="D8" s="3" t="s">
        <v>9</v>
      </c>
      <c r="E8" s="3" t="s">
        <v>10</v>
      </c>
      <c r="F8" s="3" t="s">
        <v>11</v>
      </c>
      <c r="G8" s="3" t="s">
        <v>12</v>
      </c>
      <c r="H8" s="3" t="s">
        <v>13</v>
      </c>
      <c r="I8" s="3" t="s">
        <v>14</v>
      </c>
      <c r="J8" s="3" t="s">
        <v>15</v>
      </c>
    </row>
    <row r="9" spans="1:10" x14ac:dyDescent="0.25">
      <c r="A9" s="1" t="s">
        <v>16</v>
      </c>
      <c r="B9" s="1" t="s">
        <v>17</v>
      </c>
      <c r="C9" s="11"/>
      <c r="D9" s="11"/>
      <c r="E9" s="11">
        <v>39</v>
      </c>
      <c r="F9" s="11"/>
      <c r="G9" s="11">
        <f t="shared" ref="G9:G42" si="0">SUM(C9:F9)</f>
        <v>39</v>
      </c>
      <c r="H9" s="17">
        <f t="shared" ref="H9:H42" si="1">ROUND(G9/2036,2)</f>
        <v>0.02</v>
      </c>
      <c r="I9" s="16">
        <f t="shared" ref="I9:I42" si="2">ROUND(G9/$G$43,3)</f>
        <v>0</v>
      </c>
      <c r="J9" s="16">
        <f>ROUND(G9/10-1,2)</f>
        <v>2.9</v>
      </c>
    </row>
    <row r="10" spans="1:10" x14ac:dyDescent="0.25">
      <c r="A10" s="1" t="s">
        <v>16</v>
      </c>
      <c r="B10" s="1" t="s">
        <v>19</v>
      </c>
      <c r="C10" s="11">
        <v>18700</v>
      </c>
      <c r="D10" s="11"/>
      <c r="E10" s="11">
        <v>4408</v>
      </c>
      <c r="F10" s="11"/>
      <c r="G10" s="11">
        <f t="shared" si="0"/>
        <v>23108</v>
      </c>
      <c r="H10" s="17">
        <f t="shared" si="1"/>
        <v>11.35</v>
      </c>
      <c r="I10" s="16">
        <f t="shared" si="2"/>
        <v>8.8999999999999996E-2</v>
      </c>
      <c r="J10" s="16">
        <f>ROUND(G10/22782.37-1,2)</f>
        <v>0.01</v>
      </c>
    </row>
    <row r="11" spans="1:10" x14ac:dyDescent="0.25">
      <c r="A11" s="1" t="s">
        <v>16</v>
      </c>
      <c r="B11" s="1" t="s">
        <v>20</v>
      </c>
      <c r="C11" s="11">
        <v>33290</v>
      </c>
      <c r="D11" s="11"/>
      <c r="E11" s="11"/>
      <c r="F11" s="11"/>
      <c r="G11" s="11">
        <f t="shared" si="0"/>
        <v>33290</v>
      </c>
      <c r="H11" s="17">
        <f t="shared" si="1"/>
        <v>16.350000000000001</v>
      </c>
      <c r="I11" s="16">
        <f t="shared" si="2"/>
        <v>0.128</v>
      </c>
      <c r="J11" s="16">
        <f>ROUND(G11/32740-1,2)</f>
        <v>0.02</v>
      </c>
    </row>
    <row r="12" spans="1:10" x14ac:dyDescent="0.25">
      <c r="A12" s="1" t="s">
        <v>16</v>
      </c>
      <c r="B12" s="1" t="s">
        <v>21</v>
      </c>
      <c r="C12" s="11"/>
      <c r="D12" s="11"/>
      <c r="E12" s="11">
        <v>78</v>
      </c>
      <c r="F12" s="11"/>
      <c r="G12" s="11">
        <f t="shared" si="0"/>
        <v>78</v>
      </c>
      <c r="H12" s="17">
        <f t="shared" si="1"/>
        <v>0.04</v>
      </c>
      <c r="I12" s="16">
        <f t="shared" si="2"/>
        <v>0</v>
      </c>
      <c r="J12" s="16">
        <f>ROUND(G12/144.62-1,2)</f>
        <v>-0.46</v>
      </c>
    </row>
    <row r="13" spans="1:10" x14ac:dyDescent="0.25">
      <c r="A13" s="1" t="s">
        <v>16</v>
      </c>
      <c r="B13" s="1" t="s">
        <v>22</v>
      </c>
      <c r="C13" s="11"/>
      <c r="D13" s="11"/>
      <c r="E13" s="11">
        <v>784</v>
      </c>
      <c r="F13" s="11"/>
      <c r="G13" s="11">
        <f t="shared" si="0"/>
        <v>784</v>
      </c>
      <c r="H13" s="17">
        <f t="shared" si="1"/>
        <v>0.39</v>
      </c>
      <c r="I13" s="16">
        <f t="shared" si="2"/>
        <v>3.0000000000000001E-3</v>
      </c>
      <c r="J13" s="16"/>
    </row>
    <row r="14" spans="1:10" x14ac:dyDescent="0.25">
      <c r="A14" s="1" t="s">
        <v>16</v>
      </c>
      <c r="B14" s="1" t="s">
        <v>23</v>
      </c>
      <c r="C14" s="11"/>
      <c r="D14" s="11"/>
      <c r="E14" s="11">
        <v>21918</v>
      </c>
      <c r="F14" s="11"/>
      <c r="G14" s="11">
        <f t="shared" si="0"/>
        <v>21918</v>
      </c>
      <c r="H14" s="17">
        <f t="shared" si="1"/>
        <v>10.77</v>
      </c>
      <c r="I14" s="16">
        <f t="shared" si="2"/>
        <v>8.4000000000000005E-2</v>
      </c>
      <c r="J14" s="16">
        <f>ROUND(G14/19354.84-1,2)</f>
        <v>0.13</v>
      </c>
    </row>
    <row r="15" spans="1:10" x14ac:dyDescent="0.25">
      <c r="A15" s="1" t="s">
        <v>16</v>
      </c>
      <c r="B15" s="1" t="s">
        <v>24</v>
      </c>
      <c r="C15" s="11">
        <v>18050</v>
      </c>
      <c r="D15" s="11"/>
      <c r="E15" s="11">
        <v>8265</v>
      </c>
      <c r="F15" s="11"/>
      <c r="G15" s="11">
        <f t="shared" si="0"/>
        <v>26315</v>
      </c>
      <c r="H15" s="17">
        <f t="shared" si="1"/>
        <v>12.92</v>
      </c>
      <c r="I15" s="16">
        <f t="shared" si="2"/>
        <v>0.10100000000000001</v>
      </c>
      <c r="J15" s="16">
        <f>ROUND(G15/17998.36-1,2)</f>
        <v>0.46</v>
      </c>
    </row>
    <row r="16" spans="1:10" x14ac:dyDescent="0.25">
      <c r="A16" s="1" t="s">
        <v>16</v>
      </c>
      <c r="B16" s="1" t="s">
        <v>25</v>
      </c>
      <c r="C16" s="11"/>
      <c r="D16" s="11"/>
      <c r="E16" s="11">
        <v>3309</v>
      </c>
      <c r="F16" s="11"/>
      <c r="G16" s="11">
        <f t="shared" si="0"/>
        <v>3309</v>
      </c>
      <c r="H16" s="17">
        <f t="shared" si="1"/>
        <v>1.63</v>
      </c>
      <c r="I16" s="16">
        <f t="shared" si="2"/>
        <v>1.2999999999999999E-2</v>
      </c>
      <c r="J16" s="16">
        <f>ROUND(G16/1790-1,2)</f>
        <v>0.85</v>
      </c>
    </row>
    <row r="17" spans="1:10" x14ac:dyDescent="0.25">
      <c r="A17" s="1" t="s">
        <v>16</v>
      </c>
      <c r="B17" s="1" t="s">
        <v>26</v>
      </c>
      <c r="C17" s="11">
        <v>21740</v>
      </c>
      <c r="D17" s="11"/>
      <c r="E17" s="11"/>
      <c r="F17" s="11"/>
      <c r="G17" s="11">
        <f t="shared" si="0"/>
        <v>21740</v>
      </c>
      <c r="H17" s="17">
        <f t="shared" si="1"/>
        <v>10.68</v>
      </c>
      <c r="I17" s="16">
        <f t="shared" si="2"/>
        <v>8.4000000000000005E-2</v>
      </c>
      <c r="J17" s="16">
        <f>ROUND(G17/16090-1,2)</f>
        <v>0.35</v>
      </c>
    </row>
    <row r="18" spans="1:10" x14ac:dyDescent="0.25">
      <c r="A18" s="1" t="s">
        <v>16</v>
      </c>
      <c r="B18" s="1" t="s">
        <v>27</v>
      </c>
      <c r="C18" s="11"/>
      <c r="D18" s="11"/>
      <c r="E18" s="11">
        <v>142</v>
      </c>
      <c r="F18" s="11"/>
      <c r="G18" s="11">
        <f t="shared" si="0"/>
        <v>142</v>
      </c>
      <c r="H18" s="17">
        <f t="shared" si="1"/>
        <v>7.0000000000000007E-2</v>
      </c>
      <c r="I18" s="16">
        <f t="shared" si="2"/>
        <v>1E-3</v>
      </c>
      <c r="J18" s="16">
        <f>ROUND(G18/360-1,2)</f>
        <v>-0.61</v>
      </c>
    </row>
    <row r="19" spans="1:10" x14ac:dyDescent="0.25">
      <c r="A19" s="1" t="s">
        <v>16</v>
      </c>
      <c r="B19" s="1" t="s">
        <v>28</v>
      </c>
      <c r="C19" s="11"/>
      <c r="D19" s="11"/>
      <c r="E19" s="11">
        <v>56</v>
      </c>
      <c r="F19" s="11"/>
      <c r="G19" s="11">
        <f t="shared" si="0"/>
        <v>56</v>
      </c>
      <c r="H19" s="17">
        <f t="shared" si="1"/>
        <v>0.03</v>
      </c>
      <c r="I19" s="16">
        <f t="shared" si="2"/>
        <v>0</v>
      </c>
      <c r="J19" s="16">
        <f>ROUND(G19/90-1,2)</f>
        <v>-0.38</v>
      </c>
    </row>
    <row r="20" spans="1:10" x14ac:dyDescent="0.25">
      <c r="A20" s="1" t="s">
        <v>16</v>
      </c>
      <c r="B20" s="1" t="s">
        <v>29</v>
      </c>
      <c r="C20" s="11"/>
      <c r="D20" s="11"/>
      <c r="E20" s="11">
        <v>55</v>
      </c>
      <c r="F20" s="11"/>
      <c r="G20" s="11">
        <f t="shared" si="0"/>
        <v>55</v>
      </c>
      <c r="H20" s="17">
        <f t="shared" si="1"/>
        <v>0.03</v>
      </c>
      <c r="I20" s="16">
        <f t="shared" si="2"/>
        <v>0</v>
      </c>
      <c r="J20" s="16">
        <f>ROUND(G20/142.37-1,2)</f>
        <v>-0.61</v>
      </c>
    </row>
    <row r="21" spans="1:10" x14ac:dyDescent="0.25">
      <c r="A21" s="1" t="s">
        <v>16</v>
      </c>
      <c r="B21" s="1" t="s">
        <v>31</v>
      </c>
      <c r="C21" s="11"/>
      <c r="D21" s="11"/>
      <c r="E21" s="11">
        <v>173</v>
      </c>
      <c r="F21" s="11"/>
      <c r="G21" s="11">
        <f t="shared" si="0"/>
        <v>173</v>
      </c>
      <c r="H21" s="17">
        <f t="shared" si="1"/>
        <v>0.08</v>
      </c>
      <c r="I21" s="16">
        <f t="shared" si="2"/>
        <v>1E-3</v>
      </c>
      <c r="J21" s="16">
        <f>ROUND(G21/1000-1,2)</f>
        <v>-0.83</v>
      </c>
    </row>
    <row r="22" spans="1:10" x14ac:dyDescent="0.25">
      <c r="A22" s="1" t="s">
        <v>16</v>
      </c>
      <c r="B22" s="1" t="s">
        <v>32</v>
      </c>
      <c r="C22" s="11"/>
      <c r="D22" s="11"/>
      <c r="E22" s="11">
        <v>24</v>
      </c>
      <c r="F22" s="11"/>
      <c r="G22" s="11">
        <f t="shared" si="0"/>
        <v>24</v>
      </c>
      <c r="H22" s="17">
        <f t="shared" si="1"/>
        <v>0.01</v>
      </c>
      <c r="I22" s="16">
        <f t="shared" si="2"/>
        <v>0</v>
      </c>
      <c r="J22" s="16">
        <f>ROUND(G22/200-1,2)</f>
        <v>-0.88</v>
      </c>
    </row>
    <row r="23" spans="1:10" x14ac:dyDescent="0.25">
      <c r="A23" s="1" t="s">
        <v>16</v>
      </c>
      <c r="B23" s="1" t="s">
        <v>34</v>
      </c>
      <c r="C23" s="11"/>
      <c r="D23" s="11"/>
      <c r="E23" s="11">
        <v>384</v>
      </c>
      <c r="F23" s="11"/>
      <c r="G23" s="11">
        <f t="shared" si="0"/>
        <v>384</v>
      </c>
      <c r="H23" s="17">
        <f t="shared" si="1"/>
        <v>0.19</v>
      </c>
      <c r="I23" s="16">
        <f t="shared" si="2"/>
        <v>1E-3</v>
      </c>
      <c r="J23" s="16">
        <f>ROUND(G23/725.25-1,2)</f>
        <v>-0.47</v>
      </c>
    </row>
    <row r="24" spans="1:10" x14ac:dyDescent="0.25">
      <c r="A24" s="1" t="s">
        <v>16</v>
      </c>
      <c r="B24" s="1" t="s">
        <v>35</v>
      </c>
      <c r="C24" s="11"/>
      <c r="D24" s="11"/>
      <c r="E24" s="11">
        <v>21280</v>
      </c>
      <c r="F24" s="11"/>
      <c r="G24" s="11">
        <f t="shared" si="0"/>
        <v>21280</v>
      </c>
      <c r="H24" s="17">
        <f t="shared" si="1"/>
        <v>10.45</v>
      </c>
      <c r="I24" s="16">
        <f t="shared" si="2"/>
        <v>8.2000000000000003E-2</v>
      </c>
      <c r="J24" s="16">
        <f>ROUND(G24/14598.35-1,2)</f>
        <v>0.46</v>
      </c>
    </row>
    <row r="25" spans="1:10" x14ac:dyDescent="0.25">
      <c r="A25" s="1" t="s">
        <v>16</v>
      </c>
      <c r="B25" s="1" t="s">
        <v>37</v>
      </c>
      <c r="C25" s="11"/>
      <c r="D25" s="11"/>
      <c r="E25" s="11">
        <v>7716</v>
      </c>
      <c r="F25" s="11"/>
      <c r="G25" s="11">
        <f t="shared" si="0"/>
        <v>7716</v>
      </c>
      <c r="H25" s="17">
        <f t="shared" si="1"/>
        <v>3.79</v>
      </c>
      <c r="I25" s="16">
        <f t="shared" si="2"/>
        <v>0.03</v>
      </c>
      <c r="J25" s="16">
        <f>ROUND(G25/6862.73-1,2)</f>
        <v>0.12</v>
      </c>
    </row>
    <row r="26" spans="1:10" x14ac:dyDescent="0.25">
      <c r="A26" s="1" t="s">
        <v>16</v>
      </c>
      <c r="B26" s="1" t="s">
        <v>38</v>
      </c>
      <c r="C26" s="11"/>
      <c r="D26" s="11"/>
      <c r="E26" s="11">
        <v>5419</v>
      </c>
      <c r="F26" s="11"/>
      <c r="G26" s="11">
        <f t="shared" si="0"/>
        <v>5419</v>
      </c>
      <c r="H26" s="17">
        <f t="shared" si="1"/>
        <v>2.66</v>
      </c>
      <c r="I26" s="16">
        <f t="shared" si="2"/>
        <v>2.1000000000000001E-2</v>
      </c>
      <c r="J26" s="16">
        <f>ROUND(G26/9679.93-1,2)</f>
        <v>-0.44</v>
      </c>
    </row>
    <row r="27" spans="1:10" x14ac:dyDescent="0.25">
      <c r="A27" s="1" t="s">
        <v>16</v>
      </c>
      <c r="B27" s="1" t="s">
        <v>39</v>
      </c>
      <c r="C27" s="11"/>
      <c r="D27" s="11"/>
      <c r="E27" s="11"/>
      <c r="F27" s="11"/>
      <c r="G27" s="11">
        <f t="shared" si="0"/>
        <v>0</v>
      </c>
      <c r="H27" s="17">
        <f t="shared" si="1"/>
        <v>0</v>
      </c>
      <c r="I27" s="16">
        <f t="shared" si="2"/>
        <v>0</v>
      </c>
      <c r="J27" s="16">
        <f>ROUND(G27/88.23-1,2)</f>
        <v>-1</v>
      </c>
    </row>
    <row r="28" spans="1:10" x14ac:dyDescent="0.25">
      <c r="A28" s="1" t="s">
        <v>16</v>
      </c>
      <c r="B28" s="1" t="s">
        <v>40</v>
      </c>
      <c r="C28" s="11"/>
      <c r="D28" s="11"/>
      <c r="E28" s="11"/>
      <c r="F28" s="11"/>
      <c r="G28" s="11">
        <f t="shared" si="0"/>
        <v>0</v>
      </c>
      <c r="H28" s="17">
        <f t="shared" si="1"/>
        <v>0</v>
      </c>
      <c r="I28" s="16">
        <f t="shared" si="2"/>
        <v>0</v>
      </c>
      <c r="J28" s="16">
        <f>ROUND(G28/1220-1,2)</f>
        <v>-1</v>
      </c>
    </row>
    <row r="29" spans="1:10" x14ac:dyDescent="0.25">
      <c r="A29" s="1" t="s">
        <v>16</v>
      </c>
      <c r="B29" s="1" t="s">
        <v>41</v>
      </c>
      <c r="C29" s="11"/>
      <c r="D29" s="11"/>
      <c r="E29" s="11"/>
      <c r="F29" s="11"/>
      <c r="G29" s="11">
        <f t="shared" si="0"/>
        <v>0</v>
      </c>
      <c r="H29" s="17">
        <f t="shared" si="1"/>
        <v>0</v>
      </c>
      <c r="I29" s="16">
        <f t="shared" si="2"/>
        <v>0</v>
      </c>
      <c r="J29" s="16">
        <f>ROUND(G29/1003.2-1,2)</f>
        <v>-1</v>
      </c>
    </row>
    <row r="30" spans="1:10" x14ac:dyDescent="0.25">
      <c r="A30" s="1" t="s">
        <v>16</v>
      </c>
      <c r="B30" s="1" t="s">
        <v>43</v>
      </c>
      <c r="C30" s="11"/>
      <c r="D30" s="11"/>
      <c r="E30" s="11"/>
      <c r="F30" s="11"/>
      <c r="G30" s="11">
        <f t="shared" si="0"/>
        <v>0</v>
      </c>
      <c r="H30" s="17">
        <f t="shared" si="1"/>
        <v>0</v>
      </c>
      <c r="I30" s="16">
        <f t="shared" si="2"/>
        <v>0</v>
      </c>
      <c r="J30" s="16">
        <f>ROUND(G30/2000-1,2)</f>
        <v>-1</v>
      </c>
    </row>
    <row r="31" spans="1:10" x14ac:dyDescent="0.25">
      <c r="A31" s="1" t="s">
        <v>16</v>
      </c>
      <c r="B31" s="1" t="s">
        <v>42</v>
      </c>
      <c r="C31" s="11"/>
      <c r="D31" s="11"/>
      <c r="E31" s="11"/>
      <c r="F31" s="11"/>
      <c r="G31" s="11">
        <f t="shared" si="0"/>
        <v>0</v>
      </c>
      <c r="H31" s="17">
        <f t="shared" si="1"/>
        <v>0</v>
      </c>
      <c r="I31" s="16">
        <f t="shared" si="2"/>
        <v>0</v>
      </c>
      <c r="J31" s="16">
        <f>ROUND(G31/1169.69-1,2)</f>
        <v>-1</v>
      </c>
    </row>
    <row r="32" spans="1:10" x14ac:dyDescent="0.25">
      <c r="A32" s="1" t="s">
        <v>16</v>
      </c>
      <c r="B32" s="1" t="s">
        <v>18</v>
      </c>
      <c r="C32" s="11"/>
      <c r="D32" s="11"/>
      <c r="E32" s="11"/>
      <c r="F32" s="11"/>
      <c r="G32" s="11">
        <f t="shared" si="0"/>
        <v>0</v>
      </c>
      <c r="H32" s="17">
        <f t="shared" si="1"/>
        <v>0</v>
      </c>
      <c r="I32" s="16">
        <f t="shared" si="2"/>
        <v>0</v>
      </c>
      <c r="J32" s="16">
        <f>ROUND(G32/640-1,2)</f>
        <v>-1</v>
      </c>
    </row>
    <row r="33" spans="1:10" x14ac:dyDescent="0.25">
      <c r="A33" s="1" t="s">
        <v>16</v>
      </c>
      <c r="B33" s="1" t="s">
        <v>33</v>
      </c>
      <c r="C33" s="11"/>
      <c r="D33" s="11"/>
      <c r="E33" s="11"/>
      <c r="F33" s="11"/>
      <c r="G33" s="11">
        <f t="shared" si="0"/>
        <v>0</v>
      </c>
      <c r="H33" s="17">
        <f t="shared" si="1"/>
        <v>0</v>
      </c>
      <c r="I33" s="16">
        <f t="shared" si="2"/>
        <v>0</v>
      </c>
      <c r="J33" s="16">
        <f>ROUND(G33/610-1,2)</f>
        <v>-1</v>
      </c>
    </row>
    <row r="34" spans="1:10" x14ac:dyDescent="0.25">
      <c r="A34" s="1" t="s">
        <v>16</v>
      </c>
      <c r="B34" s="1" t="s">
        <v>30</v>
      </c>
      <c r="C34" s="11"/>
      <c r="D34" s="11"/>
      <c r="E34" s="11"/>
      <c r="F34" s="11"/>
      <c r="G34" s="11">
        <f t="shared" si="0"/>
        <v>0</v>
      </c>
      <c r="H34" s="17">
        <f t="shared" si="1"/>
        <v>0</v>
      </c>
      <c r="I34" s="16">
        <f t="shared" si="2"/>
        <v>0</v>
      </c>
      <c r="J34" s="16"/>
    </row>
    <row r="35" spans="1:10" x14ac:dyDescent="0.25">
      <c r="A35" s="1" t="s">
        <v>16</v>
      </c>
      <c r="B35" s="1" t="s">
        <v>36</v>
      </c>
      <c r="C35" s="11"/>
      <c r="D35" s="11"/>
      <c r="E35" s="11"/>
      <c r="F35" s="11"/>
      <c r="G35" s="11">
        <f t="shared" si="0"/>
        <v>0</v>
      </c>
      <c r="H35" s="17">
        <f t="shared" si="1"/>
        <v>0</v>
      </c>
      <c r="I35" s="16">
        <f t="shared" si="2"/>
        <v>0</v>
      </c>
      <c r="J35" s="16"/>
    </row>
    <row r="36" spans="1:10" x14ac:dyDescent="0.25">
      <c r="A36" s="1" t="s">
        <v>44</v>
      </c>
      <c r="B36" s="1" t="s">
        <v>45</v>
      </c>
      <c r="C36" s="11">
        <v>78530</v>
      </c>
      <c r="D36" s="11"/>
      <c r="E36" s="11"/>
      <c r="F36" s="11"/>
      <c r="G36" s="11">
        <f t="shared" si="0"/>
        <v>78530</v>
      </c>
      <c r="H36" s="17">
        <f t="shared" si="1"/>
        <v>38.57</v>
      </c>
      <c r="I36" s="16">
        <f t="shared" si="2"/>
        <v>0.30299999999999999</v>
      </c>
      <c r="J36" s="16">
        <f>ROUND(G36/90110-1,2)</f>
        <v>-0.13</v>
      </c>
    </row>
    <row r="37" spans="1:10" x14ac:dyDescent="0.25">
      <c r="A37" s="1" t="s">
        <v>44</v>
      </c>
      <c r="B37" s="1" t="s">
        <v>46</v>
      </c>
      <c r="C37" s="11"/>
      <c r="D37" s="11"/>
      <c r="E37" s="11">
        <v>15154</v>
      </c>
      <c r="F37" s="11"/>
      <c r="G37" s="11">
        <f t="shared" si="0"/>
        <v>15154</v>
      </c>
      <c r="H37" s="17">
        <f t="shared" si="1"/>
        <v>7.44</v>
      </c>
      <c r="I37" s="16">
        <f t="shared" si="2"/>
        <v>5.8000000000000003E-2</v>
      </c>
      <c r="J37" s="16">
        <f>ROUND(G37/14684.52-1,2)</f>
        <v>0.03</v>
      </c>
    </row>
    <row r="38" spans="1:10" x14ac:dyDescent="0.25">
      <c r="A38" s="1" t="s">
        <v>44</v>
      </c>
      <c r="B38" s="1" t="s">
        <v>47</v>
      </c>
      <c r="C38" s="11"/>
      <c r="D38" s="11"/>
      <c r="E38" s="11"/>
      <c r="F38" s="11"/>
      <c r="G38" s="11">
        <f t="shared" si="0"/>
        <v>0</v>
      </c>
      <c r="H38" s="17">
        <f t="shared" si="1"/>
        <v>0</v>
      </c>
      <c r="I38" s="16">
        <f t="shared" si="2"/>
        <v>0</v>
      </c>
      <c r="J38" s="16"/>
    </row>
    <row r="39" spans="1:10" x14ac:dyDescent="0.25">
      <c r="A39" s="1" t="s">
        <v>48</v>
      </c>
      <c r="B39" s="1" t="s">
        <v>49</v>
      </c>
      <c r="C39" s="11"/>
      <c r="D39" s="11"/>
      <c r="E39" s="11"/>
      <c r="F39" s="11"/>
      <c r="G39" s="11">
        <f t="shared" si="0"/>
        <v>0</v>
      </c>
      <c r="H39" s="17">
        <f t="shared" si="1"/>
        <v>0</v>
      </c>
      <c r="I39" s="16">
        <f t="shared" si="2"/>
        <v>0</v>
      </c>
      <c r="J39" s="16"/>
    </row>
    <row r="40" spans="1:10" x14ac:dyDescent="0.25">
      <c r="A40" s="1" t="s">
        <v>48</v>
      </c>
      <c r="B40" s="1" t="s">
        <v>86</v>
      </c>
      <c r="C40" s="11"/>
      <c r="D40" s="11"/>
      <c r="E40" s="11"/>
      <c r="F40" s="11"/>
      <c r="G40" s="11">
        <f t="shared" si="0"/>
        <v>0</v>
      </c>
      <c r="H40" s="17">
        <f t="shared" si="1"/>
        <v>0</v>
      </c>
      <c r="I40" s="16">
        <f t="shared" si="2"/>
        <v>0</v>
      </c>
      <c r="J40" s="16"/>
    </row>
    <row r="41" spans="1:10" x14ac:dyDescent="0.25">
      <c r="A41" s="1" t="s">
        <v>48</v>
      </c>
      <c r="B41" s="1" t="s">
        <v>50</v>
      </c>
      <c r="C41" s="11"/>
      <c r="D41" s="11"/>
      <c r="E41" s="11"/>
      <c r="F41" s="11"/>
      <c r="G41" s="11">
        <f t="shared" si="0"/>
        <v>0</v>
      </c>
      <c r="H41" s="17">
        <f t="shared" si="1"/>
        <v>0</v>
      </c>
      <c r="I41" s="16">
        <f t="shared" si="2"/>
        <v>0</v>
      </c>
      <c r="J41" s="16"/>
    </row>
    <row r="42" spans="1:10" x14ac:dyDescent="0.25">
      <c r="A42" s="1" t="s">
        <v>48</v>
      </c>
      <c r="B42" s="1" t="s">
        <v>51</v>
      </c>
      <c r="C42" s="11"/>
      <c r="D42" s="11"/>
      <c r="E42" s="11"/>
      <c r="F42" s="11"/>
      <c r="G42" s="11">
        <f t="shared" si="0"/>
        <v>0</v>
      </c>
      <c r="H42" s="17">
        <f t="shared" si="1"/>
        <v>0</v>
      </c>
      <c r="I42" s="16">
        <f t="shared" si="2"/>
        <v>0</v>
      </c>
      <c r="J42" s="16"/>
    </row>
    <row r="43" spans="1:10" x14ac:dyDescent="0.25">
      <c r="A43" s="21" t="s">
        <v>12</v>
      </c>
      <c r="B43" s="21"/>
      <c r="C43" s="12">
        <f t="shared" ref="C43:H43" si="3">SUM(C8:C42)</f>
        <v>170310</v>
      </c>
      <c r="D43" s="12">
        <f t="shared" si="3"/>
        <v>0</v>
      </c>
      <c r="E43" s="12">
        <f t="shared" si="3"/>
        <v>89204</v>
      </c>
      <c r="F43" s="12">
        <f t="shared" si="3"/>
        <v>0</v>
      </c>
      <c r="G43" s="12">
        <f t="shared" si="3"/>
        <v>259514</v>
      </c>
      <c r="H43" s="15">
        <f t="shared" si="3"/>
        <v>127.47</v>
      </c>
      <c r="I43" s="18"/>
      <c r="J43" s="18"/>
    </row>
    <row r="44" spans="1:10" x14ac:dyDescent="0.25">
      <c r="A44" s="21" t="s">
        <v>14</v>
      </c>
      <c r="B44" s="21"/>
      <c r="C44" s="13">
        <f>ROUND(C43/G43,2)</f>
        <v>0.66</v>
      </c>
      <c r="D44" s="13">
        <f>ROUND(D43/G43,2)</f>
        <v>0</v>
      </c>
      <c r="E44" s="13">
        <f>ROUND(E43/G43,2)</f>
        <v>0.34</v>
      </c>
      <c r="F44" s="13">
        <f>ROUND(F43/G43,2)</f>
        <v>0</v>
      </c>
      <c r="G44" s="14"/>
      <c r="H44" s="14"/>
      <c r="I44" s="18"/>
      <c r="J44" s="18"/>
    </row>
    <row r="45" spans="1:10" x14ac:dyDescent="0.25">
      <c r="A45" s="2" t="s">
        <v>52</v>
      </c>
      <c r="B45" s="2"/>
      <c r="C45" s="14"/>
      <c r="D45" s="14"/>
      <c r="E45" s="14"/>
      <c r="F45" s="14"/>
      <c r="G45" s="14"/>
      <c r="H45" s="14"/>
      <c r="I45" s="18"/>
      <c r="J45" s="18"/>
    </row>
    <row r="46" spans="1:10" x14ac:dyDescent="0.25">
      <c r="C46" s="9"/>
      <c r="D46" s="9"/>
      <c r="E46" s="9"/>
      <c r="F46" s="9"/>
      <c r="G46" s="9"/>
      <c r="H46" s="9"/>
      <c r="I46" s="10"/>
      <c r="J46" s="10"/>
    </row>
    <row r="47" spans="1:10" x14ac:dyDescent="0.25">
      <c r="C47" s="9"/>
      <c r="D47" s="9"/>
      <c r="E47" s="9"/>
      <c r="F47" s="9"/>
      <c r="G47" s="9"/>
      <c r="H47" s="9"/>
      <c r="I47" s="10"/>
      <c r="J47" s="10"/>
    </row>
    <row r="48" spans="1:10" x14ac:dyDescent="0.25">
      <c r="C48" s="9"/>
      <c r="D48" s="9"/>
      <c r="E48" s="9"/>
      <c r="F48" s="9"/>
      <c r="G48" s="9"/>
      <c r="H48" s="9"/>
      <c r="I48" s="10"/>
      <c r="J48" s="10"/>
    </row>
    <row r="49" spans="1:10" x14ac:dyDescent="0.25">
      <c r="A49" s="21" t="s">
        <v>53</v>
      </c>
      <c r="B49" s="21"/>
      <c r="C49" s="12" t="s">
        <v>8</v>
      </c>
      <c r="D49" s="12" t="s">
        <v>9</v>
      </c>
      <c r="E49" s="12" t="s">
        <v>10</v>
      </c>
      <c r="F49" s="12" t="s">
        <v>11</v>
      </c>
      <c r="G49" s="12" t="s">
        <v>12</v>
      </c>
      <c r="H49" s="15" t="s">
        <v>13</v>
      </c>
      <c r="I49" s="18"/>
      <c r="J49" s="18"/>
    </row>
    <row r="50" spans="1:10" x14ac:dyDescent="0.25">
      <c r="A50" s="20" t="s">
        <v>54</v>
      </c>
      <c r="B50" s="20"/>
      <c r="C50" s="11">
        <v>91780</v>
      </c>
      <c r="D50" s="11">
        <v>0</v>
      </c>
      <c r="E50" s="11">
        <v>74050</v>
      </c>
      <c r="F50" s="11">
        <v>0</v>
      </c>
      <c r="G50" s="11">
        <f>SUM(C50:F50)</f>
        <v>165830</v>
      </c>
      <c r="H50" s="17">
        <f>ROUND(G50/2036,2)</f>
        <v>81.45</v>
      </c>
      <c r="I50" s="10"/>
      <c r="J50" s="10"/>
    </row>
    <row r="51" spans="1:10" x14ac:dyDescent="0.25">
      <c r="A51" s="20" t="s">
        <v>55</v>
      </c>
      <c r="B51" s="20"/>
      <c r="C51" s="11">
        <v>78530</v>
      </c>
      <c r="D51" s="11">
        <v>0</v>
      </c>
      <c r="E51" s="11">
        <v>15154</v>
      </c>
      <c r="F51" s="11">
        <v>0</v>
      </c>
      <c r="G51" s="11">
        <f>SUM(C51:F51)</f>
        <v>93684</v>
      </c>
      <c r="H51" s="17">
        <f>ROUND(G51/2036,2)</f>
        <v>46.01</v>
      </c>
      <c r="I51" s="10"/>
      <c r="J51" s="10"/>
    </row>
    <row r="52" spans="1:10" x14ac:dyDescent="0.25">
      <c r="A52" s="20" t="s">
        <v>56</v>
      </c>
      <c r="B52" s="20"/>
      <c r="C52" s="11">
        <v>0</v>
      </c>
      <c r="D52" s="11">
        <v>0</v>
      </c>
      <c r="E52" s="11">
        <v>0</v>
      </c>
      <c r="F52" s="11">
        <v>0</v>
      </c>
      <c r="G52" s="11">
        <f>SUM(C52:F52)</f>
        <v>0</v>
      </c>
      <c r="H52" s="17">
        <f>ROUND(G52/2036,2)</f>
        <v>0</v>
      </c>
      <c r="I52" s="10"/>
      <c r="J52" s="10"/>
    </row>
    <row r="53" spans="1:10" x14ac:dyDescent="0.25">
      <c r="C53" s="9"/>
      <c r="D53" s="9"/>
      <c r="E53" s="9"/>
      <c r="F53" s="9"/>
      <c r="G53" s="9"/>
      <c r="H53" s="9"/>
      <c r="I53" s="10"/>
      <c r="J53" s="10"/>
    </row>
    <row r="54" spans="1:10" x14ac:dyDescent="0.25">
      <c r="C54" s="9"/>
      <c r="D54" s="9"/>
      <c r="E54" s="9"/>
      <c r="F54" s="9"/>
      <c r="G54" s="9"/>
      <c r="H54" s="9"/>
      <c r="I54" s="10"/>
      <c r="J54" s="10"/>
    </row>
    <row r="55" spans="1:10" x14ac:dyDescent="0.25">
      <c r="C55" s="9"/>
      <c r="D55" s="9"/>
      <c r="E55" s="9"/>
      <c r="F55" s="9"/>
      <c r="G55" s="9"/>
      <c r="H55" s="9"/>
      <c r="I55" s="10"/>
      <c r="J55" s="10"/>
    </row>
    <row r="56" spans="1:10" x14ac:dyDescent="0.25">
      <c r="C56" s="9"/>
      <c r="D56" s="9"/>
      <c r="E56" s="9"/>
      <c r="F56" s="9"/>
      <c r="G56" s="9"/>
      <c r="H56" s="9"/>
      <c r="I56" s="10"/>
      <c r="J56" s="10"/>
    </row>
    <row r="57" spans="1:10" x14ac:dyDescent="0.25">
      <c r="A57" s="21" t="s">
        <v>57</v>
      </c>
      <c r="B57" s="21"/>
      <c r="C57" s="15" t="s">
        <v>2</v>
      </c>
      <c r="D57" s="15">
        <v>2023</v>
      </c>
      <c r="E57" s="15" t="s">
        <v>59</v>
      </c>
      <c r="F57" s="14"/>
      <c r="G57" s="15" t="s">
        <v>60</v>
      </c>
      <c r="H57" s="15" t="s">
        <v>2</v>
      </c>
      <c r="I57" s="13" t="s">
        <v>61</v>
      </c>
      <c r="J57" s="13" t="s">
        <v>59</v>
      </c>
    </row>
    <row r="58" spans="1:10" x14ac:dyDescent="0.25">
      <c r="A58" s="20" t="s">
        <v>58</v>
      </c>
      <c r="B58" s="20"/>
      <c r="C58" s="16">
        <f>ROUND(0.6684, 4)</f>
        <v>0.66839999999999999</v>
      </c>
      <c r="D58" s="16">
        <f>ROUND(0.6592, 4)</f>
        <v>0.65920000000000001</v>
      </c>
      <c r="E58" s="16">
        <f>ROUND(0.777, 4)</f>
        <v>0.77700000000000002</v>
      </c>
      <c r="F58" s="9"/>
      <c r="G58" s="15" t="s">
        <v>62</v>
      </c>
      <c r="H58" s="22" t="s">
        <v>63</v>
      </c>
      <c r="I58" s="24" t="s">
        <v>64</v>
      </c>
      <c r="J58" s="24" t="s">
        <v>65</v>
      </c>
    </row>
    <row r="59" spans="1:10" x14ac:dyDescent="0.25">
      <c r="A59" s="20" t="s">
        <v>66</v>
      </c>
      <c r="B59" s="20"/>
      <c r="C59" s="16">
        <f>ROUND(0.6321, 4)</f>
        <v>0.6321</v>
      </c>
      <c r="D59" s="16">
        <f>ROUND(0.6252, 4)</f>
        <v>0.62519999999999998</v>
      </c>
      <c r="E59" s="16">
        <f>ROUND(0.7608, 4)</f>
        <v>0.76080000000000003</v>
      </c>
      <c r="F59" s="9"/>
      <c r="G59" s="15" t="s">
        <v>67</v>
      </c>
      <c r="H59" s="23"/>
      <c r="I59" s="25"/>
      <c r="J59" s="25"/>
    </row>
    <row r="60" spans="1:10" x14ac:dyDescent="0.25">
      <c r="C60" s="9"/>
      <c r="D60" s="9"/>
      <c r="E60" s="9"/>
      <c r="F60" s="9"/>
      <c r="G60" s="9"/>
      <c r="H60" s="9"/>
      <c r="I60" s="10"/>
      <c r="J60" s="10"/>
    </row>
    <row r="61" spans="1:10" x14ac:dyDescent="0.25">
      <c r="C61" s="9"/>
      <c r="D61" s="9"/>
      <c r="E61" s="9"/>
      <c r="F61" s="9"/>
      <c r="G61" s="9"/>
      <c r="H61" s="9"/>
      <c r="I61" s="10"/>
      <c r="J61" s="10"/>
    </row>
    <row r="62" spans="1:10" x14ac:dyDescent="0.25">
      <c r="C62" s="9"/>
      <c r="D62" s="9"/>
      <c r="E62" s="9"/>
      <c r="F62" s="9"/>
      <c r="G62" s="9"/>
      <c r="H62" s="9"/>
      <c r="I62" s="10"/>
      <c r="J62" s="10"/>
    </row>
    <row r="63" spans="1:10" x14ac:dyDescent="0.25">
      <c r="A63" s="21" t="s">
        <v>68</v>
      </c>
      <c r="B63" s="21"/>
      <c r="C63" s="15" t="s">
        <v>2</v>
      </c>
      <c r="D63" s="15" t="s">
        <v>87</v>
      </c>
      <c r="E63" s="15" t="s">
        <v>70</v>
      </c>
      <c r="F63" s="15" t="s">
        <v>71</v>
      </c>
      <c r="G63" s="15" t="s">
        <v>72</v>
      </c>
      <c r="H63" s="14"/>
      <c r="I63" s="18"/>
      <c r="J63" s="18"/>
    </row>
    <row r="64" spans="1:10" x14ac:dyDescent="0.25">
      <c r="A64" s="20" t="s">
        <v>73</v>
      </c>
      <c r="B64" s="20"/>
      <c r="C64" s="17">
        <v>38.57</v>
      </c>
      <c r="D64" s="17">
        <v>82.53</v>
      </c>
      <c r="E64" s="17">
        <v>81.84</v>
      </c>
      <c r="F64" s="17">
        <v>48</v>
      </c>
      <c r="G64" s="17">
        <f>12/4*C64</f>
        <v>115.71000000000001</v>
      </c>
      <c r="H64" s="9"/>
      <c r="I64" s="10"/>
      <c r="J64" s="10"/>
    </row>
    <row r="65" spans="1:10" x14ac:dyDescent="0.25">
      <c r="A65" s="20" t="s">
        <v>74</v>
      </c>
      <c r="B65" s="20"/>
      <c r="C65" s="17">
        <v>10.68</v>
      </c>
      <c r="D65" s="17">
        <v>39.43</v>
      </c>
      <c r="E65" s="17">
        <v>55.63</v>
      </c>
      <c r="F65" s="17">
        <v>55.33</v>
      </c>
      <c r="G65" s="17">
        <f>12/4*C65</f>
        <v>32.04</v>
      </c>
      <c r="H65" s="9"/>
      <c r="I65" s="10"/>
      <c r="J65" s="10"/>
    </row>
    <row r="66" spans="1:10" x14ac:dyDescent="0.25">
      <c r="A66" s="20" t="s">
        <v>75</v>
      </c>
      <c r="B66" s="20"/>
      <c r="C66" s="17">
        <v>81.45</v>
      </c>
      <c r="D66" s="17">
        <v>235.38</v>
      </c>
      <c r="E66" s="17">
        <v>257.88</v>
      </c>
      <c r="F66" s="17">
        <v>242.78</v>
      </c>
      <c r="G66" s="17">
        <f>12/4*C66</f>
        <v>244.35000000000002</v>
      </c>
      <c r="H66" s="9"/>
      <c r="I66" s="10"/>
      <c r="J66" s="10"/>
    </row>
    <row r="67" spans="1:10" x14ac:dyDescent="0.25">
      <c r="A67" s="20" t="s">
        <v>76</v>
      </c>
      <c r="B67" s="20"/>
      <c r="C67" s="17">
        <v>46.01</v>
      </c>
      <c r="D67" s="17">
        <v>103.67</v>
      </c>
      <c r="E67" s="17">
        <v>103.14</v>
      </c>
      <c r="F67" s="17">
        <v>68.31</v>
      </c>
      <c r="G67" s="17">
        <f>12/4*C67</f>
        <v>138.03</v>
      </c>
      <c r="H67" s="9"/>
      <c r="I67" s="10"/>
      <c r="J67" s="10"/>
    </row>
    <row r="68" spans="1:10" x14ac:dyDescent="0.25">
      <c r="C68" s="9"/>
      <c r="D68" s="9"/>
      <c r="E68" s="9"/>
      <c r="F68" s="9"/>
      <c r="G68" s="9"/>
      <c r="H68" s="9"/>
      <c r="I68" s="10"/>
      <c r="J68" s="10"/>
    </row>
    <row r="69" spans="1:10" x14ac:dyDescent="0.25">
      <c r="C69" s="9"/>
      <c r="D69" s="9"/>
      <c r="E69" s="9"/>
      <c r="F69" s="9"/>
      <c r="G69" s="9"/>
      <c r="H69" s="9"/>
      <c r="I69" s="10"/>
      <c r="J69" s="10"/>
    </row>
    <row r="70" spans="1:10" x14ac:dyDescent="0.25">
      <c r="A70" s="19" t="s">
        <v>60</v>
      </c>
      <c r="B70" s="26"/>
      <c r="C70" s="9"/>
      <c r="D70" s="9"/>
      <c r="E70" s="9"/>
      <c r="F70" s="9"/>
      <c r="G70" s="9"/>
      <c r="H70" s="9"/>
      <c r="I70" s="10"/>
      <c r="J70" s="10"/>
    </row>
    <row r="71" spans="1:10" x14ac:dyDescent="0.25">
      <c r="A71" s="3" t="s">
        <v>77</v>
      </c>
      <c r="B71" s="1" t="s">
        <v>88</v>
      </c>
      <c r="C71" s="9"/>
      <c r="D71" s="9"/>
      <c r="E71" s="9"/>
      <c r="F71" s="9"/>
      <c r="G71" s="9"/>
      <c r="H71" s="9"/>
      <c r="I71" s="10"/>
      <c r="J71" s="10"/>
    </row>
    <row r="72" spans="1:10" x14ac:dyDescent="0.25">
      <c r="A72" s="3" t="s">
        <v>70</v>
      </c>
      <c r="B72" s="1" t="s">
        <v>79</v>
      </c>
      <c r="C72" s="9"/>
      <c r="D72" s="9"/>
      <c r="E72" s="9"/>
      <c r="F72" s="9"/>
      <c r="G72" s="9"/>
      <c r="H72" s="9"/>
      <c r="I72" s="10"/>
      <c r="J72" s="10"/>
    </row>
    <row r="73" spans="1:10" x14ac:dyDescent="0.25">
      <c r="A73" s="3" t="s">
        <v>71</v>
      </c>
      <c r="B73" s="1" t="s">
        <v>80</v>
      </c>
      <c r="C73" s="9"/>
      <c r="D73" s="9"/>
      <c r="E73" s="9"/>
      <c r="F73" s="9"/>
      <c r="G73" s="9"/>
      <c r="H73" s="9"/>
      <c r="I73" s="10"/>
      <c r="J73" s="10"/>
    </row>
    <row r="74" spans="1:10" x14ac:dyDescent="0.25">
      <c r="A74" s="3" t="s">
        <v>72</v>
      </c>
      <c r="B74" s="1" t="s">
        <v>81</v>
      </c>
    </row>
  </sheetData>
  <mergeCells count="19">
    <mergeCell ref="A65:B65"/>
    <mergeCell ref="A66:B66"/>
    <mergeCell ref="A67:B67"/>
    <mergeCell ref="A70:B70"/>
    <mergeCell ref="I58:I59"/>
    <mergeCell ref="J58:J59"/>
    <mergeCell ref="A59:B59"/>
    <mergeCell ref="A63:B63"/>
    <mergeCell ref="A64:B64"/>
    <mergeCell ref="A51:B51"/>
    <mergeCell ref="A52:B52"/>
    <mergeCell ref="A57:B57"/>
    <mergeCell ref="A58:B58"/>
    <mergeCell ref="H58:H59"/>
    <mergeCell ref="C7:G7"/>
    <mergeCell ref="A43:B43"/>
    <mergeCell ref="A44:B44"/>
    <mergeCell ref="A49:B49"/>
    <mergeCell ref="A50:B50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2:J72"/>
  <sheetViews>
    <sheetView workbookViewId="0">
      <selection activeCell="C9" sqref="C9:J72"/>
    </sheetView>
  </sheetViews>
  <sheetFormatPr defaultRowHeight="15" x14ac:dyDescent="0.25"/>
  <cols>
    <col min="1" max="1" width="38.85546875" bestFit="1" customWidth="1"/>
    <col min="2" max="2" width="79" bestFit="1" customWidth="1"/>
    <col min="3" max="3" width="14" bestFit="1" customWidth="1"/>
    <col min="4" max="4" width="24.7109375" bestFit="1" customWidth="1"/>
    <col min="5" max="5" width="16.42578125" bestFit="1" customWidth="1"/>
    <col min="6" max="6" width="10.5703125" bestFit="1" customWidth="1"/>
    <col min="7" max="7" width="68.28515625" bestFit="1" customWidth="1"/>
    <col min="8" max="9" width="20" bestFit="1" customWidth="1"/>
    <col min="10" max="10" width="30.5703125" bestFit="1" customWidth="1"/>
  </cols>
  <sheetData>
    <row r="2" spans="1:10" ht="18.75" x14ac:dyDescent="0.3">
      <c r="A2" s="3" t="s">
        <v>0</v>
      </c>
      <c r="B2" s="4" t="s">
        <v>191</v>
      </c>
    </row>
    <row r="3" spans="1:10" x14ac:dyDescent="0.25">
      <c r="A3" s="3" t="s">
        <v>2</v>
      </c>
      <c r="B3" s="1" t="s">
        <v>3</v>
      </c>
    </row>
    <row r="4" spans="1:10" x14ac:dyDescent="0.25">
      <c r="A4" s="3" t="s">
        <v>4</v>
      </c>
      <c r="B4" s="1">
        <v>600</v>
      </c>
    </row>
    <row r="7" spans="1:10" x14ac:dyDescent="0.25">
      <c r="C7" s="19" t="s">
        <v>5</v>
      </c>
      <c r="D7" s="20"/>
      <c r="E7" s="20"/>
      <c r="F7" s="20"/>
      <c r="G7" s="20"/>
    </row>
    <row r="8" spans="1:10" x14ac:dyDescent="0.25">
      <c r="A8" s="3" t="s">
        <v>6</v>
      </c>
      <c r="B8" s="3" t="s">
        <v>7</v>
      </c>
      <c r="C8" s="3" t="s">
        <v>8</v>
      </c>
      <c r="D8" s="3" t="s">
        <v>9</v>
      </c>
      <c r="E8" s="3" t="s">
        <v>10</v>
      </c>
      <c r="F8" s="3" t="s">
        <v>11</v>
      </c>
      <c r="G8" s="3" t="s">
        <v>12</v>
      </c>
      <c r="H8" s="3" t="s">
        <v>13</v>
      </c>
      <c r="I8" s="3" t="s">
        <v>14</v>
      </c>
      <c r="J8" s="3" t="s">
        <v>15</v>
      </c>
    </row>
    <row r="9" spans="1:10" x14ac:dyDescent="0.25">
      <c r="A9" s="1" t="s">
        <v>16</v>
      </c>
      <c r="B9" s="1" t="s">
        <v>19</v>
      </c>
      <c r="C9" s="11">
        <v>5800</v>
      </c>
      <c r="D9" s="11"/>
      <c r="E9" s="11"/>
      <c r="F9" s="11"/>
      <c r="G9" s="11">
        <f t="shared" ref="G9:G37" si="0">SUM(C9:F9)</f>
        <v>5800</v>
      </c>
      <c r="H9" s="17">
        <f t="shared" ref="H9:H37" si="1">ROUND(G9/600,2)</f>
        <v>9.67</v>
      </c>
      <c r="I9" s="16">
        <f t="shared" ref="I9:I37" si="2">ROUND(G9/$G$38,3)</f>
        <v>9.8000000000000004E-2</v>
      </c>
      <c r="J9" s="16">
        <f>ROUND(G9/4770-1,2)</f>
        <v>0.22</v>
      </c>
    </row>
    <row r="10" spans="1:10" x14ac:dyDescent="0.25">
      <c r="A10" s="1" t="s">
        <v>16</v>
      </c>
      <c r="B10" s="1" t="s">
        <v>20</v>
      </c>
      <c r="C10" s="11">
        <v>8700</v>
      </c>
      <c r="D10" s="11"/>
      <c r="E10" s="11"/>
      <c r="F10" s="11"/>
      <c r="G10" s="11">
        <f t="shared" si="0"/>
        <v>8700</v>
      </c>
      <c r="H10" s="17">
        <f t="shared" si="1"/>
        <v>14.5</v>
      </c>
      <c r="I10" s="16">
        <f t="shared" si="2"/>
        <v>0.14699999999999999</v>
      </c>
      <c r="J10" s="16">
        <f>ROUND(G10/8930-1,2)</f>
        <v>-0.03</v>
      </c>
    </row>
    <row r="11" spans="1:10" x14ac:dyDescent="0.25">
      <c r="A11" s="1" t="s">
        <v>16</v>
      </c>
      <c r="B11" s="1" t="s">
        <v>24</v>
      </c>
      <c r="C11" s="11">
        <v>7060</v>
      </c>
      <c r="D11" s="11"/>
      <c r="E11" s="11"/>
      <c r="F11" s="11"/>
      <c r="G11" s="11">
        <f t="shared" si="0"/>
        <v>7060</v>
      </c>
      <c r="H11" s="17">
        <f t="shared" si="1"/>
        <v>11.77</v>
      </c>
      <c r="I11" s="16">
        <f t="shared" si="2"/>
        <v>0.11899999999999999</v>
      </c>
      <c r="J11" s="16">
        <f>ROUND(G11/6940-1,2)</f>
        <v>0.02</v>
      </c>
    </row>
    <row r="12" spans="1:10" x14ac:dyDescent="0.25">
      <c r="A12" s="1" t="s">
        <v>16</v>
      </c>
      <c r="B12" s="1" t="s">
        <v>26</v>
      </c>
      <c r="C12" s="11">
        <v>7200</v>
      </c>
      <c r="D12" s="11"/>
      <c r="E12" s="11"/>
      <c r="F12" s="11"/>
      <c r="G12" s="11">
        <f t="shared" si="0"/>
        <v>7200</v>
      </c>
      <c r="H12" s="17">
        <f t="shared" si="1"/>
        <v>12</v>
      </c>
      <c r="I12" s="16">
        <f t="shared" si="2"/>
        <v>0.121</v>
      </c>
      <c r="J12" s="16">
        <f>ROUND(G12/7440-1,2)</f>
        <v>-0.03</v>
      </c>
    </row>
    <row r="13" spans="1:10" x14ac:dyDescent="0.25">
      <c r="A13" s="1" t="s">
        <v>16</v>
      </c>
      <c r="B13" s="1" t="s">
        <v>27</v>
      </c>
      <c r="C13" s="11"/>
      <c r="D13" s="11"/>
      <c r="E13" s="11">
        <v>190</v>
      </c>
      <c r="F13" s="11"/>
      <c r="G13" s="11">
        <f t="shared" si="0"/>
        <v>190</v>
      </c>
      <c r="H13" s="17">
        <f t="shared" si="1"/>
        <v>0.32</v>
      </c>
      <c r="I13" s="16">
        <f t="shared" si="2"/>
        <v>3.0000000000000001E-3</v>
      </c>
      <c r="J13" s="16">
        <f>ROUND(G13/250-1,2)</f>
        <v>-0.24</v>
      </c>
    </row>
    <row r="14" spans="1:10" x14ac:dyDescent="0.25">
      <c r="A14" s="1" t="s">
        <v>16</v>
      </c>
      <c r="B14" s="1" t="s">
        <v>28</v>
      </c>
      <c r="C14" s="11"/>
      <c r="D14" s="11"/>
      <c r="E14" s="11">
        <v>70</v>
      </c>
      <c r="F14" s="11"/>
      <c r="G14" s="11">
        <f t="shared" si="0"/>
        <v>70</v>
      </c>
      <c r="H14" s="17">
        <f t="shared" si="1"/>
        <v>0.12</v>
      </c>
      <c r="I14" s="16">
        <f t="shared" si="2"/>
        <v>1E-3</v>
      </c>
      <c r="J14" s="16">
        <f>ROUND(G14/110-1,2)</f>
        <v>-0.36</v>
      </c>
    </row>
    <row r="15" spans="1:10" x14ac:dyDescent="0.25">
      <c r="A15" s="1" t="s">
        <v>16</v>
      </c>
      <c r="B15" s="1" t="s">
        <v>29</v>
      </c>
      <c r="C15" s="11"/>
      <c r="D15" s="11"/>
      <c r="E15" s="11">
        <v>100</v>
      </c>
      <c r="F15" s="11"/>
      <c r="G15" s="11">
        <f t="shared" si="0"/>
        <v>100</v>
      </c>
      <c r="H15" s="17">
        <f t="shared" si="1"/>
        <v>0.17</v>
      </c>
      <c r="I15" s="16">
        <f t="shared" si="2"/>
        <v>2E-3</v>
      </c>
      <c r="J15" s="16">
        <f>ROUND(G15/180-1,2)</f>
        <v>-0.44</v>
      </c>
    </row>
    <row r="16" spans="1:10" x14ac:dyDescent="0.25">
      <c r="A16" s="1" t="s">
        <v>16</v>
      </c>
      <c r="B16" s="1" t="s">
        <v>31</v>
      </c>
      <c r="C16" s="11"/>
      <c r="D16" s="11"/>
      <c r="E16" s="11">
        <v>230</v>
      </c>
      <c r="F16" s="11"/>
      <c r="G16" s="11">
        <f t="shared" si="0"/>
        <v>230</v>
      </c>
      <c r="H16" s="17">
        <f t="shared" si="1"/>
        <v>0.38</v>
      </c>
      <c r="I16" s="16">
        <f t="shared" si="2"/>
        <v>4.0000000000000001E-3</v>
      </c>
      <c r="J16" s="16">
        <f>ROUND(G16/265-1,2)</f>
        <v>-0.13</v>
      </c>
    </row>
    <row r="17" spans="1:10" x14ac:dyDescent="0.25">
      <c r="A17" s="1" t="s">
        <v>16</v>
      </c>
      <c r="B17" s="1" t="s">
        <v>32</v>
      </c>
      <c r="C17" s="11"/>
      <c r="D17" s="11">
        <v>19</v>
      </c>
      <c r="E17" s="11"/>
      <c r="F17" s="11"/>
      <c r="G17" s="11">
        <f t="shared" si="0"/>
        <v>19</v>
      </c>
      <c r="H17" s="17">
        <f t="shared" si="1"/>
        <v>0.03</v>
      </c>
      <c r="I17" s="16">
        <f t="shared" si="2"/>
        <v>0</v>
      </c>
      <c r="J17" s="16">
        <f>ROUND(G17/36-1,2)</f>
        <v>-0.47</v>
      </c>
    </row>
    <row r="18" spans="1:10" x14ac:dyDescent="0.25">
      <c r="A18" s="1" t="s">
        <v>16</v>
      </c>
      <c r="B18" s="1" t="s">
        <v>35</v>
      </c>
      <c r="C18" s="11"/>
      <c r="D18" s="11"/>
      <c r="E18" s="11">
        <v>7720</v>
      </c>
      <c r="F18" s="11"/>
      <c r="G18" s="11">
        <f t="shared" si="0"/>
        <v>7720</v>
      </c>
      <c r="H18" s="17">
        <f t="shared" si="1"/>
        <v>12.87</v>
      </c>
      <c r="I18" s="16">
        <f t="shared" si="2"/>
        <v>0.13</v>
      </c>
      <c r="J18" s="16">
        <f>ROUND(G18/2400-1,2)</f>
        <v>2.2200000000000002</v>
      </c>
    </row>
    <row r="19" spans="1:10" x14ac:dyDescent="0.25">
      <c r="A19" s="1" t="s">
        <v>16</v>
      </c>
      <c r="B19" s="1" t="s">
        <v>37</v>
      </c>
      <c r="C19" s="11"/>
      <c r="D19" s="11"/>
      <c r="E19" s="11">
        <v>2500</v>
      </c>
      <c r="F19" s="11"/>
      <c r="G19" s="11">
        <f t="shared" si="0"/>
        <v>2500</v>
      </c>
      <c r="H19" s="17">
        <f t="shared" si="1"/>
        <v>4.17</v>
      </c>
      <c r="I19" s="16">
        <f t="shared" si="2"/>
        <v>4.2000000000000003E-2</v>
      </c>
      <c r="J19" s="16">
        <f>ROUND(G19/1370-1,2)</f>
        <v>0.82</v>
      </c>
    </row>
    <row r="20" spans="1:10" x14ac:dyDescent="0.25">
      <c r="A20" s="1" t="s">
        <v>16</v>
      </c>
      <c r="B20" s="1" t="s">
        <v>40</v>
      </c>
      <c r="C20" s="11"/>
      <c r="D20" s="11"/>
      <c r="E20" s="11"/>
      <c r="F20" s="11"/>
      <c r="G20" s="11">
        <f t="shared" si="0"/>
        <v>0</v>
      </c>
      <c r="H20" s="17">
        <f t="shared" si="1"/>
        <v>0</v>
      </c>
      <c r="I20" s="16">
        <f t="shared" si="2"/>
        <v>0</v>
      </c>
      <c r="J20" s="16">
        <f>ROUND(G20/520-1,2)</f>
        <v>-1</v>
      </c>
    </row>
    <row r="21" spans="1:10" x14ac:dyDescent="0.25">
      <c r="A21" s="1" t="s">
        <v>16</v>
      </c>
      <c r="B21" s="1" t="s">
        <v>41</v>
      </c>
      <c r="C21" s="11"/>
      <c r="D21" s="11"/>
      <c r="E21" s="11"/>
      <c r="F21" s="11"/>
      <c r="G21" s="11">
        <f t="shared" si="0"/>
        <v>0</v>
      </c>
      <c r="H21" s="17">
        <f t="shared" si="1"/>
        <v>0</v>
      </c>
      <c r="I21" s="16">
        <f t="shared" si="2"/>
        <v>0</v>
      </c>
      <c r="J21" s="16">
        <f>ROUND(G21/660-1,2)</f>
        <v>-1</v>
      </c>
    </row>
    <row r="22" spans="1:10" x14ac:dyDescent="0.25">
      <c r="A22" s="1" t="s">
        <v>16</v>
      </c>
      <c r="B22" s="1" t="s">
        <v>43</v>
      </c>
      <c r="C22" s="11"/>
      <c r="D22" s="11"/>
      <c r="E22" s="11"/>
      <c r="F22" s="11"/>
      <c r="G22" s="11">
        <f t="shared" si="0"/>
        <v>0</v>
      </c>
      <c r="H22" s="17">
        <f t="shared" si="1"/>
        <v>0</v>
      </c>
      <c r="I22" s="16">
        <f t="shared" si="2"/>
        <v>0</v>
      </c>
      <c r="J22" s="16">
        <f>ROUND(G22/270-1,2)</f>
        <v>-1</v>
      </c>
    </row>
    <row r="23" spans="1:10" x14ac:dyDescent="0.25">
      <c r="A23" s="1" t="s">
        <v>16</v>
      </c>
      <c r="B23" s="1" t="s">
        <v>36</v>
      </c>
      <c r="C23" s="11"/>
      <c r="D23" s="11"/>
      <c r="E23" s="11"/>
      <c r="F23" s="11"/>
      <c r="G23" s="11">
        <f t="shared" si="0"/>
        <v>0</v>
      </c>
      <c r="H23" s="17">
        <f t="shared" si="1"/>
        <v>0</v>
      </c>
      <c r="I23" s="16">
        <f t="shared" si="2"/>
        <v>0</v>
      </c>
      <c r="J23" s="16">
        <f>ROUND(G23/1240-1,2)</f>
        <v>-1</v>
      </c>
    </row>
    <row r="24" spans="1:10" x14ac:dyDescent="0.25">
      <c r="A24" s="1" t="s">
        <v>16</v>
      </c>
      <c r="B24" s="1" t="s">
        <v>23</v>
      </c>
      <c r="C24" s="11"/>
      <c r="D24" s="11"/>
      <c r="E24" s="11"/>
      <c r="F24" s="11"/>
      <c r="G24" s="11">
        <f t="shared" si="0"/>
        <v>0</v>
      </c>
      <c r="H24" s="17">
        <f t="shared" si="1"/>
        <v>0</v>
      </c>
      <c r="I24" s="16">
        <f t="shared" si="2"/>
        <v>0</v>
      </c>
      <c r="J24" s="16">
        <f>ROUND(G24/7380-1,2)</f>
        <v>-1</v>
      </c>
    </row>
    <row r="25" spans="1:10" x14ac:dyDescent="0.25">
      <c r="A25" s="1" t="s">
        <v>16</v>
      </c>
      <c r="B25" s="1" t="s">
        <v>39</v>
      </c>
      <c r="C25" s="11"/>
      <c r="D25" s="11"/>
      <c r="E25" s="11"/>
      <c r="F25" s="11"/>
      <c r="G25" s="11">
        <f t="shared" si="0"/>
        <v>0</v>
      </c>
      <c r="H25" s="17">
        <f t="shared" si="1"/>
        <v>0</v>
      </c>
      <c r="I25" s="16">
        <f t="shared" si="2"/>
        <v>0</v>
      </c>
      <c r="J25" s="16"/>
    </row>
    <row r="26" spans="1:10" x14ac:dyDescent="0.25">
      <c r="A26" s="1" t="s">
        <v>16</v>
      </c>
      <c r="B26" s="1" t="s">
        <v>34</v>
      </c>
      <c r="C26" s="11"/>
      <c r="D26" s="11"/>
      <c r="E26" s="11"/>
      <c r="F26" s="11"/>
      <c r="G26" s="11">
        <f t="shared" si="0"/>
        <v>0</v>
      </c>
      <c r="H26" s="17">
        <f t="shared" si="1"/>
        <v>0</v>
      </c>
      <c r="I26" s="16">
        <f t="shared" si="2"/>
        <v>0</v>
      </c>
      <c r="J26" s="16"/>
    </row>
    <row r="27" spans="1:10" x14ac:dyDescent="0.25">
      <c r="A27" s="1" t="s">
        <v>16</v>
      </c>
      <c r="B27" s="1" t="s">
        <v>42</v>
      </c>
      <c r="C27" s="11"/>
      <c r="D27" s="11"/>
      <c r="E27" s="11"/>
      <c r="F27" s="11"/>
      <c r="G27" s="11">
        <f t="shared" si="0"/>
        <v>0</v>
      </c>
      <c r="H27" s="17">
        <f t="shared" si="1"/>
        <v>0</v>
      </c>
      <c r="I27" s="16">
        <f t="shared" si="2"/>
        <v>0</v>
      </c>
      <c r="J27" s="16">
        <f>ROUND(G27/600-1,2)</f>
        <v>-1</v>
      </c>
    </row>
    <row r="28" spans="1:10" x14ac:dyDescent="0.25">
      <c r="A28" s="1" t="s">
        <v>16</v>
      </c>
      <c r="B28" s="1" t="s">
        <v>94</v>
      </c>
      <c r="C28" s="11"/>
      <c r="D28" s="11"/>
      <c r="E28" s="11"/>
      <c r="F28" s="11"/>
      <c r="G28" s="11">
        <f t="shared" si="0"/>
        <v>0</v>
      </c>
      <c r="H28" s="17">
        <f t="shared" si="1"/>
        <v>0</v>
      </c>
      <c r="I28" s="16">
        <f t="shared" si="2"/>
        <v>0</v>
      </c>
      <c r="J28" s="16"/>
    </row>
    <row r="29" spans="1:10" x14ac:dyDescent="0.25">
      <c r="A29" s="1" t="s">
        <v>16</v>
      </c>
      <c r="B29" s="1" t="s">
        <v>21</v>
      </c>
      <c r="C29" s="11"/>
      <c r="D29" s="11"/>
      <c r="E29" s="11"/>
      <c r="F29" s="11"/>
      <c r="G29" s="11">
        <f t="shared" si="0"/>
        <v>0</v>
      </c>
      <c r="H29" s="17">
        <f t="shared" si="1"/>
        <v>0</v>
      </c>
      <c r="I29" s="16">
        <f t="shared" si="2"/>
        <v>0</v>
      </c>
      <c r="J29" s="16">
        <f>ROUND(G29/30-1,2)</f>
        <v>-1</v>
      </c>
    </row>
    <row r="30" spans="1:10" x14ac:dyDescent="0.25">
      <c r="A30" s="1" t="s">
        <v>16</v>
      </c>
      <c r="B30" s="1" t="s">
        <v>33</v>
      </c>
      <c r="C30" s="11"/>
      <c r="D30" s="11"/>
      <c r="E30" s="11"/>
      <c r="F30" s="11"/>
      <c r="G30" s="11">
        <f t="shared" si="0"/>
        <v>0</v>
      </c>
      <c r="H30" s="17">
        <f t="shared" si="1"/>
        <v>0</v>
      </c>
      <c r="I30" s="16">
        <f t="shared" si="2"/>
        <v>0</v>
      </c>
      <c r="J30" s="16"/>
    </row>
    <row r="31" spans="1:10" x14ac:dyDescent="0.25">
      <c r="A31" s="1" t="s">
        <v>16</v>
      </c>
      <c r="B31" s="1" t="s">
        <v>22</v>
      </c>
      <c r="C31" s="11"/>
      <c r="D31" s="11"/>
      <c r="E31" s="11"/>
      <c r="F31" s="11"/>
      <c r="G31" s="11">
        <f t="shared" si="0"/>
        <v>0</v>
      </c>
      <c r="H31" s="17">
        <f t="shared" si="1"/>
        <v>0</v>
      </c>
      <c r="I31" s="16">
        <f t="shared" si="2"/>
        <v>0</v>
      </c>
      <c r="J31" s="16"/>
    </row>
    <row r="32" spans="1:10" x14ac:dyDescent="0.25">
      <c r="A32" s="1" t="s">
        <v>16</v>
      </c>
      <c r="B32" s="1" t="s">
        <v>25</v>
      </c>
      <c r="C32" s="11"/>
      <c r="D32" s="11"/>
      <c r="E32" s="11"/>
      <c r="F32" s="11"/>
      <c r="G32" s="11">
        <f t="shared" si="0"/>
        <v>0</v>
      </c>
      <c r="H32" s="17">
        <f t="shared" si="1"/>
        <v>0</v>
      </c>
      <c r="I32" s="16">
        <f t="shared" si="2"/>
        <v>0</v>
      </c>
      <c r="J32" s="16"/>
    </row>
    <row r="33" spans="1:10" x14ac:dyDescent="0.25">
      <c r="A33" s="1" t="s">
        <v>16</v>
      </c>
      <c r="B33" s="1" t="s">
        <v>192</v>
      </c>
      <c r="C33" s="11"/>
      <c r="D33" s="11"/>
      <c r="E33" s="11"/>
      <c r="F33" s="11"/>
      <c r="G33" s="11">
        <f t="shared" si="0"/>
        <v>0</v>
      </c>
      <c r="H33" s="17">
        <f t="shared" si="1"/>
        <v>0</v>
      </c>
      <c r="I33" s="16">
        <f t="shared" si="2"/>
        <v>0</v>
      </c>
      <c r="J33" s="16"/>
    </row>
    <row r="34" spans="1:10" x14ac:dyDescent="0.25">
      <c r="A34" s="1" t="s">
        <v>16</v>
      </c>
      <c r="B34" s="1" t="s">
        <v>95</v>
      </c>
      <c r="C34" s="11"/>
      <c r="D34" s="11"/>
      <c r="E34" s="11"/>
      <c r="F34" s="11"/>
      <c r="G34" s="11">
        <f t="shared" si="0"/>
        <v>0</v>
      </c>
      <c r="H34" s="17">
        <f t="shared" si="1"/>
        <v>0</v>
      </c>
      <c r="I34" s="16">
        <f t="shared" si="2"/>
        <v>0</v>
      </c>
      <c r="J34" s="16"/>
    </row>
    <row r="35" spans="1:10" x14ac:dyDescent="0.25">
      <c r="A35" s="1" t="s">
        <v>44</v>
      </c>
      <c r="B35" s="1" t="s">
        <v>45</v>
      </c>
      <c r="C35" s="11">
        <v>15730</v>
      </c>
      <c r="D35" s="11"/>
      <c r="E35" s="11"/>
      <c r="F35" s="11"/>
      <c r="G35" s="11">
        <f t="shared" si="0"/>
        <v>15730</v>
      </c>
      <c r="H35" s="17">
        <f t="shared" si="1"/>
        <v>26.22</v>
      </c>
      <c r="I35" s="16">
        <f t="shared" si="2"/>
        <v>0.26500000000000001</v>
      </c>
      <c r="J35" s="16">
        <f>ROUND(G35/13745-1,2)</f>
        <v>0.14000000000000001</v>
      </c>
    </row>
    <row r="36" spans="1:10" x14ac:dyDescent="0.25">
      <c r="A36" s="1" t="s">
        <v>44</v>
      </c>
      <c r="B36" s="1" t="s">
        <v>46</v>
      </c>
      <c r="C36" s="11"/>
      <c r="D36" s="11"/>
      <c r="E36" s="11">
        <v>3960</v>
      </c>
      <c r="F36" s="11"/>
      <c r="G36" s="11">
        <f t="shared" si="0"/>
        <v>3960</v>
      </c>
      <c r="H36" s="17">
        <f t="shared" si="1"/>
        <v>6.6</v>
      </c>
      <c r="I36" s="16">
        <f t="shared" si="2"/>
        <v>6.7000000000000004E-2</v>
      </c>
      <c r="J36" s="16">
        <f>ROUND(G36/2640-1,2)</f>
        <v>0.5</v>
      </c>
    </row>
    <row r="37" spans="1:10" x14ac:dyDescent="0.25">
      <c r="A37" s="1" t="s">
        <v>48</v>
      </c>
      <c r="B37" s="1" t="s">
        <v>51</v>
      </c>
      <c r="C37" s="11"/>
      <c r="D37" s="11"/>
      <c r="E37" s="11"/>
      <c r="F37" s="11"/>
      <c r="G37" s="11">
        <f t="shared" si="0"/>
        <v>0</v>
      </c>
      <c r="H37" s="17">
        <f t="shared" si="1"/>
        <v>0</v>
      </c>
      <c r="I37" s="16">
        <f t="shared" si="2"/>
        <v>0</v>
      </c>
      <c r="J37" s="16"/>
    </row>
    <row r="38" spans="1:10" x14ac:dyDescent="0.25">
      <c r="A38" s="21" t="s">
        <v>12</v>
      </c>
      <c r="B38" s="21"/>
      <c r="C38" s="12">
        <f t="shared" ref="C38:H38" si="3">SUM(C8:C37)</f>
        <v>44490</v>
      </c>
      <c r="D38" s="12">
        <f t="shared" si="3"/>
        <v>19</v>
      </c>
      <c r="E38" s="12">
        <f t="shared" si="3"/>
        <v>14770</v>
      </c>
      <c r="F38" s="12">
        <f t="shared" si="3"/>
        <v>0</v>
      </c>
      <c r="G38" s="12">
        <f t="shared" si="3"/>
        <v>59279</v>
      </c>
      <c r="H38" s="15">
        <f t="shared" si="3"/>
        <v>98.82</v>
      </c>
      <c r="I38" s="18"/>
      <c r="J38" s="18"/>
    </row>
    <row r="39" spans="1:10" x14ac:dyDescent="0.25">
      <c r="A39" s="21" t="s">
        <v>14</v>
      </c>
      <c r="B39" s="21"/>
      <c r="C39" s="13">
        <f>ROUND(C38/G38,2)</f>
        <v>0.75</v>
      </c>
      <c r="D39" s="13">
        <f>ROUND(D38/G38,2)</f>
        <v>0</v>
      </c>
      <c r="E39" s="13">
        <f>ROUND(E38/G38,2)</f>
        <v>0.25</v>
      </c>
      <c r="F39" s="13">
        <f>ROUND(F38/G38,2)</f>
        <v>0</v>
      </c>
      <c r="G39" s="14"/>
      <c r="H39" s="14"/>
      <c r="I39" s="18"/>
      <c r="J39" s="18"/>
    </row>
    <row r="40" spans="1:10" x14ac:dyDescent="0.25">
      <c r="A40" s="2" t="s">
        <v>52</v>
      </c>
      <c r="B40" s="2"/>
      <c r="C40" s="14"/>
      <c r="D40" s="14"/>
      <c r="E40" s="14"/>
      <c r="F40" s="14"/>
      <c r="G40" s="14"/>
      <c r="H40" s="14"/>
      <c r="I40" s="18"/>
      <c r="J40" s="18"/>
    </row>
    <row r="41" spans="1:10" x14ac:dyDescent="0.25">
      <c r="C41" s="9"/>
      <c r="D41" s="9"/>
      <c r="E41" s="9"/>
      <c r="F41" s="9"/>
      <c r="G41" s="9"/>
      <c r="H41" s="9"/>
      <c r="I41" s="10"/>
      <c r="J41" s="10"/>
    </row>
    <row r="42" spans="1:10" x14ac:dyDescent="0.25">
      <c r="C42" s="9"/>
      <c r="D42" s="9"/>
      <c r="E42" s="9"/>
      <c r="F42" s="9"/>
      <c r="G42" s="9"/>
      <c r="H42" s="9"/>
      <c r="I42" s="10"/>
      <c r="J42" s="10"/>
    </row>
    <row r="43" spans="1:10" x14ac:dyDescent="0.25">
      <c r="C43" s="9"/>
      <c r="D43" s="9"/>
      <c r="E43" s="9"/>
      <c r="F43" s="9"/>
      <c r="G43" s="9"/>
      <c r="H43" s="9"/>
      <c r="I43" s="10"/>
      <c r="J43" s="10"/>
    </row>
    <row r="44" spans="1:10" x14ac:dyDescent="0.25">
      <c r="A44" s="21" t="s">
        <v>53</v>
      </c>
      <c r="B44" s="21"/>
      <c r="C44" s="12" t="s">
        <v>8</v>
      </c>
      <c r="D44" s="12" t="s">
        <v>9</v>
      </c>
      <c r="E44" s="12" t="s">
        <v>10</v>
      </c>
      <c r="F44" s="12" t="s">
        <v>11</v>
      </c>
      <c r="G44" s="12" t="s">
        <v>12</v>
      </c>
      <c r="H44" s="15" t="s">
        <v>13</v>
      </c>
      <c r="I44" s="18"/>
      <c r="J44" s="18"/>
    </row>
    <row r="45" spans="1:10" x14ac:dyDescent="0.25">
      <c r="A45" s="20" t="s">
        <v>54</v>
      </c>
      <c r="B45" s="20"/>
      <c r="C45" s="11">
        <v>28760</v>
      </c>
      <c r="D45" s="11">
        <v>19</v>
      </c>
      <c r="E45" s="11">
        <v>10810</v>
      </c>
      <c r="F45" s="11">
        <v>0</v>
      </c>
      <c r="G45" s="11">
        <f>SUM(C45:F45)</f>
        <v>39589</v>
      </c>
      <c r="H45" s="17">
        <f>ROUND(G45/600,2)</f>
        <v>65.98</v>
      </c>
      <c r="I45" s="10"/>
      <c r="J45" s="10"/>
    </row>
    <row r="46" spans="1:10" x14ac:dyDescent="0.25">
      <c r="A46" s="20" t="s">
        <v>55</v>
      </c>
      <c r="B46" s="20"/>
      <c r="C46" s="11">
        <v>15730</v>
      </c>
      <c r="D46" s="11">
        <v>0</v>
      </c>
      <c r="E46" s="11">
        <v>3960</v>
      </c>
      <c r="F46" s="11">
        <v>0</v>
      </c>
      <c r="G46" s="11">
        <f>SUM(C46:F46)</f>
        <v>19690</v>
      </c>
      <c r="H46" s="17">
        <f>ROUND(G46/600,2)</f>
        <v>32.82</v>
      </c>
      <c r="I46" s="10"/>
      <c r="J46" s="10"/>
    </row>
    <row r="47" spans="1:10" x14ac:dyDescent="0.25">
      <c r="A47" s="20" t="s">
        <v>56</v>
      </c>
      <c r="B47" s="20"/>
      <c r="C47" s="11">
        <v>0</v>
      </c>
      <c r="D47" s="11">
        <v>0</v>
      </c>
      <c r="E47" s="11">
        <v>0</v>
      </c>
      <c r="F47" s="11">
        <v>0</v>
      </c>
      <c r="G47" s="11">
        <f>SUM(C47:F47)</f>
        <v>0</v>
      </c>
      <c r="H47" s="17">
        <f>ROUND(G47/600,2)</f>
        <v>0</v>
      </c>
      <c r="I47" s="10"/>
      <c r="J47" s="10"/>
    </row>
    <row r="48" spans="1:10" x14ac:dyDescent="0.25">
      <c r="C48" s="9"/>
      <c r="D48" s="9"/>
      <c r="E48" s="9"/>
      <c r="F48" s="9"/>
      <c r="G48" s="9"/>
      <c r="H48" s="9"/>
      <c r="I48" s="10"/>
      <c r="J48" s="10"/>
    </row>
    <row r="49" spans="1:10" x14ac:dyDescent="0.25">
      <c r="C49" s="9"/>
      <c r="D49" s="9"/>
      <c r="E49" s="9"/>
      <c r="F49" s="9"/>
      <c r="G49" s="9"/>
      <c r="H49" s="9"/>
      <c r="I49" s="10"/>
      <c r="J49" s="10"/>
    </row>
    <row r="50" spans="1:10" x14ac:dyDescent="0.25">
      <c r="C50" s="9"/>
      <c r="D50" s="9"/>
      <c r="E50" s="9"/>
      <c r="F50" s="9"/>
      <c r="G50" s="9"/>
      <c r="H50" s="9"/>
      <c r="I50" s="10"/>
      <c r="J50" s="10"/>
    </row>
    <row r="51" spans="1:10" x14ac:dyDescent="0.25">
      <c r="C51" s="9"/>
      <c r="D51" s="9"/>
      <c r="E51" s="9"/>
      <c r="F51" s="9"/>
      <c r="G51" s="9"/>
      <c r="H51" s="9"/>
      <c r="I51" s="10"/>
      <c r="J51" s="10"/>
    </row>
    <row r="52" spans="1:10" x14ac:dyDescent="0.25">
      <c r="A52" s="21" t="s">
        <v>57</v>
      </c>
      <c r="B52" s="21"/>
      <c r="C52" s="15" t="s">
        <v>2</v>
      </c>
      <c r="D52" s="15">
        <v>2023</v>
      </c>
      <c r="E52" s="15" t="s">
        <v>59</v>
      </c>
      <c r="F52" s="14"/>
      <c r="G52" s="15" t="s">
        <v>60</v>
      </c>
      <c r="H52" s="15" t="s">
        <v>2</v>
      </c>
      <c r="I52" s="13" t="s">
        <v>61</v>
      </c>
      <c r="J52" s="13" t="s">
        <v>59</v>
      </c>
    </row>
    <row r="53" spans="1:10" x14ac:dyDescent="0.25">
      <c r="A53" s="20" t="s">
        <v>58</v>
      </c>
      <c r="B53" s="20"/>
      <c r="C53" s="16">
        <f>ROUND(0.7274, 4)</f>
        <v>0.72740000000000005</v>
      </c>
      <c r="D53" s="16">
        <f>ROUND(0.7388, 4)</f>
        <v>0.73880000000000001</v>
      </c>
      <c r="E53" s="16">
        <f>ROUND(0.777, 4)</f>
        <v>0.77700000000000002</v>
      </c>
      <c r="F53" s="9"/>
      <c r="G53" s="15" t="s">
        <v>62</v>
      </c>
      <c r="H53" s="22" t="s">
        <v>63</v>
      </c>
      <c r="I53" s="24" t="s">
        <v>64</v>
      </c>
      <c r="J53" s="24" t="s">
        <v>65</v>
      </c>
    </row>
    <row r="54" spans="1:10" x14ac:dyDescent="0.25">
      <c r="A54" s="20" t="s">
        <v>66</v>
      </c>
      <c r="B54" s="20"/>
      <c r="C54" s="16">
        <f>ROUND(0.7149, 4)</f>
        <v>0.71489999999999998</v>
      </c>
      <c r="D54" s="16">
        <f>ROUND(0.7263, 4)</f>
        <v>0.72629999999999995</v>
      </c>
      <c r="E54" s="16">
        <f>ROUND(0.7608, 4)</f>
        <v>0.76080000000000003</v>
      </c>
      <c r="F54" s="9"/>
      <c r="G54" s="15" t="s">
        <v>67</v>
      </c>
      <c r="H54" s="23"/>
      <c r="I54" s="25"/>
      <c r="J54" s="25"/>
    </row>
    <row r="55" spans="1:10" x14ac:dyDescent="0.25">
      <c r="C55" s="9"/>
      <c r="D55" s="9"/>
      <c r="E55" s="9"/>
      <c r="F55" s="9"/>
      <c r="G55" s="9"/>
      <c r="H55" s="9"/>
      <c r="I55" s="10"/>
      <c r="J55" s="10"/>
    </row>
    <row r="56" spans="1:10" x14ac:dyDescent="0.25">
      <c r="C56" s="9"/>
      <c r="D56" s="9"/>
      <c r="E56" s="9"/>
      <c r="F56" s="9"/>
      <c r="G56" s="9"/>
      <c r="H56" s="9"/>
      <c r="I56" s="10"/>
      <c r="J56" s="10"/>
    </row>
    <row r="57" spans="1:10" x14ac:dyDescent="0.25">
      <c r="C57" s="9"/>
      <c r="D57" s="9"/>
      <c r="E57" s="9"/>
      <c r="F57" s="9"/>
      <c r="G57" s="9"/>
      <c r="H57" s="9"/>
      <c r="I57" s="10"/>
      <c r="J57" s="10"/>
    </row>
    <row r="58" spans="1:10" x14ac:dyDescent="0.25">
      <c r="A58" s="21" t="s">
        <v>68</v>
      </c>
      <c r="B58" s="21"/>
      <c r="C58" s="15" t="s">
        <v>2</v>
      </c>
      <c r="D58" s="15" t="s">
        <v>193</v>
      </c>
      <c r="E58" s="15" t="s">
        <v>70</v>
      </c>
      <c r="F58" s="15" t="s">
        <v>71</v>
      </c>
      <c r="G58" s="15" t="s">
        <v>72</v>
      </c>
      <c r="H58" s="14"/>
      <c r="I58" s="18"/>
      <c r="J58" s="18"/>
    </row>
    <row r="59" spans="1:10" x14ac:dyDescent="0.25">
      <c r="A59" s="20" t="s">
        <v>73</v>
      </c>
      <c r="B59" s="20"/>
      <c r="C59" s="17">
        <v>26.22</v>
      </c>
      <c r="D59" s="17">
        <v>80.69</v>
      </c>
      <c r="E59" s="17">
        <v>81.84</v>
      </c>
      <c r="F59" s="17">
        <v>48</v>
      </c>
      <c r="G59" s="17">
        <f>12/4*C59</f>
        <v>78.66</v>
      </c>
      <c r="H59" s="9"/>
      <c r="I59" s="10"/>
      <c r="J59" s="10"/>
    </row>
    <row r="60" spans="1:10" x14ac:dyDescent="0.25">
      <c r="A60" s="20" t="s">
        <v>74</v>
      </c>
      <c r="B60" s="20"/>
      <c r="C60" s="17">
        <v>12</v>
      </c>
      <c r="D60" s="17">
        <v>37.229999999999997</v>
      </c>
      <c r="E60" s="17">
        <v>55.63</v>
      </c>
      <c r="F60" s="17">
        <v>55.33</v>
      </c>
      <c r="G60" s="17">
        <f>12/4*C60</f>
        <v>36</v>
      </c>
      <c r="H60" s="9"/>
      <c r="I60" s="10"/>
      <c r="J60" s="10"/>
    </row>
    <row r="61" spans="1:10" x14ac:dyDescent="0.25">
      <c r="A61" s="20" t="s">
        <v>75</v>
      </c>
      <c r="B61" s="20"/>
      <c r="C61" s="17">
        <v>65.98</v>
      </c>
      <c r="D61" s="17">
        <v>223.41</v>
      </c>
      <c r="E61" s="17">
        <v>257.88</v>
      </c>
      <c r="F61" s="17">
        <v>242.78</v>
      </c>
      <c r="G61" s="17">
        <f>12/4*C61</f>
        <v>197.94</v>
      </c>
      <c r="H61" s="9"/>
      <c r="I61" s="10"/>
      <c r="J61" s="10"/>
    </row>
    <row r="62" spans="1:10" x14ac:dyDescent="0.25">
      <c r="A62" s="20" t="s">
        <v>76</v>
      </c>
      <c r="B62" s="20"/>
      <c r="C62" s="17">
        <v>32.82</v>
      </c>
      <c r="D62" s="17">
        <v>97.4</v>
      </c>
      <c r="E62" s="17">
        <v>103.14</v>
      </c>
      <c r="F62" s="17">
        <v>68.31</v>
      </c>
      <c r="G62" s="17">
        <f>12/4*C62</f>
        <v>98.460000000000008</v>
      </c>
      <c r="H62" s="9"/>
      <c r="I62" s="10"/>
      <c r="J62" s="10"/>
    </row>
    <row r="63" spans="1:10" x14ac:dyDescent="0.25">
      <c r="C63" s="9"/>
      <c r="D63" s="9"/>
      <c r="E63" s="9"/>
      <c r="F63" s="9"/>
      <c r="G63" s="9"/>
      <c r="H63" s="9"/>
      <c r="I63" s="10"/>
      <c r="J63" s="10"/>
    </row>
    <row r="64" spans="1:10" x14ac:dyDescent="0.25">
      <c r="C64" s="9"/>
      <c r="D64" s="9"/>
      <c r="E64" s="9"/>
      <c r="F64" s="9"/>
      <c r="G64" s="9"/>
      <c r="H64" s="9"/>
      <c r="I64" s="10"/>
      <c r="J64" s="10"/>
    </row>
    <row r="65" spans="1:10" x14ac:dyDescent="0.25">
      <c r="A65" s="19" t="s">
        <v>60</v>
      </c>
      <c r="B65" s="26"/>
      <c r="C65" s="9"/>
      <c r="D65" s="9"/>
      <c r="E65" s="9"/>
      <c r="F65" s="9"/>
      <c r="G65" s="9"/>
      <c r="H65" s="9"/>
      <c r="I65" s="10"/>
      <c r="J65" s="10"/>
    </row>
    <row r="66" spans="1:10" x14ac:dyDescent="0.25">
      <c r="A66" s="3" t="s">
        <v>77</v>
      </c>
      <c r="B66" s="1" t="s">
        <v>194</v>
      </c>
      <c r="C66" s="9"/>
      <c r="D66" s="9"/>
      <c r="E66" s="9"/>
      <c r="F66" s="9"/>
      <c r="G66" s="9"/>
      <c r="H66" s="9"/>
      <c r="I66" s="10"/>
      <c r="J66" s="10"/>
    </row>
    <row r="67" spans="1:10" x14ac:dyDescent="0.25">
      <c r="A67" s="3" t="s">
        <v>70</v>
      </c>
      <c r="B67" s="1" t="s">
        <v>79</v>
      </c>
      <c r="C67" s="9"/>
      <c r="D67" s="9"/>
      <c r="E67" s="9"/>
      <c r="F67" s="9"/>
      <c r="G67" s="9"/>
      <c r="H67" s="9"/>
      <c r="I67" s="10"/>
      <c r="J67" s="10"/>
    </row>
    <row r="68" spans="1:10" x14ac:dyDescent="0.25">
      <c r="A68" s="3" t="s">
        <v>71</v>
      </c>
      <c r="B68" s="1" t="s">
        <v>80</v>
      </c>
      <c r="C68" s="9"/>
      <c r="D68" s="9"/>
      <c r="E68" s="9"/>
      <c r="F68" s="9"/>
      <c r="G68" s="9"/>
      <c r="H68" s="9"/>
      <c r="I68" s="10"/>
      <c r="J68" s="10"/>
    </row>
    <row r="69" spans="1:10" x14ac:dyDescent="0.25">
      <c r="A69" s="3" t="s">
        <v>72</v>
      </c>
      <c r="B69" s="1" t="s">
        <v>81</v>
      </c>
      <c r="C69" s="9"/>
      <c r="D69" s="9"/>
      <c r="E69" s="9"/>
      <c r="F69" s="9"/>
      <c r="G69" s="9"/>
      <c r="H69" s="9"/>
      <c r="I69" s="10"/>
      <c r="J69" s="10"/>
    </row>
    <row r="70" spans="1:10" x14ac:dyDescent="0.25">
      <c r="C70" s="9"/>
      <c r="D70" s="9"/>
      <c r="E70" s="9"/>
      <c r="F70" s="9"/>
      <c r="G70" s="9"/>
      <c r="H70" s="9"/>
      <c r="I70" s="10"/>
      <c r="J70" s="10"/>
    </row>
    <row r="71" spans="1:10" x14ac:dyDescent="0.25">
      <c r="C71" s="9"/>
      <c r="D71" s="9"/>
      <c r="E71" s="9"/>
      <c r="F71" s="9"/>
      <c r="G71" s="9"/>
      <c r="H71" s="9"/>
      <c r="I71" s="10"/>
      <c r="J71" s="10"/>
    </row>
    <row r="72" spans="1:10" x14ac:dyDescent="0.25">
      <c r="C72" s="9"/>
      <c r="D72" s="9"/>
      <c r="E72" s="9"/>
      <c r="F72" s="9"/>
      <c r="G72" s="9"/>
      <c r="H72" s="9"/>
      <c r="I72" s="10"/>
      <c r="J72" s="10"/>
    </row>
  </sheetData>
  <mergeCells count="19">
    <mergeCell ref="A60:B60"/>
    <mergeCell ref="A61:B61"/>
    <mergeCell ref="A62:B62"/>
    <mergeCell ref="A65:B65"/>
    <mergeCell ref="I53:I54"/>
    <mergeCell ref="J53:J54"/>
    <mergeCell ref="A54:B54"/>
    <mergeCell ref="A58:B58"/>
    <mergeCell ref="A59:B59"/>
    <mergeCell ref="A46:B46"/>
    <mergeCell ref="A47:B47"/>
    <mergeCell ref="A52:B52"/>
    <mergeCell ref="A53:B53"/>
    <mergeCell ref="H53:H54"/>
    <mergeCell ref="C7:G7"/>
    <mergeCell ref="A38:B38"/>
    <mergeCell ref="A39:B39"/>
    <mergeCell ref="A44:B44"/>
    <mergeCell ref="A45:B45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2:J76"/>
  <sheetViews>
    <sheetView workbookViewId="0">
      <selection activeCell="C9" sqref="C9:J76"/>
    </sheetView>
  </sheetViews>
  <sheetFormatPr defaultRowHeight="15" x14ac:dyDescent="0.25"/>
  <cols>
    <col min="1" max="1" width="38.85546875" bestFit="1" customWidth="1"/>
    <col min="2" max="2" width="151" bestFit="1" customWidth="1"/>
    <col min="3" max="3" width="14" bestFit="1" customWidth="1"/>
    <col min="4" max="4" width="36.42578125" bestFit="1" customWidth="1"/>
    <col min="5" max="5" width="16.42578125" bestFit="1" customWidth="1"/>
    <col min="6" max="6" width="10.5703125" bestFit="1" customWidth="1"/>
    <col min="7" max="7" width="68.28515625" bestFit="1" customWidth="1"/>
    <col min="8" max="9" width="20" bestFit="1" customWidth="1"/>
    <col min="10" max="10" width="30.5703125" bestFit="1" customWidth="1"/>
  </cols>
  <sheetData>
    <row r="2" spans="1:10" ht="18.75" x14ac:dyDescent="0.3">
      <c r="A2" s="3" t="s">
        <v>0</v>
      </c>
      <c r="B2" s="4" t="s">
        <v>195</v>
      </c>
    </row>
    <row r="3" spans="1:10" x14ac:dyDescent="0.25">
      <c r="A3" s="3" t="s">
        <v>2</v>
      </c>
      <c r="B3" s="1" t="s">
        <v>3</v>
      </c>
    </row>
    <row r="4" spans="1:10" x14ac:dyDescent="0.25">
      <c r="A4" s="3" t="s">
        <v>4</v>
      </c>
      <c r="B4" s="1">
        <v>2253</v>
      </c>
    </row>
    <row r="7" spans="1:10" x14ac:dyDescent="0.25">
      <c r="C7" s="19" t="s">
        <v>5</v>
      </c>
      <c r="D7" s="20"/>
      <c r="E7" s="20"/>
      <c r="F7" s="20"/>
      <c r="G7" s="20"/>
    </row>
    <row r="8" spans="1:10" x14ac:dyDescent="0.25">
      <c r="A8" s="3" t="s">
        <v>6</v>
      </c>
      <c r="B8" s="3" t="s">
        <v>7</v>
      </c>
      <c r="C8" s="3" t="s">
        <v>8</v>
      </c>
      <c r="D8" s="3" t="s">
        <v>9</v>
      </c>
      <c r="E8" s="3" t="s">
        <v>10</v>
      </c>
      <c r="F8" s="3" t="s">
        <v>11</v>
      </c>
      <c r="G8" s="3" t="s">
        <v>12</v>
      </c>
      <c r="H8" s="3" t="s">
        <v>13</v>
      </c>
      <c r="I8" s="3" t="s">
        <v>14</v>
      </c>
      <c r="J8" s="3" t="s">
        <v>15</v>
      </c>
    </row>
    <row r="9" spans="1:10" x14ac:dyDescent="0.25">
      <c r="A9" s="1" t="s">
        <v>16</v>
      </c>
      <c r="B9" s="1" t="s">
        <v>17</v>
      </c>
      <c r="C9" s="11"/>
      <c r="D9" s="11"/>
      <c r="E9" s="11">
        <v>19</v>
      </c>
      <c r="F9" s="11"/>
      <c r="G9" s="11">
        <f t="shared" ref="G9:G40" si="0">SUM(C9:F9)</f>
        <v>19</v>
      </c>
      <c r="H9" s="17">
        <f t="shared" ref="H9:H40" si="1">ROUND(G9/2253,2)</f>
        <v>0.01</v>
      </c>
      <c r="I9" s="16">
        <f t="shared" ref="I9:I40" si="2">ROUND(G9/$G$41,3)</f>
        <v>0</v>
      </c>
      <c r="J9" s="16"/>
    </row>
    <row r="10" spans="1:10" x14ac:dyDescent="0.25">
      <c r="A10" s="1" t="s">
        <v>16</v>
      </c>
      <c r="B10" s="1" t="s">
        <v>19</v>
      </c>
      <c r="C10" s="11">
        <v>19610</v>
      </c>
      <c r="D10" s="11"/>
      <c r="E10" s="11">
        <v>560</v>
      </c>
      <c r="F10" s="11"/>
      <c r="G10" s="11">
        <f t="shared" si="0"/>
        <v>20170</v>
      </c>
      <c r="H10" s="17">
        <f t="shared" si="1"/>
        <v>8.9499999999999993</v>
      </c>
      <c r="I10" s="16">
        <f t="shared" si="2"/>
        <v>5.8999999999999997E-2</v>
      </c>
      <c r="J10" s="16">
        <f>ROUND(G10/19875-1,2)</f>
        <v>0.01</v>
      </c>
    </row>
    <row r="11" spans="1:10" x14ac:dyDescent="0.25">
      <c r="A11" s="1" t="s">
        <v>16</v>
      </c>
      <c r="B11" s="1" t="s">
        <v>20</v>
      </c>
      <c r="C11" s="11">
        <v>30000</v>
      </c>
      <c r="D11" s="11"/>
      <c r="E11" s="11"/>
      <c r="F11" s="11"/>
      <c r="G11" s="11">
        <f t="shared" si="0"/>
        <v>30000</v>
      </c>
      <c r="H11" s="17">
        <f t="shared" si="1"/>
        <v>13.32</v>
      </c>
      <c r="I11" s="16">
        <f t="shared" si="2"/>
        <v>8.7999999999999995E-2</v>
      </c>
      <c r="J11" s="16">
        <f>ROUND(G11/30780-1,2)</f>
        <v>-0.03</v>
      </c>
    </row>
    <row r="12" spans="1:10" x14ac:dyDescent="0.25">
      <c r="A12" s="1" t="s">
        <v>16</v>
      </c>
      <c r="B12" s="1" t="s">
        <v>94</v>
      </c>
      <c r="C12" s="11"/>
      <c r="D12" s="11"/>
      <c r="E12" s="11">
        <v>127</v>
      </c>
      <c r="F12" s="11"/>
      <c r="G12" s="11">
        <f t="shared" si="0"/>
        <v>127</v>
      </c>
      <c r="H12" s="17">
        <f t="shared" si="1"/>
        <v>0.06</v>
      </c>
      <c r="I12" s="16">
        <f t="shared" si="2"/>
        <v>0</v>
      </c>
      <c r="J12" s="16">
        <f>ROUND(G12/80-1,2)</f>
        <v>0.59</v>
      </c>
    </row>
    <row r="13" spans="1:10" x14ac:dyDescent="0.25">
      <c r="A13" s="1" t="s">
        <v>16</v>
      </c>
      <c r="B13" s="1" t="s">
        <v>24</v>
      </c>
      <c r="C13" s="11">
        <v>30240</v>
      </c>
      <c r="D13" s="11"/>
      <c r="E13" s="11">
        <v>7590</v>
      </c>
      <c r="F13" s="11"/>
      <c r="G13" s="11">
        <f t="shared" si="0"/>
        <v>37830</v>
      </c>
      <c r="H13" s="17">
        <f t="shared" si="1"/>
        <v>16.79</v>
      </c>
      <c r="I13" s="16">
        <f t="shared" si="2"/>
        <v>0.111</v>
      </c>
      <c r="J13" s="16">
        <f>ROUND(G13/35135-1,2)</f>
        <v>0.08</v>
      </c>
    </row>
    <row r="14" spans="1:10" x14ac:dyDescent="0.25">
      <c r="A14" s="1" t="s">
        <v>16</v>
      </c>
      <c r="B14" s="1" t="s">
        <v>25</v>
      </c>
      <c r="C14" s="11"/>
      <c r="D14" s="11"/>
      <c r="E14" s="11">
        <v>1730</v>
      </c>
      <c r="F14" s="11"/>
      <c r="G14" s="11">
        <f t="shared" si="0"/>
        <v>1730</v>
      </c>
      <c r="H14" s="17">
        <f t="shared" si="1"/>
        <v>0.77</v>
      </c>
      <c r="I14" s="16">
        <f t="shared" si="2"/>
        <v>5.0000000000000001E-3</v>
      </c>
      <c r="J14" s="16">
        <f>ROUND(G14/1320-1,2)</f>
        <v>0.31</v>
      </c>
    </row>
    <row r="15" spans="1:10" x14ac:dyDescent="0.25">
      <c r="A15" s="1" t="s">
        <v>16</v>
      </c>
      <c r="B15" s="1" t="s">
        <v>26</v>
      </c>
      <c r="C15" s="11"/>
      <c r="D15" s="11">
        <v>8940</v>
      </c>
      <c r="E15" s="11"/>
      <c r="F15" s="11"/>
      <c r="G15" s="11">
        <f t="shared" si="0"/>
        <v>8940</v>
      </c>
      <c r="H15" s="17">
        <f t="shared" si="1"/>
        <v>3.97</v>
      </c>
      <c r="I15" s="16">
        <f t="shared" si="2"/>
        <v>2.5999999999999999E-2</v>
      </c>
      <c r="J15" s="16">
        <f>ROUND(G15/7560-1,2)</f>
        <v>0.18</v>
      </c>
    </row>
    <row r="16" spans="1:10" x14ac:dyDescent="0.25">
      <c r="A16" s="1" t="s">
        <v>16</v>
      </c>
      <c r="B16" s="1" t="s">
        <v>27</v>
      </c>
      <c r="C16" s="11"/>
      <c r="D16" s="11"/>
      <c r="E16" s="11">
        <v>210</v>
      </c>
      <c r="F16" s="11"/>
      <c r="G16" s="11">
        <f t="shared" si="0"/>
        <v>210</v>
      </c>
      <c r="H16" s="17">
        <f t="shared" si="1"/>
        <v>0.09</v>
      </c>
      <c r="I16" s="16">
        <f t="shared" si="2"/>
        <v>1E-3</v>
      </c>
      <c r="J16" s="16">
        <f>ROUND(G16/37-1,2)</f>
        <v>4.68</v>
      </c>
    </row>
    <row r="17" spans="1:10" x14ac:dyDescent="0.25">
      <c r="A17" s="1" t="s">
        <v>16</v>
      </c>
      <c r="B17" s="1" t="s">
        <v>28</v>
      </c>
      <c r="C17" s="11"/>
      <c r="D17" s="11"/>
      <c r="E17" s="11">
        <v>55</v>
      </c>
      <c r="F17" s="11"/>
      <c r="G17" s="11">
        <f t="shared" si="0"/>
        <v>55</v>
      </c>
      <c r="H17" s="17">
        <f t="shared" si="1"/>
        <v>0.02</v>
      </c>
      <c r="I17" s="16">
        <f t="shared" si="2"/>
        <v>0</v>
      </c>
      <c r="J17" s="16">
        <f>ROUND(G17/111-1,2)</f>
        <v>-0.5</v>
      </c>
    </row>
    <row r="18" spans="1:10" x14ac:dyDescent="0.25">
      <c r="A18" s="1" t="s">
        <v>16</v>
      </c>
      <c r="B18" s="1" t="s">
        <v>29</v>
      </c>
      <c r="C18" s="11"/>
      <c r="D18" s="11"/>
      <c r="E18" s="11">
        <v>150</v>
      </c>
      <c r="F18" s="11"/>
      <c r="G18" s="11">
        <f t="shared" si="0"/>
        <v>150</v>
      </c>
      <c r="H18" s="17">
        <f t="shared" si="1"/>
        <v>7.0000000000000007E-2</v>
      </c>
      <c r="I18" s="16">
        <f t="shared" si="2"/>
        <v>0</v>
      </c>
      <c r="J18" s="16">
        <f>ROUND(G18/250-1,2)</f>
        <v>-0.4</v>
      </c>
    </row>
    <row r="19" spans="1:10" x14ac:dyDescent="0.25">
      <c r="A19" s="1" t="s">
        <v>16</v>
      </c>
      <c r="B19" s="1" t="s">
        <v>30</v>
      </c>
      <c r="C19" s="11"/>
      <c r="D19" s="11"/>
      <c r="E19" s="11">
        <v>200</v>
      </c>
      <c r="F19" s="11"/>
      <c r="G19" s="11">
        <f t="shared" si="0"/>
        <v>200</v>
      </c>
      <c r="H19" s="17">
        <f t="shared" si="1"/>
        <v>0.09</v>
      </c>
      <c r="I19" s="16">
        <f t="shared" si="2"/>
        <v>1E-3</v>
      </c>
      <c r="J19" s="16">
        <f>ROUND(G19/230-1,2)</f>
        <v>-0.13</v>
      </c>
    </row>
    <row r="20" spans="1:10" x14ac:dyDescent="0.25">
      <c r="A20" s="1" t="s">
        <v>16</v>
      </c>
      <c r="B20" s="1" t="s">
        <v>31</v>
      </c>
      <c r="C20" s="11"/>
      <c r="D20" s="11"/>
      <c r="E20" s="11">
        <v>385</v>
      </c>
      <c r="F20" s="11"/>
      <c r="G20" s="11">
        <f t="shared" si="0"/>
        <v>385</v>
      </c>
      <c r="H20" s="17">
        <f t="shared" si="1"/>
        <v>0.17</v>
      </c>
      <c r="I20" s="16">
        <f t="shared" si="2"/>
        <v>1E-3</v>
      </c>
      <c r="J20" s="16">
        <f>ROUND(G20/555-1,2)</f>
        <v>-0.31</v>
      </c>
    </row>
    <row r="21" spans="1:10" x14ac:dyDescent="0.25">
      <c r="A21" s="1" t="s">
        <v>16</v>
      </c>
      <c r="B21" s="1" t="s">
        <v>32</v>
      </c>
      <c r="C21" s="11"/>
      <c r="D21" s="11">
        <v>101</v>
      </c>
      <c r="E21" s="11"/>
      <c r="F21" s="11"/>
      <c r="G21" s="11">
        <f t="shared" si="0"/>
        <v>101</v>
      </c>
      <c r="H21" s="17">
        <f t="shared" si="1"/>
        <v>0.04</v>
      </c>
      <c r="I21" s="16">
        <f t="shared" si="2"/>
        <v>0</v>
      </c>
      <c r="J21" s="16">
        <f>ROUND(G21/72-1,2)</f>
        <v>0.4</v>
      </c>
    </row>
    <row r="22" spans="1:10" x14ac:dyDescent="0.25">
      <c r="A22" s="1" t="s">
        <v>16</v>
      </c>
      <c r="B22" s="1" t="s">
        <v>33</v>
      </c>
      <c r="C22" s="11"/>
      <c r="D22" s="11"/>
      <c r="E22" s="11">
        <v>730</v>
      </c>
      <c r="F22" s="11"/>
      <c r="G22" s="11">
        <f t="shared" si="0"/>
        <v>730</v>
      </c>
      <c r="H22" s="17">
        <f t="shared" si="1"/>
        <v>0.32</v>
      </c>
      <c r="I22" s="16">
        <f t="shared" si="2"/>
        <v>2E-3</v>
      </c>
      <c r="J22" s="16"/>
    </row>
    <row r="23" spans="1:10" x14ac:dyDescent="0.25">
      <c r="A23" s="1" t="s">
        <v>16</v>
      </c>
      <c r="B23" s="1" t="s">
        <v>35</v>
      </c>
      <c r="C23" s="11"/>
      <c r="D23" s="11"/>
      <c r="E23" s="11">
        <v>16760</v>
      </c>
      <c r="F23" s="11"/>
      <c r="G23" s="11">
        <f t="shared" si="0"/>
        <v>16760</v>
      </c>
      <c r="H23" s="17">
        <f t="shared" si="1"/>
        <v>7.44</v>
      </c>
      <c r="I23" s="16">
        <f t="shared" si="2"/>
        <v>4.9000000000000002E-2</v>
      </c>
      <c r="J23" s="16">
        <f>ROUND(G23/14770-1,2)</f>
        <v>0.13</v>
      </c>
    </row>
    <row r="24" spans="1:10" x14ac:dyDescent="0.25">
      <c r="A24" s="1" t="s">
        <v>16</v>
      </c>
      <c r="B24" s="1" t="s">
        <v>36</v>
      </c>
      <c r="C24" s="11"/>
      <c r="D24" s="11"/>
      <c r="E24" s="11">
        <v>2190</v>
      </c>
      <c r="F24" s="11"/>
      <c r="G24" s="11">
        <f t="shared" si="0"/>
        <v>2190</v>
      </c>
      <c r="H24" s="17">
        <f t="shared" si="1"/>
        <v>0.97</v>
      </c>
      <c r="I24" s="16">
        <f t="shared" si="2"/>
        <v>6.0000000000000001E-3</v>
      </c>
      <c r="J24" s="16">
        <f>ROUND(G24/1500-1,2)</f>
        <v>0.46</v>
      </c>
    </row>
    <row r="25" spans="1:10" x14ac:dyDescent="0.25">
      <c r="A25" s="1" t="s">
        <v>16</v>
      </c>
      <c r="B25" s="1" t="s">
        <v>37</v>
      </c>
      <c r="C25" s="11"/>
      <c r="D25" s="11"/>
      <c r="E25" s="11">
        <v>7120</v>
      </c>
      <c r="F25" s="11"/>
      <c r="G25" s="11">
        <f t="shared" si="0"/>
        <v>7120</v>
      </c>
      <c r="H25" s="17">
        <f t="shared" si="1"/>
        <v>3.16</v>
      </c>
      <c r="I25" s="16">
        <f t="shared" si="2"/>
        <v>2.1000000000000001E-2</v>
      </c>
      <c r="J25" s="16">
        <f>ROUND(G25/4530-1,2)</f>
        <v>0.56999999999999995</v>
      </c>
    </row>
    <row r="26" spans="1:10" x14ac:dyDescent="0.25">
      <c r="A26" s="1" t="s">
        <v>16</v>
      </c>
      <c r="B26" s="1" t="s">
        <v>38</v>
      </c>
      <c r="C26" s="11"/>
      <c r="D26" s="11"/>
      <c r="E26" s="11">
        <v>59310</v>
      </c>
      <c r="F26" s="11"/>
      <c r="G26" s="11">
        <f t="shared" si="0"/>
        <v>59310</v>
      </c>
      <c r="H26" s="17">
        <f t="shared" si="1"/>
        <v>26.32</v>
      </c>
      <c r="I26" s="16">
        <f t="shared" si="2"/>
        <v>0.17399999999999999</v>
      </c>
      <c r="J26" s="16">
        <f>ROUND(G26/47440-1,2)</f>
        <v>0.25</v>
      </c>
    </row>
    <row r="27" spans="1:10" x14ac:dyDescent="0.25">
      <c r="A27" s="1" t="s">
        <v>16</v>
      </c>
      <c r="B27" s="1" t="s">
        <v>21</v>
      </c>
      <c r="C27" s="11"/>
      <c r="D27" s="11"/>
      <c r="E27" s="11"/>
      <c r="F27" s="11"/>
      <c r="G27" s="11">
        <f t="shared" si="0"/>
        <v>0</v>
      </c>
      <c r="H27" s="17">
        <f t="shared" si="1"/>
        <v>0</v>
      </c>
      <c r="I27" s="16">
        <f t="shared" si="2"/>
        <v>0</v>
      </c>
      <c r="J27" s="16"/>
    </row>
    <row r="28" spans="1:10" x14ac:dyDescent="0.25">
      <c r="A28" s="1" t="s">
        <v>16</v>
      </c>
      <c r="B28" s="1" t="s">
        <v>22</v>
      </c>
      <c r="C28" s="11"/>
      <c r="D28" s="11"/>
      <c r="E28" s="11"/>
      <c r="F28" s="11"/>
      <c r="G28" s="11">
        <f t="shared" si="0"/>
        <v>0</v>
      </c>
      <c r="H28" s="17">
        <f t="shared" si="1"/>
        <v>0</v>
      </c>
      <c r="I28" s="16">
        <f t="shared" si="2"/>
        <v>0</v>
      </c>
      <c r="J28" s="16">
        <f>ROUND(G28/2100-1,2)</f>
        <v>-1</v>
      </c>
    </row>
    <row r="29" spans="1:10" x14ac:dyDescent="0.25">
      <c r="A29" s="1" t="s">
        <v>16</v>
      </c>
      <c r="B29" s="1" t="s">
        <v>23</v>
      </c>
      <c r="C29" s="11"/>
      <c r="D29" s="11"/>
      <c r="E29" s="11"/>
      <c r="F29" s="11"/>
      <c r="G29" s="11">
        <f t="shared" si="0"/>
        <v>0</v>
      </c>
      <c r="H29" s="17">
        <f t="shared" si="1"/>
        <v>0</v>
      </c>
      <c r="I29" s="16">
        <f t="shared" si="2"/>
        <v>0</v>
      </c>
      <c r="J29" s="16">
        <f>ROUND(G29/8660-1,2)</f>
        <v>-1</v>
      </c>
    </row>
    <row r="30" spans="1:10" x14ac:dyDescent="0.25">
      <c r="A30" s="1" t="s">
        <v>16</v>
      </c>
      <c r="B30" s="1" t="s">
        <v>40</v>
      </c>
      <c r="C30" s="11"/>
      <c r="D30" s="11"/>
      <c r="E30" s="11"/>
      <c r="F30" s="11"/>
      <c r="G30" s="11">
        <f t="shared" si="0"/>
        <v>0</v>
      </c>
      <c r="H30" s="17">
        <f t="shared" si="1"/>
        <v>0</v>
      </c>
      <c r="I30" s="16">
        <f t="shared" si="2"/>
        <v>0</v>
      </c>
      <c r="J30" s="16">
        <f>ROUND(G30/800-1,2)</f>
        <v>-1</v>
      </c>
    </row>
    <row r="31" spans="1:10" x14ac:dyDescent="0.25">
      <c r="A31" s="1" t="s">
        <v>16</v>
      </c>
      <c r="B31" s="1" t="s">
        <v>34</v>
      </c>
      <c r="C31" s="11"/>
      <c r="D31" s="11"/>
      <c r="E31" s="11"/>
      <c r="F31" s="11"/>
      <c r="G31" s="11">
        <f t="shared" si="0"/>
        <v>0</v>
      </c>
      <c r="H31" s="17">
        <f t="shared" si="1"/>
        <v>0</v>
      </c>
      <c r="I31" s="16">
        <f t="shared" si="2"/>
        <v>0</v>
      </c>
      <c r="J31" s="16"/>
    </row>
    <row r="32" spans="1:10" x14ac:dyDescent="0.25">
      <c r="A32" s="1" t="s">
        <v>16</v>
      </c>
      <c r="B32" s="1" t="s">
        <v>41</v>
      </c>
      <c r="C32" s="11"/>
      <c r="D32" s="11"/>
      <c r="E32" s="11"/>
      <c r="F32" s="11"/>
      <c r="G32" s="11">
        <f t="shared" si="0"/>
        <v>0</v>
      </c>
      <c r="H32" s="17">
        <f t="shared" si="1"/>
        <v>0</v>
      </c>
      <c r="I32" s="16">
        <f t="shared" si="2"/>
        <v>0</v>
      </c>
      <c r="J32" s="16">
        <f>ROUND(G32/1380-1,2)</f>
        <v>-1</v>
      </c>
    </row>
    <row r="33" spans="1:10" x14ac:dyDescent="0.25">
      <c r="A33" s="1" t="s">
        <v>16</v>
      </c>
      <c r="B33" s="1" t="s">
        <v>42</v>
      </c>
      <c r="C33" s="11"/>
      <c r="D33" s="11"/>
      <c r="E33" s="11"/>
      <c r="F33" s="11"/>
      <c r="G33" s="11">
        <f t="shared" si="0"/>
        <v>0</v>
      </c>
      <c r="H33" s="17">
        <f t="shared" si="1"/>
        <v>0</v>
      </c>
      <c r="I33" s="16">
        <f t="shared" si="2"/>
        <v>0</v>
      </c>
      <c r="J33" s="16">
        <f>ROUND(G33/500-1,2)</f>
        <v>-1</v>
      </c>
    </row>
    <row r="34" spans="1:10" x14ac:dyDescent="0.25">
      <c r="A34" s="1" t="s">
        <v>16</v>
      </c>
      <c r="B34" s="1" t="s">
        <v>43</v>
      </c>
      <c r="C34" s="11"/>
      <c r="D34" s="11"/>
      <c r="E34" s="11"/>
      <c r="F34" s="11"/>
      <c r="G34" s="11">
        <f t="shared" si="0"/>
        <v>0</v>
      </c>
      <c r="H34" s="17">
        <f t="shared" si="1"/>
        <v>0</v>
      </c>
      <c r="I34" s="16">
        <f t="shared" si="2"/>
        <v>0</v>
      </c>
      <c r="J34" s="16">
        <f>ROUND(G34/4090-1,2)</f>
        <v>-1</v>
      </c>
    </row>
    <row r="35" spans="1:10" x14ac:dyDescent="0.25">
      <c r="A35" s="1" t="s">
        <v>16</v>
      </c>
      <c r="B35" s="1" t="s">
        <v>39</v>
      </c>
      <c r="C35" s="11"/>
      <c r="D35" s="11"/>
      <c r="E35" s="11"/>
      <c r="F35" s="11"/>
      <c r="G35" s="11">
        <f t="shared" si="0"/>
        <v>0</v>
      </c>
      <c r="H35" s="17">
        <f t="shared" si="1"/>
        <v>0</v>
      </c>
      <c r="I35" s="16">
        <f t="shared" si="2"/>
        <v>0</v>
      </c>
      <c r="J35" s="16"/>
    </row>
    <row r="36" spans="1:10" x14ac:dyDescent="0.25">
      <c r="A36" s="1" t="s">
        <v>16</v>
      </c>
      <c r="B36" s="1" t="s">
        <v>196</v>
      </c>
      <c r="C36" s="11"/>
      <c r="D36" s="11"/>
      <c r="E36" s="11"/>
      <c r="F36" s="11"/>
      <c r="G36" s="11">
        <f t="shared" si="0"/>
        <v>0</v>
      </c>
      <c r="H36" s="17">
        <f t="shared" si="1"/>
        <v>0</v>
      </c>
      <c r="I36" s="16">
        <f t="shared" si="2"/>
        <v>0</v>
      </c>
      <c r="J36" s="16"/>
    </row>
    <row r="37" spans="1:10" x14ac:dyDescent="0.25">
      <c r="A37" s="1" t="s">
        <v>44</v>
      </c>
      <c r="B37" s="1" t="s">
        <v>45</v>
      </c>
      <c r="C37" s="11"/>
      <c r="D37" s="11">
        <v>137875</v>
      </c>
      <c r="E37" s="11"/>
      <c r="F37" s="11"/>
      <c r="G37" s="11">
        <f t="shared" si="0"/>
        <v>137875</v>
      </c>
      <c r="H37" s="17">
        <f t="shared" si="1"/>
        <v>61.2</v>
      </c>
      <c r="I37" s="16">
        <f t="shared" si="2"/>
        <v>0.40500000000000003</v>
      </c>
      <c r="J37" s="16">
        <f>ROUND(G37/120105-1,2)</f>
        <v>0.15</v>
      </c>
    </row>
    <row r="38" spans="1:10" x14ac:dyDescent="0.25">
      <c r="A38" s="1" t="s">
        <v>44</v>
      </c>
      <c r="B38" s="1" t="s">
        <v>46</v>
      </c>
      <c r="C38" s="11"/>
      <c r="D38" s="11"/>
      <c r="E38" s="11">
        <v>16440</v>
      </c>
      <c r="F38" s="11"/>
      <c r="G38" s="11">
        <f t="shared" si="0"/>
        <v>16440</v>
      </c>
      <c r="H38" s="17">
        <f t="shared" si="1"/>
        <v>7.3</v>
      </c>
      <c r="I38" s="16">
        <f t="shared" si="2"/>
        <v>4.8000000000000001E-2</v>
      </c>
      <c r="J38" s="16">
        <f>ROUND(G38/12240-1,2)</f>
        <v>0.34</v>
      </c>
    </row>
    <row r="39" spans="1:10" x14ac:dyDescent="0.25">
      <c r="A39" s="1" t="s">
        <v>44</v>
      </c>
      <c r="B39" s="1" t="s">
        <v>47</v>
      </c>
      <c r="C39" s="11"/>
      <c r="D39" s="11"/>
      <c r="E39" s="11"/>
      <c r="F39" s="11"/>
      <c r="G39" s="11">
        <f t="shared" si="0"/>
        <v>0</v>
      </c>
      <c r="H39" s="17">
        <f t="shared" si="1"/>
        <v>0</v>
      </c>
      <c r="I39" s="16">
        <f t="shared" si="2"/>
        <v>0</v>
      </c>
      <c r="J39" s="16">
        <f>ROUND(G39/7710-1,2)</f>
        <v>-1</v>
      </c>
    </row>
    <row r="40" spans="1:10" x14ac:dyDescent="0.25">
      <c r="A40" s="1" t="s">
        <v>48</v>
      </c>
      <c r="B40" s="1" t="s">
        <v>51</v>
      </c>
      <c r="C40" s="11"/>
      <c r="D40" s="11"/>
      <c r="E40" s="11"/>
      <c r="F40" s="11"/>
      <c r="G40" s="11">
        <f t="shared" si="0"/>
        <v>0</v>
      </c>
      <c r="H40" s="17">
        <f t="shared" si="1"/>
        <v>0</v>
      </c>
      <c r="I40" s="16">
        <f t="shared" si="2"/>
        <v>0</v>
      </c>
      <c r="J40" s="16"/>
    </row>
    <row r="41" spans="1:10" x14ac:dyDescent="0.25">
      <c r="A41" s="21" t="s">
        <v>12</v>
      </c>
      <c r="B41" s="21"/>
      <c r="C41" s="12">
        <f t="shared" ref="C41:H41" si="3">SUM(C8:C40)</f>
        <v>79850</v>
      </c>
      <c r="D41" s="12">
        <f t="shared" si="3"/>
        <v>146916</v>
      </c>
      <c r="E41" s="12">
        <f t="shared" si="3"/>
        <v>113576</v>
      </c>
      <c r="F41" s="12">
        <f t="shared" si="3"/>
        <v>0</v>
      </c>
      <c r="G41" s="12">
        <f t="shared" si="3"/>
        <v>340342</v>
      </c>
      <c r="H41" s="15">
        <f t="shared" si="3"/>
        <v>151.06</v>
      </c>
      <c r="I41" s="18"/>
      <c r="J41" s="18"/>
    </row>
    <row r="42" spans="1:10" x14ac:dyDescent="0.25">
      <c r="A42" s="21" t="s">
        <v>14</v>
      </c>
      <c r="B42" s="21"/>
      <c r="C42" s="13">
        <f>ROUND(C41/G41,2)</f>
        <v>0.23</v>
      </c>
      <c r="D42" s="13">
        <f>ROUND(D41/G41,2)</f>
        <v>0.43</v>
      </c>
      <c r="E42" s="13">
        <f>ROUND(E41/G41,2)</f>
        <v>0.33</v>
      </c>
      <c r="F42" s="13">
        <f>ROUND(F41/G41,2)</f>
        <v>0</v>
      </c>
      <c r="G42" s="14"/>
      <c r="H42" s="14"/>
      <c r="I42" s="18"/>
      <c r="J42" s="18"/>
    </row>
    <row r="43" spans="1:10" x14ac:dyDescent="0.25">
      <c r="A43" s="2" t="s">
        <v>52</v>
      </c>
      <c r="B43" s="2"/>
      <c r="C43" s="14"/>
      <c r="D43" s="14"/>
      <c r="E43" s="14"/>
      <c r="F43" s="14"/>
      <c r="G43" s="14"/>
      <c r="H43" s="14"/>
      <c r="I43" s="18"/>
      <c r="J43" s="18"/>
    </row>
    <row r="44" spans="1:10" x14ac:dyDescent="0.25">
      <c r="C44" s="9"/>
      <c r="D44" s="9"/>
      <c r="E44" s="9"/>
      <c r="F44" s="9"/>
      <c r="G44" s="9"/>
      <c r="H44" s="9"/>
      <c r="I44" s="10"/>
      <c r="J44" s="10"/>
    </row>
    <row r="45" spans="1:10" x14ac:dyDescent="0.25">
      <c r="C45" s="9"/>
      <c r="D45" s="9"/>
      <c r="E45" s="9"/>
      <c r="F45" s="9"/>
      <c r="G45" s="9"/>
      <c r="H45" s="9"/>
      <c r="I45" s="10"/>
      <c r="J45" s="10"/>
    </row>
    <row r="46" spans="1:10" x14ac:dyDescent="0.25">
      <c r="C46" s="9"/>
      <c r="D46" s="9"/>
      <c r="E46" s="9"/>
      <c r="F46" s="9"/>
      <c r="G46" s="9"/>
      <c r="H46" s="9"/>
      <c r="I46" s="10"/>
      <c r="J46" s="10"/>
    </row>
    <row r="47" spans="1:10" x14ac:dyDescent="0.25">
      <c r="A47" s="21" t="s">
        <v>53</v>
      </c>
      <c r="B47" s="21"/>
      <c r="C47" s="12" t="s">
        <v>8</v>
      </c>
      <c r="D47" s="12" t="s">
        <v>9</v>
      </c>
      <c r="E47" s="12" t="s">
        <v>10</v>
      </c>
      <c r="F47" s="12" t="s">
        <v>11</v>
      </c>
      <c r="G47" s="12" t="s">
        <v>12</v>
      </c>
      <c r="H47" s="15" t="s">
        <v>13</v>
      </c>
      <c r="I47" s="18"/>
      <c r="J47" s="18"/>
    </row>
    <row r="48" spans="1:10" x14ac:dyDescent="0.25">
      <c r="A48" s="20" t="s">
        <v>54</v>
      </c>
      <c r="B48" s="20"/>
      <c r="C48" s="11">
        <v>79850</v>
      </c>
      <c r="D48" s="11">
        <v>9041</v>
      </c>
      <c r="E48" s="11">
        <v>97136</v>
      </c>
      <c r="F48" s="11">
        <v>0</v>
      </c>
      <c r="G48" s="11">
        <f>SUM(C48:F48)</f>
        <v>186027</v>
      </c>
      <c r="H48" s="17">
        <f>ROUND(G48/2253,2)</f>
        <v>82.57</v>
      </c>
      <c r="I48" s="10"/>
      <c r="J48" s="10"/>
    </row>
    <row r="49" spans="1:10" x14ac:dyDescent="0.25">
      <c r="A49" s="20" t="s">
        <v>55</v>
      </c>
      <c r="B49" s="20"/>
      <c r="C49" s="11">
        <v>0</v>
      </c>
      <c r="D49" s="11">
        <v>137875</v>
      </c>
      <c r="E49" s="11">
        <v>16440</v>
      </c>
      <c r="F49" s="11">
        <v>0</v>
      </c>
      <c r="G49" s="11">
        <f>SUM(C49:F49)</f>
        <v>154315</v>
      </c>
      <c r="H49" s="17">
        <f>ROUND(G49/2253,2)</f>
        <v>68.489999999999995</v>
      </c>
      <c r="I49" s="10"/>
      <c r="J49" s="10"/>
    </row>
    <row r="50" spans="1:10" x14ac:dyDescent="0.25">
      <c r="A50" s="20" t="s">
        <v>56</v>
      </c>
      <c r="B50" s="20"/>
      <c r="C50" s="11">
        <v>0</v>
      </c>
      <c r="D50" s="11">
        <v>0</v>
      </c>
      <c r="E50" s="11">
        <v>0</v>
      </c>
      <c r="F50" s="11">
        <v>0</v>
      </c>
      <c r="G50" s="11">
        <f>SUM(C50:F50)</f>
        <v>0</v>
      </c>
      <c r="H50" s="17">
        <f>ROUND(G50/2253,2)</f>
        <v>0</v>
      </c>
      <c r="I50" s="10"/>
      <c r="J50" s="10"/>
    </row>
    <row r="51" spans="1:10" x14ac:dyDescent="0.25">
      <c r="C51" s="9"/>
      <c r="D51" s="9"/>
      <c r="E51" s="9"/>
      <c r="F51" s="9"/>
      <c r="G51" s="9"/>
      <c r="H51" s="9"/>
      <c r="I51" s="10"/>
      <c r="J51" s="10"/>
    </row>
    <row r="52" spans="1:10" x14ac:dyDescent="0.25">
      <c r="C52" s="9"/>
      <c r="D52" s="9"/>
      <c r="E52" s="9"/>
      <c r="F52" s="9"/>
      <c r="G52" s="9"/>
      <c r="H52" s="9"/>
      <c r="I52" s="10"/>
      <c r="J52" s="10"/>
    </row>
    <row r="53" spans="1:10" x14ac:dyDescent="0.25">
      <c r="C53" s="9"/>
      <c r="D53" s="9"/>
      <c r="E53" s="9"/>
      <c r="F53" s="9"/>
      <c r="G53" s="9"/>
      <c r="H53" s="9"/>
      <c r="I53" s="10"/>
      <c r="J53" s="10"/>
    </row>
    <row r="54" spans="1:10" x14ac:dyDescent="0.25">
      <c r="C54" s="9"/>
      <c r="D54" s="9"/>
      <c r="E54" s="9"/>
      <c r="F54" s="9"/>
      <c r="G54" s="9"/>
      <c r="H54" s="9"/>
      <c r="I54" s="10"/>
      <c r="J54" s="10"/>
    </row>
    <row r="55" spans="1:10" x14ac:dyDescent="0.25">
      <c r="A55" s="21" t="s">
        <v>57</v>
      </c>
      <c r="B55" s="21"/>
      <c r="C55" s="15" t="s">
        <v>2</v>
      </c>
      <c r="D55" s="15">
        <v>2023</v>
      </c>
      <c r="E55" s="15" t="s">
        <v>59</v>
      </c>
      <c r="F55" s="14"/>
      <c r="G55" s="15" t="s">
        <v>60</v>
      </c>
      <c r="H55" s="15" t="s">
        <v>2</v>
      </c>
      <c r="I55" s="13" t="s">
        <v>61</v>
      </c>
      <c r="J55" s="13" t="s">
        <v>59</v>
      </c>
    </row>
    <row r="56" spans="1:10" x14ac:dyDescent="0.25">
      <c r="A56" s="20" t="s">
        <v>58</v>
      </c>
      <c r="B56" s="20"/>
      <c r="C56" s="16">
        <f>ROUND(0.5923, 4)</f>
        <v>0.59230000000000005</v>
      </c>
      <c r="D56" s="16">
        <f>ROUND(0.6124, 4)</f>
        <v>0.61240000000000006</v>
      </c>
      <c r="E56" s="16">
        <f>ROUND(0.777, 4)</f>
        <v>0.77700000000000002</v>
      </c>
      <c r="F56" s="9"/>
      <c r="G56" s="15" t="s">
        <v>62</v>
      </c>
      <c r="H56" s="22" t="s">
        <v>63</v>
      </c>
      <c r="I56" s="24" t="s">
        <v>64</v>
      </c>
      <c r="J56" s="24" t="s">
        <v>65</v>
      </c>
    </row>
    <row r="57" spans="1:10" x14ac:dyDescent="0.25">
      <c r="A57" s="20" t="s">
        <v>66</v>
      </c>
      <c r="B57" s="20"/>
      <c r="C57" s="16">
        <f>ROUND(0.5847, 4)</f>
        <v>0.5847</v>
      </c>
      <c r="D57" s="16">
        <f>ROUND(0.6038, 4)</f>
        <v>0.6038</v>
      </c>
      <c r="E57" s="16">
        <f>ROUND(0.7608, 4)</f>
        <v>0.76080000000000003</v>
      </c>
      <c r="F57" s="9"/>
      <c r="G57" s="15" t="s">
        <v>67</v>
      </c>
      <c r="H57" s="23"/>
      <c r="I57" s="25"/>
      <c r="J57" s="25"/>
    </row>
    <row r="58" spans="1:10" x14ac:dyDescent="0.25">
      <c r="C58" s="9"/>
      <c r="D58" s="9"/>
      <c r="E58" s="9"/>
      <c r="F58" s="9"/>
      <c r="G58" s="9"/>
      <c r="H58" s="9"/>
      <c r="I58" s="10"/>
      <c r="J58" s="10"/>
    </row>
    <row r="59" spans="1:10" x14ac:dyDescent="0.25">
      <c r="C59" s="9"/>
      <c r="D59" s="9"/>
      <c r="E59" s="9"/>
      <c r="F59" s="9"/>
      <c r="G59" s="9"/>
      <c r="H59" s="9"/>
      <c r="I59" s="10"/>
      <c r="J59" s="10"/>
    </row>
    <row r="60" spans="1:10" x14ac:dyDescent="0.25">
      <c r="C60" s="9"/>
      <c r="D60" s="9"/>
      <c r="E60" s="9"/>
      <c r="F60" s="9"/>
      <c r="G60" s="9"/>
      <c r="H60" s="9"/>
      <c r="I60" s="10"/>
      <c r="J60" s="10"/>
    </row>
    <row r="61" spans="1:10" x14ac:dyDescent="0.25">
      <c r="A61" s="21" t="s">
        <v>68</v>
      </c>
      <c r="B61" s="21"/>
      <c r="C61" s="15" t="s">
        <v>2</v>
      </c>
      <c r="D61" s="15" t="s">
        <v>197</v>
      </c>
      <c r="E61" s="15" t="s">
        <v>70</v>
      </c>
      <c r="F61" s="15" t="s">
        <v>71</v>
      </c>
      <c r="G61" s="15" t="s">
        <v>72</v>
      </c>
      <c r="H61" s="14"/>
      <c r="I61" s="18"/>
      <c r="J61" s="18"/>
    </row>
    <row r="62" spans="1:10" x14ac:dyDescent="0.25">
      <c r="A62" s="20" t="s">
        <v>73</v>
      </c>
      <c r="B62" s="20"/>
      <c r="C62" s="17">
        <v>61.2</v>
      </c>
      <c r="D62" s="17">
        <v>147.19</v>
      </c>
      <c r="E62" s="17">
        <v>81.84</v>
      </c>
      <c r="F62" s="17">
        <v>48</v>
      </c>
      <c r="G62" s="17">
        <f>12/4*C62</f>
        <v>183.60000000000002</v>
      </c>
      <c r="H62" s="9"/>
      <c r="I62" s="10"/>
      <c r="J62" s="10"/>
    </row>
    <row r="63" spans="1:10" x14ac:dyDescent="0.25">
      <c r="A63" s="20" t="s">
        <v>74</v>
      </c>
      <c r="B63" s="20"/>
      <c r="C63" s="17">
        <v>3.97</v>
      </c>
      <c r="D63" s="17">
        <v>9.17</v>
      </c>
      <c r="E63" s="17">
        <v>55.63</v>
      </c>
      <c r="F63" s="17">
        <v>55.33</v>
      </c>
      <c r="G63" s="17">
        <f>12/4*C63</f>
        <v>11.91</v>
      </c>
      <c r="H63" s="9"/>
      <c r="I63" s="10"/>
      <c r="J63" s="10"/>
    </row>
    <row r="64" spans="1:10" x14ac:dyDescent="0.25">
      <c r="A64" s="20" t="s">
        <v>75</v>
      </c>
      <c r="B64" s="20"/>
      <c r="C64" s="17">
        <v>82.57</v>
      </c>
      <c r="D64" s="17">
        <v>240.18</v>
      </c>
      <c r="E64" s="17">
        <v>257.88</v>
      </c>
      <c r="F64" s="17">
        <v>242.78</v>
      </c>
      <c r="G64" s="17">
        <f>12/4*C64</f>
        <v>247.70999999999998</v>
      </c>
      <c r="H64" s="9"/>
      <c r="I64" s="10"/>
      <c r="J64" s="10"/>
    </row>
    <row r="65" spans="1:10" x14ac:dyDescent="0.25">
      <c r="A65" s="20" t="s">
        <v>76</v>
      </c>
      <c r="B65" s="20"/>
      <c r="C65" s="17">
        <v>68.489999999999995</v>
      </c>
      <c r="D65" s="17">
        <v>168.07</v>
      </c>
      <c r="E65" s="17">
        <v>103.14</v>
      </c>
      <c r="F65" s="17">
        <v>68.31</v>
      </c>
      <c r="G65" s="17">
        <f>12/4*C65</f>
        <v>205.46999999999997</v>
      </c>
      <c r="H65" s="9"/>
      <c r="I65" s="10"/>
      <c r="J65" s="10"/>
    </row>
    <row r="66" spans="1:10" x14ac:dyDescent="0.25">
      <c r="C66" s="9"/>
      <c r="D66" s="9"/>
      <c r="E66" s="9"/>
      <c r="F66" s="9"/>
      <c r="G66" s="9"/>
      <c r="H66" s="9"/>
      <c r="I66" s="10"/>
      <c r="J66" s="10"/>
    </row>
    <row r="67" spans="1:10" x14ac:dyDescent="0.25">
      <c r="C67" s="9"/>
      <c r="D67" s="9"/>
      <c r="E67" s="9"/>
      <c r="F67" s="9"/>
      <c r="G67" s="9"/>
      <c r="H67" s="9"/>
      <c r="I67" s="10"/>
      <c r="J67" s="10"/>
    </row>
    <row r="68" spans="1:10" x14ac:dyDescent="0.25">
      <c r="A68" s="19" t="s">
        <v>60</v>
      </c>
      <c r="B68" s="26"/>
      <c r="C68" s="9"/>
      <c r="D68" s="9"/>
      <c r="E68" s="9"/>
      <c r="F68" s="9"/>
      <c r="G68" s="9"/>
      <c r="H68" s="9"/>
      <c r="I68" s="10"/>
      <c r="J68" s="10"/>
    </row>
    <row r="69" spans="1:10" x14ac:dyDescent="0.25">
      <c r="A69" s="3" t="s">
        <v>77</v>
      </c>
      <c r="B69" s="1" t="s">
        <v>198</v>
      </c>
      <c r="C69" s="9"/>
      <c r="D69" s="9"/>
      <c r="E69" s="9"/>
      <c r="F69" s="9"/>
      <c r="G69" s="9"/>
      <c r="H69" s="9"/>
      <c r="I69" s="10"/>
      <c r="J69" s="10"/>
    </row>
    <row r="70" spans="1:10" x14ac:dyDescent="0.25">
      <c r="A70" s="3" t="s">
        <v>70</v>
      </c>
      <c r="B70" s="1" t="s">
        <v>79</v>
      </c>
      <c r="C70" s="9"/>
      <c r="D70" s="9"/>
      <c r="E70" s="9"/>
      <c r="F70" s="9"/>
      <c r="G70" s="9"/>
      <c r="H70" s="9"/>
      <c r="I70" s="10"/>
      <c r="J70" s="10"/>
    </row>
    <row r="71" spans="1:10" x14ac:dyDescent="0.25">
      <c r="A71" s="3" t="s">
        <v>71</v>
      </c>
      <c r="B71" s="1" t="s">
        <v>80</v>
      </c>
      <c r="C71" s="9"/>
      <c r="D71" s="9"/>
      <c r="E71" s="9"/>
      <c r="F71" s="9"/>
      <c r="G71" s="9"/>
      <c r="H71" s="9"/>
      <c r="I71" s="10"/>
      <c r="J71" s="10"/>
    </row>
    <row r="72" spans="1:10" x14ac:dyDescent="0.25">
      <c r="A72" s="3" t="s">
        <v>72</v>
      </c>
      <c r="B72" s="1" t="s">
        <v>81</v>
      </c>
      <c r="C72" s="9"/>
      <c r="D72" s="9"/>
      <c r="E72" s="9"/>
      <c r="F72" s="9"/>
      <c r="G72" s="9"/>
      <c r="H72" s="9"/>
      <c r="I72" s="10"/>
      <c r="J72" s="10"/>
    </row>
    <row r="73" spans="1:10" x14ac:dyDescent="0.25">
      <c r="C73" s="9"/>
      <c r="D73" s="9"/>
      <c r="E73" s="9"/>
      <c r="F73" s="9"/>
      <c r="G73" s="9"/>
      <c r="H73" s="9"/>
      <c r="I73" s="10"/>
      <c r="J73" s="10"/>
    </row>
    <row r="74" spans="1:10" x14ac:dyDescent="0.25">
      <c r="C74" s="9"/>
      <c r="D74" s="9"/>
      <c r="E74" s="9"/>
      <c r="F74" s="9"/>
      <c r="G74" s="9"/>
      <c r="H74" s="9"/>
      <c r="I74" s="10"/>
      <c r="J74" s="10"/>
    </row>
    <row r="75" spans="1:10" x14ac:dyDescent="0.25">
      <c r="C75" s="9"/>
      <c r="D75" s="9"/>
      <c r="E75" s="9"/>
      <c r="F75" s="9"/>
      <c r="G75" s="9"/>
      <c r="H75" s="9"/>
      <c r="I75" s="10"/>
      <c r="J75" s="10"/>
    </row>
    <row r="76" spans="1:10" x14ac:dyDescent="0.25">
      <c r="C76" s="9"/>
      <c r="D76" s="9"/>
      <c r="E76" s="9"/>
      <c r="F76" s="9"/>
      <c r="G76" s="9"/>
      <c r="H76" s="9"/>
      <c r="I76" s="10"/>
      <c r="J76" s="10"/>
    </row>
  </sheetData>
  <mergeCells count="19">
    <mergeCell ref="A63:B63"/>
    <mergeCell ref="A64:B64"/>
    <mergeCell ref="A65:B65"/>
    <mergeCell ref="A68:B68"/>
    <mergeCell ref="I56:I57"/>
    <mergeCell ref="J56:J57"/>
    <mergeCell ref="A57:B57"/>
    <mergeCell ref="A61:B61"/>
    <mergeCell ref="A62:B62"/>
    <mergeCell ref="A49:B49"/>
    <mergeCell ref="A50:B50"/>
    <mergeCell ref="A55:B55"/>
    <mergeCell ref="A56:B56"/>
    <mergeCell ref="H56:H57"/>
    <mergeCell ref="C7:G7"/>
    <mergeCell ref="A41:B41"/>
    <mergeCell ref="A42:B42"/>
    <mergeCell ref="A47:B47"/>
    <mergeCell ref="A48:B48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2:J76"/>
  <sheetViews>
    <sheetView workbookViewId="0">
      <selection activeCell="C9" sqref="C9:J74"/>
    </sheetView>
  </sheetViews>
  <sheetFormatPr defaultRowHeight="15" x14ac:dyDescent="0.25"/>
  <cols>
    <col min="1" max="1" width="38.85546875" bestFit="1" customWidth="1"/>
    <col min="2" max="2" width="79" bestFit="1" customWidth="1"/>
    <col min="3" max="3" width="14" bestFit="1" customWidth="1"/>
    <col min="4" max="4" width="22.28515625" bestFit="1" customWidth="1"/>
    <col min="5" max="5" width="16.42578125" bestFit="1" customWidth="1"/>
    <col min="6" max="6" width="10.5703125" bestFit="1" customWidth="1"/>
    <col min="7" max="7" width="68.28515625" bestFit="1" customWidth="1"/>
    <col min="8" max="9" width="20" bestFit="1" customWidth="1"/>
    <col min="10" max="10" width="30.5703125" bestFit="1" customWidth="1"/>
  </cols>
  <sheetData>
    <row r="2" spans="1:10" ht="18.75" x14ac:dyDescent="0.3">
      <c r="A2" s="3" t="s">
        <v>0</v>
      </c>
      <c r="B2" s="4" t="s">
        <v>199</v>
      </c>
    </row>
    <row r="3" spans="1:10" x14ac:dyDescent="0.25">
      <c r="A3" s="3" t="s">
        <v>2</v>
      </c>
      <c r="B3" s="1" t="s">
        <v>3</v>
      </c>
    </row>
    <row r="4" spans="1:10" x14ac:dyDescent="0.25">
      <c r="A4" s="3" t="s">
        <v>4</v>
      </c>
      <c r="B4" s="1">
        <v>5747</v>
      </c>
    </row>
    <row r="7" spans="1:10" x14ac:dyDescent="0.25">
      <c r="C7" s="19" t="s">
        <v>5</v>
      </c>
      <c r="D7" s="20"/>
      <c r="E7" s="20"/>
      <c r="F7" s="20"/>
      <c r="G7" s="20"/>
    </row>
    <row r="8" spans="1:10" x14ac:dyDescent="0.25">
      <c r="A8" s="3" t="s">
        <v>6</v>
      </c>
      <c r="B8" s="3" t="s">
        <v>7</v>
      </c>
      <c r="C8" s="3" t="s">
        <v>8</v>
      </c>
      <c r="D8" s="3" t="s">
        <v>9</v>
      </c>
      <c r="E8" s="3" t="s">
        <v>10</v>
      </c>
      <c r="F8" s="3" t="s">
        <v>11</v>
      </c>
      <c r="G8" s="3" t="s">
        <v>12</v>
      </c>
      <c r="H8" s="3" t="s">
        <v>13</v>
      </c>
      <c r="I8" s="3" t="s">
        <v>14</v>
      </c>
      <c r="J8" s="3" t="s">
        <v>15</v>
      </c>
    </row>
    <row r="9" spans="1:10" x14ac:dyDescent="0.25">
      <c r="A9" s="1" t="s">
        <v>16</v>
      </c>
      <c r="B9" s="1" t="s">
        <v>17</v>
      </c>
      <c r="C9" s="11"/>
      <c r="D9" s="11"/>
      <c r="E9" s="11">
        <v>80</v>
      </c>
      <c r="F9" s="11"/>
      <c r="G9" s="11">
        <f t="shared" ref="G9:G44" si="0">SUM(C9:F9)</f>
        <v>80</v>
      </c>
      <c r="H9" s="17">
        <f t="shared" ref="H9:H44" si="1">ROUND(G9/5747,2)</f>
        <v>0.01</v>
      </c>
      <c r="I9" s="16">
        <f t="shared" ref="I9:I44" si="2">ROUND(G9/$G$45,3)</f>
        <v>0</v>
      </c>
      <c r="J9" s="16">
        <f>ROUND(G9/90-1,2)</f>
        <v>-0.11</v>
      </c>
    </row>
    <row r="10" spans="1:10" x14ac:dyDescent="0.25">
      <c r="A10" s="1" t="s">
        <v>16</v>
      </c>
      <c r="B10" s="1" t="s">
        <v>19</v>
      </c>
      <c r="C10" s="11">
        <v>54220</v>
      </c>
      <c r="D10" s="11"/>
      <c r="E10" s="11">
        <v>3530</v>
      </c>
      <c r="F10" s="11"/>
      <c r="G10" s="11">
        <f t="shared" si="0"/>
        <v>57750</v>
      </c>
      <c r="H10" s="17">
        <f t="shared" si="1"/>
        <v>10.050000000000001</v>
      </c>
      <c r="I10" s="16">
        <f t="shared" si="2"/>
        <v>7.6999999999999999E-2</v>
      </c>
      <c r="J10" s="16">
        <f>ROUND(G10/56670-1,2)</f>
        <v>0.02</v>
      </c>
    </row>
    <row r="11" spans="1:10" x14ac:dyDescent="0.25">
      <c r="A11" s="1" t="s">
        <v>16</v>
      </c>
      <c r="B11" s="1" t="s">
        <v>20</v>
      </c>
      <c r="C11" s="11">
        <v>71880</v>
      </c>
      <c r="D11" s="11"/>
      <c r="E11" s="11"/>
      <c r="F11" s="11"/>
      <c r="G11" s="11">
        <f t="shared" si="0"/>
        <v>71880</v>
      </c>
      <c r="H11" s="17">
        <f t="shared" si="1"/>
        <v>12.51</v>
      </c>
      <c r="I11" s="16">
        <f t="shared" si="2"/>
        <v>9.6000000000000002E-2</v>
      </c>
      <c r="J11" s="16">
        <f>ROUND(G11/75380-1,2)</f>
        <v>-0.05</v>
      </c>
    </row>
    <row r="12" spans="1:10" x14ac:dyDescent="0.25">
      <c r="A12" s="1" t="s">
        <v>16</v>
      </c>
      <c r="B12" s="1" t="s">
        <v>23</v>
      </c>
      <c r="C12" s="11"/>
      <c r="D12" s="11"/>
      <c r="E12" s="11">
        <v>27580</v>
      </c>
      <c r="F12" s="11"/>
      <c r="G12" s="11">
        <f t="shared" si="0"/>
        <v>27580</v>
      </c>
      <c r="H12" s="17">
        <f t="shared" si="1"/>
        <v>4.8</v>
      </c>
      <c r="I12" s="16">
        <f t="shared" si="2"/>
        <v>3.6999999999999998E-2</v>
      </c>
      <c r="J12" s="16">
        <f>ROUND(G12/17600-1,2)</f>
        <v>0.56999999999999995</v>
      </c>
    </row>
    <row r="13" spans="1:10" x14ac:dyDescent="0.25">
      <c r="A13" s="1" t="s">
        <v>16</v>
      </c>
      <c r="B13" s="1" t="s">
        <v>24</v>
      </c>
      <c r="C13" s="11">
        <v>83280</v>
      </c>
      <c r="D13" s="11"/>
      <c r="E13" s="11">
        <v>10760</v>
      </c>
      <c r="F13" s="11"/>
      <c r="G13" s="11">
        <f t="shared" si="0"/>
        <v>94040</v>
      </c>
      <c r="H13" s="17">
        <f t="shared" si="1"/>
        <v>16.36</v>
      </c>
      <c r="I13" s="16">
        <f t="shared" si="2"/>
        <v>0.126</v>
      </c>
      <c r="J13" s="16">
        <f>ROUND(G13/91830-1,2)</f>
        <v>0.02</v>
      </c>
    </row>
    <row r="14" spans="1:10" x14ac:dyDescent="0.25">
      <c r="A14" s="1" t="s">
        <v>16</v>
      </c>
      <c r="B14" s="1" t="s">
        <v>25</v>
      </c>
      <c r="C14" s="11"/>
      <c r="D14" s="11"/>
      <c r="E14" s="11">
        <v>3970</v>
      </c>
      <c r="F14" s="11"/>
      <c r="G14" s="11">
        <f t="shared" si="0"/>
        <v>3970</v>
      </c>
      <c r="H14" s="17">
        <f t="shared" si="1"/>
        <v>0.69</v>
      </c>
      <c r="I14" s="16">
        <f t="shared" si="2"/>
        <v>5.0000000000000001E-3</v>
      </c>
      <c r="J14" s="16">
        <f>ROUND(G14/4305-1,2)</f>
        <v>-0.08</v>
      </c>
    </row>
    <row r="15" spans="1:10" x14ac:dyDescent="0.25">
      <c r="A15" s="1" t="s">
        <v>16</v>
      </c>
      <c r="B15" s="1" t="s">
        <v>26</v>
      </c>
      <c r="C15" s="11">
        <v>143060</v>
      </c>
      <c r="D15" s="11"/>
      <c r="E15" s="11"/>
      <c r="F15" s="11"/>
      <c r="G15" s="11">
        <f t="shared" si="0"/>
        <v>143060</v>
      </c>
      <c r="H15" s="17">
        <f t="shared" si="1"/>
        <v>24.89</v>
      </c>
      <c r="I15" s="16">
        <f t="shared" si="2"/>
        <v>0.192</v>
      </c>
      <c r="J15" s="16">
        <f>ROUND(G15/161420-1,2)</f>
        <v>-0.11</v>
      </c>
    </row>
    <row r="16" spans="1:10" x14ac:dyDescent="0.25">
      <c r="A16" s="1" t="s">
        <v>16</v>
      </c>
      <c r="B16" s="1" t="s">
        <v>27</v>
      </c>
      <c r="C16" s="11"/>
      <c r="D16" s="11"/>
      <c r="E16" s="11">
        <v>181</v>
      </c>
      <c r="F16" s="11"/>
      <c r="G16" s="11">
        <f t="shared" si="0"/>
        <v>181</v>
      </c>
      <c r="H16" s="17">
        <f t="shared" si="1"/>
        <v>0.03</v>
      </c>
      <c r="I16" s="16">
        <f t="shared" si="2"/>
        <v>0</v>
      </c>
      <c r="J16" s="16">
        <f>ROUND(G16/162-1,2)</f>
        <v>0.12</v>
      </c>
    </row>
    <row r="17" spans="1:10" x14ac:dyDescent="0.25">
      <c r="A17" s="1" t="s">
        <v>16</v>
      </c>
      <c r="B17" s="1" t="s">
        <v>28</v>
      </c>
      <c r="C17" s="11"/>
      <c r="D17" s="11"/>
      <c r="E17" s="11">
        <v>97</v>
      </c>
      <c r="F17" s="11"/>
      <c r="G17" s="11">
        <f t="shared" si="0"/>
        <v>97</v>
      </c>
      <c r="H17" s="17">
        <f t="shared" si="1"/>
        <v>0.02</v>
      </c>
      <c r="I17" s="16">
        <f t="shared" si="2"/>
        <v>0</v>
      </c>
      <c r="J17" s="16">
        <f>ROUND(G17/69-1,2)</f>
        <v>0.41</v>
      </c>
    </row>
    <row r="18" spans="1:10" x14ac:dyDescent="0.25">
      <c r="A18" s="1" t="s">
        <v>16</v>
      </c>
      <c r="B18" s="1" t="s">
        <v>29</v>
      </c>
      <c r="C18" s="11"/>
      <c r="D18" s="11"/>
      <c r="E18" s="11">
        <v>820</v>
      </c>
      <c r="F18" s="11"/>
      <c r="G18" s="11">
        <f t="shared" si="0"/>
        <v>820</v>
      </c>
      <c r="H18" s="17">
        <f t="shared" si="1"/>
        <v>0.14000000000000001</v>
      </c>
      <c r="I18" s="16">
        <f t="shared" si="2"/>
        <v>1E-3</v>
      </c>
      <c r="J18" s="16">
        <f>ROUND(G18/700-1,2)</f>
        <v>0.17</v>
      </c>
    </row>
    <row r="19" spans="1:10" x14ac:dyDescent="0.25">
      <c r="A19" s="1" t="s">
        <v>16</v>
      </c>
      <c r="B19" s="1" t="s">
        <v>30</v>
      </c>
      <c r="C19" s="11"/>
      <c r="D19" s="11"/>
      <c r="E19" s="11">
        <v>190</v>
      </c>
      <c r="F19" s="11"/>
      <c r="G19" s="11">
        <f t="shared" si="0"/>
        <v>190</v>
      </c>
      <c r="H19" s="17">
        <f t="shared" si="1"/>
        <v>0.03</v>
      </c>
      <c r="I19" s="16">
        <f t="shared" si="2"/>
        <v>0</v>
      </c>
      <c r="J19" s="16">
        <f>ROUND(G19/250-1,2)</f>
        <v>-0.24</v>
      </c>
    </row>
    <row r="20" spans="1:10" x14ac:dyDescent="0.25">
      <c r="A20" s="1" t="s">
        <v>16</v>
      </c>
      <c r="B20" s="1" t="s">
        <v>32</v>
      </c>
      <c r="C20" s="11"/>
      <c r="D20" s="11">
        <v>271</v>
      </c>
      <c r="E20" s="11"/>
      <c r="F20" s="11"/>
      <c r="G20" s="11">
        <f t="shared" si="0"/>
        <v>271</v>
      </c>
      <c r="H20" s="17">
        <f t="shared" si="1"/>
        <v>0.05</v>
      </c>
      <c r="I20" s="16">
        <f t="shared" si="2"/>
        <v>0</v>
      </c>
      <c r="J20" s="16">
        <f>ROUND(G20/342-1,2)</f>
        <v>-0.21</v>
      </c>
    </row>
    <row r="21" spans="1:10" x14ac:dyDescent="0.25">
      <c r="A21" s="1" t="s">
        <v>16</v>
      </c>
      <c r="B21" s="1" t="s">
        <v>33</v>
      </c>
      <c r="C21" s="11"/>
      <c r="D21" s="11"/>
      <c r="E21" s="11">
        <v>855</v>
      </c>
      <c r="F21" s="11"/>
      <c r="G21" s="11">
        <f t="shared" si="0"/>
        <v>855</v>
      </c>
      <c r="H21" s="17">
        <f t="shared" si="1"/>
        <v>0.15</v>
      </c>
      <c r="I21" s="16">
        <f t="shared" si="2"/>
        <v>1E-3</v>
      </c>
      <c r="J21" s="16"/>
    </row>
    <row r="22" spans="1:10" x14ac:dyDescent="0.25">
      <c r="A22" s="1" t="s">
        <v>16</v>
      </c>
      <c r="B22" s="1" t="s">
        <v>34</v>
      </c>
      <c r="C22" s="11"/>
      <c r="D22" s="11">
        <v>180</v>
      </c>
      <c r="E22" s="11"/>
      <c r="F22" s="11"/>
      <c r="G22" s="11">
        <f t="shared" si="0"/>
        <v>180</v>
      </c>
      <c r="H22" s="17">
        <f t="shared" si="1"/>
        <v>0.03</v>
      </c>
      <c r="I22" s="16">
        <f t="shared" si="2"/>
        <v>0</v>
      </c>
      <c r="J22" s="16">
        <f>ROUND(G22/480-1,2)</f>
        <v>-0.63</v>
      </c>
    </row>
    <row r="23" spans="1:10" x14ac:dyDescent="0.25">
      <c r="A23" s="1" t="s">
        <v>16</v>
      </c>
      <c r="B23" s="1" t="s">
        <v>35</v>
      </c>
      <c r="C23" s="11"/>
      <c r="D23" s="11"/>
      <c r="E23" s="11">
        <v>54160</v>
      </c>
      <c r="F23" s="11"/>
      <c r="G23" s="11">
        <f t="shared" si="0"/>
        <v>54160</v>
      </c>
      <c r="H23" s="17">
        <f t="shared" si="1"/>
        <v>9.42</v>
      </c>
      <c r="I23" s="16">
        <f t="shared" si="2"/>
        <v>7.2999999999999995E-2</v>
      </c>
      <c r="J23" s="16">
        <f>ROUND(G23/43290-1,2)</f>
        <v>0.25</v>
      </c>
    </row>
    <row r="24" spans="1:10" x14ac:dyDescent="0.25">
      <c r="A24" s="1" t="s">
        <v>16</v>
      </c>
      <c r="B24" s="1" t="s">
        <v>36</v>
      </c>
      <c r="C24" s="11"/>
      <c r="D24" s="11"/>
      <c r="E24" s="11">
        <v>2480</v>
      </c>
      <c r="F24" s="11"/>
      <c r="G24" s="11">
        <f t="shared" si="0"/>
        <v>2480</v>
      </c>
      <c r="H24" s="17">
        <f t="shared" si="1"/>
        <v>0.43</v>
      </c>
      <c r="I24" s="16">
        <f t="shared" si="2"/>
        <v>3.0000000000000001E-3</v>
      </c>
      <c r="J24" s="16">
        <f>ROUND(G24/1990-1,2)</f>
        <v>0.25</v>
      </c>
    </row>
    <row r="25" spans="1:10" x14ac:dyDescent="0.25">
      <c r="A25" s="1" t="s">
        <v>16</v>
      </c>
      <c r="B25" s="1" t="s">
        <v>37</v>
      </c>
      <c r="C25" s="11"/>
      <c r="D25" s="11"/>
      <c r="E25" s="11">
        <v>14600</v>
      </c>
      <c r="F25" s="11"/>
      <c r="G25" s="11">
        <f t="shared" si="0"/>
        <v>14600</v>
      </c>
      <c r="H25" s="17">
        <f t="shared" si="1"/>
        <v>2.54</v>
      </c>
      <c r="I25" s="16">
        <f t="shared" si="2"/>
        <v>0.02</v>
      </c>
      <c r="J25" s="16">
        <f>ROUND(G25/12220-1,2)</f>
        <v>0.19</v>
      </c>
    </row>
    <row r="26" spans="1:10" x14ac:dyDescent="0.25">
      <c r="A26" s="1" t="s">
        <v>16</v>
      </c>
      <c r="B26" s="1" t="s">
        <v>38</v>
      </c>
      <c r="C26" s="11"/>
      <c r="D26" s="11"/>
      <c r="E26" s="11">
        <v>65680</v>
      </c>
      <c r="F26" s="11"/>
      <c r="G26" s="11">
        <f t="shared" si="0"/>
        <v>65680</v>
      </c>
      <c r="H26" s="17">
        <f t="shared" si="1"/>
        <v>11.43</v>
      </c>
      <c r="I26" s="16">
        <f t="shared" si="2"/>
        <v>8.7999999999999995E-2</v>
      </c>
      <c r="J26" s="16">
        <f>ROUND(G26/59040-1,2)</f>
        <v>0.11</v>
      </c>
    </row>
    <row r="27" spans="1:10" x14ac:dyDescent="0.25">
      <c r="A27" s="1" t="s">
        <v>16</v>
      </c>
      <c r="B27" s="1" t="s">
        <v>39</v>
      </c>
      <c r="C27" s="11"/>
      <c r="D27" s="11"/>
      <c r="E27" s="11"/>
      <c r="F27" s="11"/>
      <c r="G27" s="11">
        <f t="shared" si="0"/>
        <v>0</v>
      </c>
      <c r="H27" s="17">
        <f t="shared" si="1"/>
        <v>0</v>
      </c>
      <c r="I27" s="16">
        <f t="shared" si="2"/>
        <v>0</v>
      </c>
      <c r="J27" s="16">
        <f>ROUND(G27/200-1,2)</f>
        <v>-1</v>
      </c>
    </row>
    <row r="28" spans="1:10" x14ac:dyDescent="0.25">
      <c r="A28" s="1" t="s">
        <v>16</v>
      </c>
      <c r="B28" s="1" t="s">
        <v>40</v>
      </c>
      <c r="C28" s="11"/>
      <c r="D28" s="11"/>
      <c r="E28" s="11"/>
      <c r="F28" s="11"/>
      <c r="G28" s="11">
        <f t="shared" si="0"/>
        <v>0</v>
      </c>
      <c r="H28" s="17">
        <f t="shared" si="1"/>
        <v>0</v>
      </c>
      <c r="I28" s="16">
        <f t="shared" si="2"/>
        <v>0</v>
      </c>
      <c r="J28" s="16">
        <f>ROUND(G28/3280-1,2)</f>
        <v>-1</v>
      </c>
    </row>
    <row r="29" spans="1:10" x14ac:dyDescent="0.25">
      <c r="A29" s="1" t="s">
        <v>16</v>
      </c>
      <c r="B29" s="1" t="s">
        <v>41</v>
      </c>
      <c r="C29" s="11"/>
      <c r="D29" s="11"/>
      <c r="E29" s="11"/>
      <c r="F29" s="11"/>
      <c r="G29" s="11">
        <f t="shared" si="0"/>
        <v>0</v>
      </c>
      <c r="H29" s="17">
        <f t="shared" si="1"/>
        <v>0</v>
      </c>
      <c r="I29" s="16">
        <f t="shared" si="2"/>
        <v>0</v>
      </c>
      <c r="J29" s="16">
        <f>ROUND(G29/2114-1,2)</f>
        <v>-1</v>
      </c>
    </row>
    <row r="30" spans="1:10" x14ac:dyDescent="0.25">
      <c r="A30" s="1" t="s">
        <v>16</v>
      </c>
      <c r="B30" s="1" t="s">
        <v>42</v>
      </c>
      <c r="C30" s="11"/>
      <c r="D30" s="11"/>
      <c r="E30" s="11"/>
      <c r="F30" s="11"/>
      <c r="G30" s="11">
        <f t="shared" si="0"/>
        <v>0</v>
      </c>
      <c r="H30" s="17">
        <f t="shared" si="1"/>
        <v>0</v>
      </c>
      <c r="I30" s="16">
        <f t="shared" si="2"/>
        <v>0</v>
      </c>
      <c r="J30" s="16">
        <f>ROUND(G30/3660-1,2)</f>
        <v>-1</v>
      </c>
    </row>
    <row r="31" spans="1:10" x14ac:dyDescent="0.25">
      <c r="A31" s="1" t="s">
        <v>16</v>
      </c>
      <c r="B31" s="1" t="s">
        <v>43</v>
      </c>
      <c r="C31" s="11"/>
      <c r="D31" s="11"/>
      <c r="E31" s="11"/>
      <c r="F31" s="11"/>
      <c r="G31" s="11">
        <f t="shared" si="0"/>
        <v>0</v>
      </c>
      <c r="H31" s="17">
        <f t="shared" si="1"/>
        <v>0</v>
      </c>
      <c r="I31" s="16">
        <f t="shared" si="2"/>
        <v>0</v>
      </c>
      <c r="J31" s="16">
        <f>ROUND(G31/5004-1,2)</f>
        <v>-1</v>
      </c>
    </row>
    <row r="32" spans="1:10" x14ac:dyDescent="0.25">
      <c r="A32" s="1" t="s">
        <v>16</v>
      </c>
      <c r="B32" s="1" t="s">
        <v>118</v>
      </c>
      <c r="C32" s="11"/>
      <c r="D32" s="11"/>
      <c r="E32" s="11"/>
      <c r="F32" s="11"/>
      <c r="G32" s="11">
        <f t="shared" si="0"/>
        <v>0</v>
      </c>
      <c r="H32" s="17">
        <f t="shared" si="1"/>
        <v>0</v>
      </c>
      <c r="I32" s="16">
        <f t="shared" si="2"/>
        <v>0</v>
      </c>
      <c r="J32" s="16"/>
    </row>
    <row r="33" spans="1:10" x14ac:dyDescent="0.25">
      <c r="A33" s="1" t="s">
        <v>16</v>
      </c>
      <c r="B33" s="1" t="s">
        <v>95</v>
      </c>
      <c r="C33" s="11"/>
      <c r="D33" s="11"/>
      <c r="E33" s="11"/>
      <c r="F33" s="11"/>
      <c r="G33" s="11">
        <f t="shared" si="0"/>
        <v>0</v>
      </c>
      <c r="H33" s="17">
        <f t="shared" si="1"/>
        <v>0</v>
      </c>
      <c r="I33" s="16">
        <f t="shared" si="2"/>
        <v>0</v>
      </c>
      <c r="J33" s="16">
        <f>ROUND(G33/920-1,2)</f>
        <v>-1</v>
      </c>
    </row>
    <row r="34" spans="1:10" x14ac:dyDescent="0.25">
      <c r="A34" s="1" t="s">
        <v>16</v>
      </c>
      <c r="B34" s="1" t="s">
        <v>31</v>
      </c>
      <c r="C34" s="11"/>
      <c r="D34" s="11"/>
      <c r="E34" s="11"/>
      <c r="F34" s="11"/>
      <c r="G34" s="11">
        <f t="shared" si="0"/>
        <v>0</v>
      </c>
      <c r="H34" s="17">
        <f t="shared" si="1"/>
        <v>0</v>
      </c>
      <c r="I34" s="16">
        <f t="shared" si="2"/>
        <v>0</v>
      </c>
      <c r="J34" s="16"/>
    </row>
    <row r="35" spans="1:10" x14ac:dyDescent="0.25">
      <c r="A35" s="1" t="s">
        <v>16</v>
      </c>
      <c r="B35" s="1" t="s">
        <v>158</v>
      </c>
      <c r="C35" s="11"/>
      <c r="D35" s="11"/>
      <c r="E35" s="11"/>
      <c r="F35" s="11"/>
      <c r="G35" s="11">
        <f t="shared" si="0"/>
        <v>0</v>
      </c>
      <c r="H35" s="17">
        <f t="shared" si="1"/>
        <v>0</v>
      </c>
      <c r="I35" s="16">
        <f t="shared" si="2"/>
        <v>0</v>
      </c>
      <c r="J35" s="16"/>
    </row>
    <row r="36" spans="1:10" x14ac:dyDescent="0.25">
      <c r="A36" s="1" t="s">
        <v>16</v>
      </c>
      <c r="B36" s="1" t="s">
        <v>200</v>
      </c>
      <c r="C36" s="11"/>
      <c r="D36" s="11"/>
      <c r="E36" s="11"/>
      <c r="F36" s="11"/>
      <c r="G36" s="11">
        <f t="shared" si="0"/>
        <v>0</v>
      </c>
      <c r="H36" s="17">
        <f t="shared" si="1"/>
        <v>0</v>
      </c>
      <c r="I36" s="16">
        <f t="shared" si="2"/>
        <v>0</v>
      </c>
      <c r="J36" s="16"/>
    </row>
    <row r="37" spans="1:10" x14ac:dyDescent="0.25">
      <c r="A37" s="1" t="s">
        <v>44</v>
      </c>
      <c r="B37" s="1" t="s">
        <v>45</v>
      </c>
      <c r="C37" s="11">
        <v>163280</v>
      </c>
      <c r="D37" s="11"/>
      <c r="E37" s="11"/>
      <c r="F37" s="11"/>
      <c r="G37" s="11">
        <f t="shared" si="0"/>
        <v>163280</v>
      </c>
      <c r="H37" s="17">
        <f t="shared" si="1"/>
        <v>28.41</v>
      </c>
      <c r="I37" s="16">
        <f t="shared" si="2"/>
        <v>0.219</v>
      </c>
      <c r="J37" s="16">
        <f>ROUND(G37/159180-1,2)</f>
        <v>0.03</v>
      </c>
    </row>
    <row r="38" spans="1:10" x14ac:dyDescent="0.25">
      <c r="A38" s="1" t="s">
        <v>44</v>
      </c>
      <c r="B38" s="1" t="s">
        <v>47</v>
      </c>
      <c r="C38" s="11"/>
      <c r="D38" s="11"/>
      <c r="E38" s="11"/>
      <c r="F38" s="11">
        <v>17200</v>
      </c>
      <c r="G38" s="11">
        <f t="shared" si="0"/>
        <v>17200</v>
      </c>
      <c r="H38" s="17">
        <f t="shared" si="1"/>
        <v>2.99</v>
      </c>
      <c r="I38" s="16">
        <f t="shared" si="2"/>
        <v>2.3E-2</v>
      </c>
      <c r="J38" s="16">
        <f>ROUND(G38/8720-1,2)</f>
        <v>0.97</v>
      </c>
    </row>
    <row r="39" spans="1:10" x14ac:dyDescent="0.25">
      <c r="A39" s="1" t="s">
        <v>44</v>
      </c>
      <c r="B39" s="1" t="s">
        <v>46</v>
      </c>
      <c r="C39" s="11"/>
      <c r="D39" s="11"/>
      <c r="E39" s="11">
        <v>27580</v>
      </c>
      <c r="F39" s="11"/>
      <c r="G39" s="11">
        <f t="shared" si="0"/>
        <v>27580</v>
      </c>
      <c r="H39" s="17">
        <f t="shared" si="1"/>
        <v>4.8</v>
      </c>
      <c r="I39" s="16">
        <f t="shared" si="2"/>
        <v>3.6999999999999998E-2</v>
      </c>
      <c r="J39" s="16">
        <f>ROUND(G39/29640-1,2)</f>
        <v>-7.0000000000000007E-2</v>
      </c>
    </row>
    <row r="40" spans="1:10" x14ac:dyDescent="0.25">
      <c r="A40" s="1" t="s">
        <v>48</v>
      </c>
      <c r="B40" s="1" t="s">
        <v>51</v>
      </c>
      <c r="C40" s="11"/>
      <c r="D40" s="11"/>
      <c r="E40" s="11"/>
      <c r="F40" s="11"/>
      <c r="G40" s="11">
        <f t="shared" si="0"/>
        <v>0</v>
      </c>
      <c r="H40" s="17">
        <f t="shared" si="1"/>
        <v>0</v>
      </c>
      <c r="I40" s="16">
        <f t="shared" si="2"/>
        <v>0</v>
      </c>
      <c r="J40" s="16"/>
    </row>
    <row r="41" spans="1:10" x14ac:dyDescent="0.25">
      <c r="A41" s="1" t="s">
        <v>48</v>
      </c>
      <c r="B41" s="1" t="s">
        <v>49</v>
      </c>
      <c r="C41" s="11"/>
      <c r="D41" s="11"/>
      <c r="E41" s="11"/>
      <c r="F41" s="11"/>
      <c r="G41" s="11">
        <f t="shared" si="0"/>
        <v>0</v>
      </c>
      <c r="H41" s="17">
        <f t="shared" si="1"/>
        <v>0</v>
      </c>
      <c r="I41" s="16">
        <f t="shared" si="2"/>
        <v>0</v>
      </c>
      <c r="J41" s="16">
        <f>ROUND(G41/65-1,2)</f>
        <v>-1</v>
      </c>
    </row>
    <row r="42" spans="1:10" x14ac:dyDescent="0.25">
      <c r="A42" s="1" t="s">
        <v>48</v>
      </c>
      <c r="B42" s="1" t="s">
        <v>50</v>
      </c>
      <c r="C42" s="11"/>
      <c r="D42" s="11"/>
      <c r="E42" s="11"/>
      <c r="F42" s="11"/>
      <c r="G42" s="11">
        <f t="shared" si="0"/>
        <v>0</v>
      </c>
      <c r="H42" s="17">
        <f t="shared" si="1"/>
        <v>0</v>
      </c>
      <c r="I42" s="16">
        <f t="shared" si="2"/>
        <v>0</v>
      </c>
      <c r="J42" s="16">
        <f>ROUND(G42/885-1,2)</f>
        <v>-1</v>
      </c>
    </row>
    <row r="43" spans="1:10" x14ac:dyDescent="0.25">
      <c r="A43" s="1" t="s">
        <v>48</v>
      </c>
      <c r="B43" s="1" t="s">
        <v>97</v>
      </c>
      <c r="C43" s="11"/>
      <c r="D43" s="11"/>
      <c r="E43" s="11"/>
      <c r="F43" s="11"/>
      <c r="G43" s="11">
        <f t="shared" si="0"/>
        <v>0</v>
      </c>
      <c r="H43" s="17">
        <f t="shared" si="1"/>
        <v>0</v>
      </c>
      <c r="I43" s="16">
        <f t="shared" si="2"/>
        <v>0</v>
      </c>
      <c r="J43" s="16"/>
    </row>
    <row r="44" spans="1:10" x14ac:dyDescent="0.25">
      <c r="A44" s="1" t="s">
        <v>48</v>
      </c>
      <c r="B44" s="1" t="s">
        <v>86</v>
      </c>
      <c r="C44" s="11"/>
      <c r="D44" s="11"/>
      <c r="E44" s="11"/>
      <c r="F44" s="11"/>
      <c r="G44" s="11">
        <f t="shared" si="0"/>
        <v>0</v>
      </c>
      <c r="H44" s="17">
        <f t="shared" si="1"/>
        <v>0</v>
      </c>
      <c r="I44" s="16">
        <f t="shared" si="2"/>
        <v>0</v>
      </c>
      <c r="J44" s="16"/>
    </row>
    <row r="45" spans="1:10" x14ac:dyDescent="0.25">
      <c r="A45" s="21" t="s">
        <v>12</v>
      </c>
      <c r="B45" s="21"/>
      <c r="C45" s="12">
        <f t="shared" ref="C45:H45" si="3">SUM(C8:C44)</f>
        <v>515720</v>
      </c>
      <c r="D45" s="12">
        <f t="shared" si="3"/>
        <v>451</v>
      </c>
      <c r="E45" s="12">
        <f t="shared" si="3"/>
        <v>212563</v>
      </c>
      <c r="F45" s="12">
        <f t="shared" si="3"/>
        <v>17200</v>
      </c>
      <c r="G45" s="12">
        <f t="shared" si="3"/>
        <v>745934</v>
      </c>
      <c r="H45" s="15">
        <f t="shared" si="3"/>
        <v>129.78</v>
      </c>
      <c r="I45" s="18"/>
      <c r="J45" s="18"/>
    </row>
    <row r="46" spans="1:10" x14ac:dyDescent="0.25">
      <c r="A46" s="21" t="s">
        <v>14</v>
      </c>
      <c r="B46" s="21"/>
      <c r="C46" s="13">
        <f>ROUND(C45/G45,2)</f>
        <v>0.69</v>
      </c>
      <c r="D46" s="13">
        <f>ROUND(D45/G45,2)</f>
        <v>0</v>
      </c>
      <c r="E46" s="13">
        <f>ROUND(E45/G45,2)</f>
        <v>0.28000000000000003</v>
      </c>
      <c r="F46" s="13">
        <f>ROUND(F45/G45,2)</f>
        <v>0.02</v>
      </c>
      <c r="G46" s="14"/>
      <c r="H46" s="14"/>
      <c r="I46" s="18"/>
      <c r="J46" s="18"/>
    </row>
    <row r="47" spans="1:10" x14ac:dyDescent="0.25">
      <c r="A47" s="2" t="s">
        <v>52</v>
      </c>
      <c r="B47" s="2"/>
      <c r="C47" s="14"/>
      <c r="D47" s="14"/>
      <c r="E47" s="14"/>
      <c r="F47" s="14"/>
      <c r="G47" s="14"/>
      <c r="H47" s="14"/>
      <c r="I47" s="18"/>
      <c r="J47" s="18"/>
    </row>
    <row r="48" spans="1:10" x14ac:dyDescent="0.25">
      <c r="C48" s="9"/>
      <c r="D48" s="9"/>
      <c r="E48" s="9"/>
      <c r="F48" s="9"/>
      <c r="G48" s="9"/>
      <c r="H48" s="9"/>
      <c r="I48" s="10"/>
      <c r="J48" s="10"/>
    </row>
    <row r="49" spans="1:10" x14ac:dyDescent="0.25">
      <c r="C49" s="9"/>
      <c r="D49" s="9"/>
      <c r="E49" s="9"/>
      <c r="F49" s="9"/>
      <c r="G49" s="9"/>
      <c r="H49" s="9"/>
      <c r="I49" s="10"/>
      <c r="J49" s="10"/>
    </row>
    <row r="50" spans="1:10" x14ac:dyDescent="0.25">
      <c r="C50" s="9"/>
      <c r="D50" s="9"/>
      <c r="E50" s="9"/>
      <c r="F50" s="9"/>
      <c r="G50" s="9"/>
      <c r="H50" s="9"/>
      <c r="I50" s="10"/>
      <c r="J50" s="10"/>
    </row>
    <row r="51" spans="1:10" x14ac:dyDescent="0.25">
      <c r="A51" s="21" t="s">
        <v>53</v>
      </c>
      <c r="B51" s="21"/>
      <c r="C51" s="12" t="s">
        <v>8</v>
      </c>
      <c r="D51" s="12" t="s">
        <v>9</v>
      </c>
      <c r="E51" s="12" t="s">
        <v>10</v>
      </c>
      <c r="F51" s="12" t="s">
        <v>11</v>
      </c>
      <c r="G51" s="12" t="s">
        <v>12</v>
      </c>
      <c r="H51" s="15" t="s">
        <v>13</v>
      </c>
      <c r="I51" s="18"/>
      <c r="J51" s="18"/>
    </row>
    <row r="52" spans="1:10" x14ac:dyDescent="0.25">
      <c r="A52" s="20" t="s">
        <v>54</v>
      </c>
      <c r="B52" s="20"/>
      <c r="C52" s="11">
        <v>352440</v>
      </c>
      <c r="D52" s="11">
        <v>451</v>
      </c>
      <c r="E52" s="11">
        <v>184983</v>
      </c>
      <c r="F52" s="11">
        <v>0</v>
      </c>
      <c r="G52" s="11">
        <f>SUM(C52:F52)</f>
        <v>537874</v>
      </c>
      <c r="H52" s="17">
        <f>ROUND(G52/5747,2)</f>
        <v>93.59</v>
      </c>
      <c r="I52" s="10"/>
      <c r="J52" s="10"/>
    </row>
    <row r="53" spans="1:10" x14ac:dyDescent="0.25">
      <c r="A53" s="20" t="s">
        <v>55</v>
      </c>
      <c r="B53" s="20"/>
      <c r="C53" s="11">
        <v>163280</v>
      </c>
      <c r="D53" s="11">
        <v>0</v>
      </c>
      <c r="E53" s="11">
        <v>27580</v>
      </c>
      <c r="F53" s="11">
        <v>17200</v>
      </c>
      <c r="G53" s="11">
        <f>SUM(C53:F53)</f>
        <v>208060</v>
      </c>
      <c r="H53" s="17">
        <f>ROUND(G53/5747,2)</f>
        <v>36.200000000000003</v>
      </c>
      <c r="I53" s="10"/>
      <c r="J53" s="10"/>
    </row>
    <row r="54" spans="1:10" x14ac:dyDescent="0.25">
      <c r="A54" s="20" t="s">
        <v>56</v>
      </c>
      <c r="B54" s="20"/>
      <c r="C54" s="11">
        <v>0</v>
      </c>
      <c r="D54" s="11">
        <v>0</v>
      </c>
      <c r="E54" s="11">
        <v>0</v>
      </c>
      <c r="F54" s="11">
        <v>0</v>
      </c>
      <c r="G54" s="11">
        <f>SUM(C54:F54)</f>
        <v>0</v>
      </c>
      <c r="H54" s="17">
        <f>ROUND(G54/5747,2)</f>
        <v>0</v>
      </c>
      <c r="I54" s="10"/>
      <c r="J54" s="10"/>
    </row>
    <row r="55" spans="1:10" x14ac:dyDescent="0.25">
      <c r="C55" s="9"/>
      <c r="D55" s="9"/>
      <c r="E55" s="9"/>
      <c r="F55" s="9"/>
      <c r="G55" s="9"/>
      <c r="H55" s="9"/>
      <c r="I55" s="10"/>
      <c r="J55" s="10"/>
    </row>
    <row r="56" spans="1:10" x14ac:dyDescent="0.25">
      <c r="C56" s="9"/>
      <c r="D56" s="9"/>
      <c r="E56" s="9"/>
      <c r="F56" s="9"/>
      <c r="G56" s="9"/>
      <c r="H56" s="9"/>
      <c r="I56" s="10"/>
      <c r="J56" s="10"/>
    </row>
    <row r="57" spans="1:10" x14ac:dyDescent="0.25">
      <c r="C57" s="9"/>
      <c r="D57" s="9"/>
      <c r="E57" s="9"/>
      <c r="F57" s="9"/>
      <c r="G57" s="9"/>
      <c r="H57" s="9"/>
      <c r="I57" s="10"/>
      <c r="J57" s="10"/>
    </row>
    <row r="58" spans="1:10" x14ac:dyDescent="0.25">
      <c r="C58" s="9"/>
      <c r="D58" s="9"/>
      <c r="E58" s="9"/>
      <c r="F58" s="9"/>
      <c r="G58" s="9"/>
      <c r="H58" s="9"/>
      <c r="I58" s="10"/>
      <c r="J58" s="10"/>
    </row>
    <row r="59" spans="1:10" x14ac:dyDescent="0.25">
      <c r="A59" s="21" t="s">
        <v>57</v>
      </c>
      <c r="B59" s="21"/>
      <c r="C59" s="15" t="s">
        <v>2</v>
      </c>
      <c r="D59" s="15">
        <v>2023</v>
      </c>
      <c r="E59" s="15" t="s">
        <v>59</v>
      </c>
      <c r="F59" s="14"/>
      <c r="G59" s="15" t="s">
        <v>60</v>
      </c>
      <c r="H59" s="15" t="s">
        <v>2</v>
      </c>
      <c r="I59" s="13" t="s">
        <v>61</v>
      </c>
      <c r="J59" s="13" t="s">
        <v>59</v>
      </c>
    </row>
    <row r="60" spans="1:10" x14ac:dyDescent="0.25">
      <c r="A60" s="20" t="s">
        <v>58</v>
      </c>
      <c r="B60" s="20"/>
      <c r="C60" s="16">
        <f>ROUND(0.7693, 4)</f>
        <v>0.76929999999999998</v>
      </c>
      <c r="D60" s="16">
        <f>ROUND(0.7791, 4)</f>
        <v>0.77910000000000001</v>
      </c>
      <c r="E60" s="16">
        <f>ROUND(0.777, 4)</f>
        <v>0.77700000000000002</v>
      </c>
      <c r="F60" s="9"/>
      <c r="G60" s="15" t="s">
        <v>62</v>
      </c>
      <c r="H60" s="22" t="s">
        <v>63</v>
      </c>
      <c r="I60" s="24" t="s">
        <v>64</v>
      </c>
      <c r="J60" s="24" t="s">
        <v>65</v>
      </c>
    </row>
    <row r="61" spans="1:10" x14ac:dyDescent="0.25">
      <c r="A61" s="20" t="s">
        <v>66</v>
      </c>
      <c r="B61" s="20"/>
      <c r="C61" s="16">
        <f>ROUND(0.759, 4)</f>
        <v>0.75900000000000001</v>
      </c>
      <c r="D61" s="16">
        <f>ROUND(0.7684, 4)</f>
        <v>0.76839999999999997</v>
      </c>
      <c r="E61" s="16">
        <f>ROUND(0.7608, 4)</f>
        <v>0.76080000000000003</v>
      </c>
      <c r="F61" s="9"/>
      <c r="G61" s="15" t="s">
        <v>67</v>
      </c>
      <c r="H61" s="23"/>
      <c r="I61" s="25"/>
      <c r="J61" s="25"/>
    </row>
    <row r="62" spans="1:10" x14ac:dyDescent="0.25">
      <c r="C62" s="9"/>
      <c r="D62" s="9"/>
      <c r="E62" s="9"/>
      <c r="F62" s="9"/>
      <c r="G62" s="9"/>
      <c r="H62" s="9"/>
      <c r="I62" s="10"/>
      <c r="J62" s="10"/>
    </row>
    <row r="63" spans="1:10" x14ac:dyDescent="0.25">
      <c r="C63" s="9"/>
      <c r="D63" s="9"/>
      <c r="E63" s="9"/>
      <c r="F63" s="9"/>
      <c r="G63" s="9"/>
      <c r="H63" s="9"/>
      <c r="I63" s="10"/>
      <c r="J63" s="10"/>
    </row>
    <row r="64" spans="1:10" x14ac:dyDescent="0.25">
      <c r="C64" s="9"/>
      <c r="D64" s="9"/>
      <c r="E64" s="9"/>
      <c r="F64" s="9"/>
      <c r="G64" s="9"/>
      <c r="H64" s="9"/>
      <c r="I64" s="10"/>
      <c r="J64" s="10"/>
    </row>
    <row r="65" spans="1:10" x14ac:dyDescent="0.25">
      <c r="A65" s="21" t="s">
        <v>68</v>
      </c>
      <c r="B65" s="21"/>
      <c r="C65" s="15" t="s">
        <v>2</v>
      </c>
      <c r="D65" s="15" t="s">
        <v>201</v>
      </c>
      <c r="E65" s="15" t="s">
        <v>70</v>
      </c>
      <c r="F65" s="15" t="s">
        <v>71</v>
      </c>
      <c r="G65" s="15" t="s">
        <v>72</v>
      </c>
      <c r="H65" s="14"/>
      <c r="I65" s="18"/>
      <c r="J65" s="18"/>
    </row>
    <row r="66" spans="1:10" x14ac:dyDescent="0.25">
      <c r="A66" s="20" t="s">
        <v>73</v>
      </c>
      <c r="B66" s="20"/>
      <c r="C66" s="17">
        <v>28.41</v>
      </c>
      <c r="D66" s="17">
        <v>71.430000000000007</v>
      </c>
      <c r="E66" s="17">
        <v>81.84</v>
      </c>
      <c r="F66" s="17">
        <v>48</v>
      </c>
      <c r="G66" s="17">
        <f>12/4*C66</f>
        <v>85.23</v>
      </c>
      <c r="H66" s="9"/>
      <c r="I66" s="10"/>
      <c r="J66" s="10"/>
    </row>
    <row r="67" spans="1:10" x14ac:dyDescent="0.25">
      <c r="A67" s="20" t="s">
        <v>74</v>
      </c>
      <c r="B67" s="20"/>
      <c r="C67" s="17">
        <v>24.89</v>
      </c>
      <c r="D67" s="17">
        <v>72.75</v>
      </c>
      <c r="E67" s="17">
        <v>55.63</v>
      </c>
      <c r="F67" s="17">
        <v>55.33</v>
      </c>
      <c r="G67" s="17">
        <f>12/4*C67</f>
        <v>74.67</v>
      </c>
      <c r="H67" s="9"/>
      <c r="I67" s="10"/>
      <c r="J67" s="10"/>
    </row>
    <row r="68" spans="1:10" x14ac:dyDescent="0.25">
      <c r="A68" s="20" t="s">
        <v>75</v>
      </c>
      <c r="B68" s="20"/>
      <c r="C68" s="17">
        <v>93.59</v>
      </c>
      <c r="D68" s="17">
        <v>276.79000000000002</v>
      </c>
      <c r="E68" s="17">
        <v>257.88</v>
      </c>
      <c r="F68" s="17">
        <v>242.78</v>
      </c>
      <c r="G68" s="17">
        <f>12/4*C68</f>
        <v>280.77</v>
      </c>
      <c r="H68" s="9"/>
      <c r="I68" s="10"/>
      <c r="J68" s="10"/>
    </row>
    <row r="69" spans="1:10" x14ac:dyDescent="0.25">
      <c r="A69" s="20" t="s">
        <v>76</v>
      </c>
      <c r="B69" s="20"/>
      <c r="C69" s="17">
        <v>36.200000000000003</v>
      </c>
      <c r="D69" s="17">
        <v>102.88</v>
      </c>
      <c r="E69" s="17">
        <v>103.14</v>
      </c>
      <c r="F69" s="17">
        <v>68.31</v>
      </c>
      <c r="G69" s="17">
        <f>12/4*C69</f>
        <v>108.60000000000001</v>
      </c>
      <c r="H69" s="9"/>
      <c r="I69" s="10"/>
      <c r="J69" s="10"/>
    </row>
    <row r="70" spans="1:10" x14ac:dyDescent="0.25">
      <c r="C70" s="9"/>
      <c r="D70" s="9"/>
      <c r="E70" s="9"/>
      <c r="F70" s="9"/>
      <c r="G70" s="9"/>
      <c r="H70" s="9"/>
      <c r="I70" s="10"/>
      <c r="J70" s="10"/>
    </row>
    <row r="71" spans="1:10" x14ac:dyDescent="0.25">
      <c r="C71" s="9"/>
      <c r="D71" s="9"/>
      <c r="E71" s="9"/>
      <c r="F71" s="9"/>
      <c r="G71" s="9"/>
      <c r="H71" s="9"/>
      <c r="I71" s="10"/>
      <c r="J71" s="10"/>
    </row>
    <row r="72" spans="1:10" x14ac:dyDescent="0.25">
      <c r="A72" s="19" t="s">
        <v>60</v>
      </c>
      <c r="B72" s="26"/>
      <c r="C72" s="9"/>
      <c r="D72" s="9"/>
      <c r="E72" s="9"/>
      <c r="F72" s="9"/>
      <c r="G72" s="9"/>
      <c r="H72" s="9"/>
      <c r="I72" s="10"/>
      <c r="J72" s="10"/>
    </row>
    <row r="73" spans="1:10" x14ac:dyDescent="0.25">
      <c r="A73" s="3" t="s">
        <v>77</v>
      </c>
      <c r="B73" s="1" t="s">
        <v>202</v>
      </c>
      <c r="C73" s="9"/>
      <c r="D73" s="9"/>
      <c r="E73" s="9"/>
      <c r="F73" s="9"/>
      <c r="G73" s="9"/>
      <c r="H73" s="9"/>
      <c r="I73" s="10"/>
      <c r="J73" s="10"/>
    </row>
    <row r="74" spans="1:10" x14ac:dyDescent="0.25">
      <c r="A74" s="3" t="s">
        <v>70</v>
      </c>
      <c r="B74" s="1" t="s">
        <v>79</v>
      </c>
      <c r="C74" s="9"/>
      <c r="D74" s="9"/>
      <c r="E74" s="9"/>
      <c r="F74" s="9"/>
      <c r="G74" s="9"/>
      <c r="H74" s="9"/>
      <c r="I74" s="10"/>
      <c r="J74" s="10"/>
    </row>
    <row r="75" spans="1:10" x14ac:dyDescent="0.25">
      <c r="A75" s="3" t="s">
        <v>71</v>
      </c>
      <c r="B75" s="1" t="s">
        <v>80</v>
      </c>
    </row>
    <row r="76" spans="1:10" x14ac:dyDescent="0.25">
      <c r="A76" s="3" t="s">
        <v>72</v>
      </c>
      <c r="B76" s="1" t="s">
        <v>81</v>
      </c>
    </row>
  </sheetData>
  <mergeCells count="19">
    <mergeCell ref="A67:B67"/>
    <mergeCell ref="A68:B68"/>
    <mergeCell ref="A69:B69"/>
    <mergeCell ref="A72:B72"/>
    <mergeCell ref="I60:I61"/>
    <mergeCell ref="J60:J61"/>
    <mergeCell ref="A61:B61"/>
    <mergeCell ref="A65:B65"/>
    <mergeCell ref="A66:B66"/>
    <mergeCell ref="A53:B53"/>
    <mergeCell ref="A54:B54"/>
    <mergeCell ref="A59:B59"/>
    <mergeCell ref="A60:B60"/>
    <mergeCell ref="H60:H61"/>
    <mergeCell ref="C7:G7"/>
    <mergeCell ref="A45:B45"/>
    <mergeCell ref="A46:B46"/>
    <mergeCell ref="A51:B51"/>
    <mergeCell ref="A52:B52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2:J74"/>
  <sheetViews>
    <sheetView workbookViewId="0">
      <selection activeCell="C9" sqref="C9:J68"/>
    </sheetView>
  </sheetViews>
  <sheetFormatPr defaultRowHeight="15" x14ac:dyDescent="0.25"/>
  <cols>
    <col min="1" max="1" width="38.85546875" bestFit="1" customWidth="1"/>
    <col min="2" max="2" width="79" bestFit="1" customWidth="1"/>
    <col min="3" max="3" width="14" bestFit="1" customWidth="1"/>
    <col min="4" max="4" width="28.140625" bestFit="1" customWidth="1"/>
    <col min="5" max="5" width="16.42578125" bestFit="1" customWidth="1"/>
    <col min="6" max="6" width="10.5703125" bestFit="1" customWidth="1"/>
    <col min="7" max="7" width="68.28515625" bestFit="1" customWidth="1"/>
    <col min="8" max="9" width="20" bestFit="1" customWidth="1"/>
    <col min="10" max="10" width="30.5703125" bestFit="1" customWidth="1"/>
  </cols>
  <sheetData>
    <row r="2" spans="1:10" ht="18.75" x14ac:dyDescent="0.3">
      <c r="A2" s="3" t="s">
        <v>0</v>
      </c>
      <c r="B2" s="4" t="s">
        <v>203</v>
      </c>
    </row>
    <row r="3" spans="1:10" x14ac:dyDescent="0.25">
      <c r="A3" s="3" t="s">
        <v>2</v>
      </c>
      <c r="B3" s="1" t="s">
        <v>3</v>
      </c>
    </row>
    <row r="4" spans="1:10" x14ac:dyDescent="0.25">
      <c r="A4" s="3" t="s">
        <v>4</v>
      </c>
      <c r="B4" s="1">
        <v>6862</v>
      </c>
    </row>
    <row r="7" spans="1:10" x14ac:dyDescent="0.25">
      <c r="C7" s="19" t="s">
        <v>5</v>
      </c>
      <c r="D7" s="20"/>
      <c r="E7" s="20"/>
      <c r="F7" s="20"/>
      <c r="G7" s="20"/>
    </row>
    <row r="8" spans="1:10" x14ac:dyDescent="0.25">
      <c r="A8" s="3" t="s">
        <v>6</v>
      </c>
      <c r="B8" s="3" t="s">
        <v>7</v>
      </c>
      <c r="C8" s="3" t="s">
        <v>8</v>
      </c>
      <c r="D8" s="3" t="s">
        <v>9</v>
      </c>
      <c r="E8" s="3" t="s">
        <v>10</v>
      </c>
      <c r="F8" s="3" t="s">
        <v>11</v>
      </c>
      <c r="G8" s="3" t="s">
        <v>12</v>
      </c>
      <c r="H8" s="3" t="s">
        <v>13</v>
      </c>
      <c r="I8" s="3" t="s">
        <v>14</v>
      </c>
      <c r="J8" s="3" t="s">
        <v>15</v>
      </c>
    </row>
    <row r="9" spans="1:10" x14ac:dyDescent="0.25">
      <c r="A9" s="1" t="s">
        <v>16</v>
      </c>
      <c r="B9" s="1" t="s">
        <v>17</v>
      </c>
      <c r="C9" s="11"/>
      <c r="D9" s="11"/>
      <c r="E9" s="11">
        <v>83</v>
      </c>
      <c r="F9" s="11"/>
      <c r="G9" s="11">
        <f t="shared" ref="G9:G42" si="0">SUM(C9:F9)</f>
        <v>83</v>
      </c>
      <c r="H9" s="17">
        <f t="shared" ref="H9:H42" si="1">ROUND(G9/6862,2)</f>
        <v>0.01</v>
      </c>
      <c r="I9" s="16">
        <f t="shared" ref="I9:I42" si="2">ROUND(G9/$G$43,3)</f>
        <v>0</v>
      </c>
      <c r="J9" s="16">
        <f>ROUND(G9/70-1,2)</f>
        <v>0.19</v>
      </c>
    </row>
    <row r="10" spans="1:10" x14ac:dyDescent="0.25">
      <c r="A10" s="1" t="s">
        <v>16</v>
      </c>
      <c r="B10" s="1" t="s">
        <v>19</v>
      </c>
      <c r="C10" s="11">
        <v>58350</v>
      </c>
      <c r="D10" s="11"/>
      <c r="E10" s="11">
        <v>4960</v>
      </c>
      <c r="F10" s="11">
        <v>150</v>
      </c>
      <c r="G10" s="11">
        <f t="shared" si="0"/>
        <v>63460</v>
      </c>
      <c r="H10" s="17">
        <f t="shared" si="1"/>
        <v>9.25</v>
      </c>
      <c r="I10" s="16">
        <f t="shared" si="2"/>
        <v>6.9000000000000006E-2</v>
      </c>
      <c r="J10" s="16">
        <f>ROUND(G10/61020-1,2)</f>
        <v>0.04</v>
      </c>
    </row>
    <row r="11" spans="1:10" x14ac:dyDescent="0.25">
      <c r="A11" s="1" t="s">
        <v>16</v>
      </c>
      <c r="B11" s="1" t="s">
        <v>20</v>
      </c>
      <c r="C11" s="11">
        <v>81370</v>
      </c>
      <c r="D11" s="11"/>
      <c r="E11" s="11"/>
      <c r="F11" s="11"/>
      <c r="G11" s="11">
        <f t="shared" si="0"/>
        <v>81370</v>
      </c>
      <c r="H11" s="17">
        <f t="shared" si="1"/>
        <v>11.86</v>
      </c>
      <c r="I11" s="16">
        <f t="shared" si="2"/>
        <v>8.7999999999999995E-2</v>
      </c>
      <c r="J11" s="16">
        <f>ROUND(G11/82690-1,2)</f>
        <v>-0.02</v>
      </c>
    </row>
    <row r="12" spans="1:10" x14ac:dyDescent="0.25">
      <c r="A12" s="1" t="s">
        <v>16</v>
      </c>
      <c r="B12" s="1" t="s">
        <v>94</v>
      </c>
      <c r="C12" s="11"/>
      <c r="D12" s="11"/>
      <c r="E12" s="11">
        <v>23</v>
      </c>
      <c r="F12" s="11"/>
      <c r="G12" s="11">
        <f t="shared" si="0"/>
        <v>23</v>
      </c>
      <c r="H12" s="17">
        <f t="shared" si="1"/>
        <v>0</v>
      </c>
      <c r="I12" s="16">
        <f t="shared" si="2"/>
        <v>0</v>
      </c>
      <c r="J12" s="16">
        <f>ROUND(G12/74-1,2)</f>
        <v>-0.69</v>
      </c>
    </row>
    <row r="13" spans="1:10" x14ac:dyDescent="0.25">
      <c r="A13" s="1" t="s">
        <v>16</v>
      </c>
      <c r="B13" s="1" t="s">
        <v>21</v>
      </c>
      <c r="C13" s="11"/>
      <c r="D13" s="11"/>
      <c r="E13" s="11">
        <v>49</v>
      </c>
      <c r="F13" s="11"/>
      <c r="G13" s="11">
        <f t="shared" si="0"/>
        <v>49</v>
      </c>
      <c r="H13" s="17">
        <f t="shared" si="1"/>
        <v>0.01</v>
      </c>
      <c r="I13" s="16">
        <f t="shared" si="2"/>
        <v>0</v>
      </c>
      <c r="J13" s="16">
        <f>ROUND(G13/193-1,2)</f>
        <v>-0.75</v>
      </c>
    </row>
    <row r="14" spans="1:10" x14ac:dyDescent="0.25">
      <c r="A14" s="1" t="s">
        <v>16</v>
      </c>
      <c r="B14" s="1" t="s">
        <v>22</v>
      </c>
      <c r="C14" s="11"/>
      <c r="D14" s="11"/>
      <c r="E14" s="11">
        <v>1100</v>
      </c>
      <c r="F14" s="11"/>
      <c r="G14" s="11">
        <f t="shared" si="0"/>
        <v>1100</v>
      </c>
      <c r="H14" s="17">
        <f t="shared" si="1"/>
        <v>0.16</v>
      </c>
      <c r="I14" s="16">
        <f t="shared" si="2"/>
        <v>1E-3</v>
      </c>
      <c r="J14" s="16">
        <f>ROUND(G14/1160-1,2)</f>
        <v>-0.05</v>
      </c>
    </row>
    <row r="15" spans="1:10" x14ac:dyDescent="0.25">
      <c r="A15" s="1" t="s">
        <v>16</v>
      </c>
      <c r="B15" s="1" t="s">
        <v>23</v>
      </c>
      <c r="C15" s="11"/>
      <c r="D15" s="11"/>
      <c r="E15" s="11">
        <v>58000</v>
      </c>
      <c r="F15" s="11"/>
      <c r="G15" s="11">
        <f t="shared" si="0"/>
        <v>58000</v>
      </c>
      <c r="H15" s="17">
        <f t="shared" si="1"/>
        <v>8.4499999999999993</v>
      </c>
      <c r="I15" s="16">
        <f t="shared" si="2"/>
        <v>6.3E-2</v>
      </c>
      <c r="J15" s="16">
        <f>ROUND(G15/46780-1,2)</f>
        <v>0.24</v>
      </c>
    </row>
    <row r="16" spans="1:10" x14ac:dyDescent="0.25">
      <c r="A16" s="1" t="s">
        <v>16</v>
      </c>
      <c r="B16" s="1" t="s">
        <v>24</v>
      </c>
      <c r="C16" s="11">
        <v>98260</v>
      </c>
      <c r="D16" s="11"/>
      <c r="E16" s="11">
        <v>23000</v>
      </c>
      <c r="F16" s="11">
        <v>3540</v>
      </c>
      <c r="G16" s="11">
        <f t="shared" si="0"/>
        <v>124800</v>
      </c>
      <c r="H16" s="17">
        <f t="shared" si="1"/>
        <v>18.190000000000001</v>
      </c>
      <c r="I16" s="16">
        <f t="shared" si="2"/>
        <v>0.13500000000000001</v>
      </c>
      <c r="J16" s="16">
        <f>ROUND(G16/123440-1,2)</f>
        <v>0.01</v>
      </c>
    </row>
    <row r="17" spans="1:10" x14ac:dyDescent="0.25">
      <c r="A17" s="1" t="s">
        <v>16</v>
      </c>
      <c r="B17" s="1" t="s">
        <v>25</v>
      </c>
      <c r="C17" s="11"/>
      <c r="D17" s="11"/>
      <c r="E17" s="11">
        <v>4610</v>
      </c>
      <c r="F17" s="11"/>
      <c r="G17" s="11">
        <f t="shared" si="0"/>
        <v>4610</v>
      </c>
      <c r="H17" s="17">
        <f t="shared" si="1"/>
        <v>0.67</v>
      </c>
      <c r="I17" s="16">
        <f t="shared" si="2"/>
        <v>5.0000000000000001E-3</v>
      </c>
      <c r="J17" s="16">
        <f>ROUND(G17/4250-1,2)</f>
        <v>0.08</v>
      </c>
    </row>
    <row r="18" spans="1:10" x14ac:dyDescent="0.25">
      <c r="A18" s="1" t="s">
        <v>16</v>
      </c>
      <c r="B18" s="1" t="s">
        <v>26</v>
      </c>
      <c r="C18" s="11">
        <v>145660</v>
      </c>
      <c r="D18" s="11"/>
      <c r="E18" s="11"/>
      <c r="F18" s="11">
        <v>380</v>
      </c>
      <c r="G18" s="11">
        <f t="shared" si="0"/>
        <v>146040</v>
      </c>
      <c r="H18" s="17">
        <f t="shared" si="1"/>
        <v>21.28</v>
      </c>
      <c r="I18" s="16">
        <f t="shared" si="2"/>
        <v>0.158</v>
      </c>
      <c r="J18" s="16">
        <f>ROUND(G18/144420-1,2)</f>
        <v>0.01</v>
      </c>
    </row>
    <row r="19" spans="1:10" x14ac:dyDescent="0.25">
      <c r="A19" s="1" t="s">
        <v>16</v>
      </c>
      <c r="B19" s="1" t="s">
        <v>27</v>
      </c>
      <c r="C19" s="11"/>
      <c r="D19" s="11"/>
      <c r="E19" s="11">
        <v>6352</v>
      </c>
      <c r="F19" s="11"/>
      <c r="G19" s="11">
        <f t="shared" si="0"/>
        <v>6352</v>
      </c>
      <c r="H19" s="17">
        <f t="shared" si="1"/>
        <v>0.93</v>
      </c>
      <c r="I19" s="16">
        <f t="shared" si="2"/>
        <v>7.0000000000000001E-3</v>
      </c>
      <c r="J19" s="16">
        <f>ROUND(G19/1041-1,2)</f>
        <v>5.0999999999999996</v>
      </c>
    </row>
    <row r="20" spans="1:10" x14ac:dyDescent="0.25">
      <c r="A20" s="1" t="s">
        <v>16</v>
      </c>
      <c r="B20" s="1" t="s">
        <v>28</v>
      </c>
      <c r="C20" s="11"/>
      <c r="D20" s="11"/>
      <c r="E20" s="11">
        <v>479</v>
      </c>
      <c r="F20" s="11"/>
      <c r="G20" s="11">
        <f t="shared" si="0"/>
        <v>479</v>
      </c>
      <c r="H20" s="17">
        <f t="shared" si="1"/>
        <v>7.0000000000000007E-2</v>
      </c>
      <c r="I20" s="16">
        <f t="shared" si="2"/>
        <v>1E-3</v>
      </c>
      <c r="J20" s="16">
        <f>ROUND(G20/685-1,2)</f>
        <v>-0.3</v>
      </c>
    </row>
    <row r="21" spans="1:10" x14ac:dyDescent="0.25">
      <c r="A21" s="1" t="s">
        <v>16</v>
      </c>
      <c r="B21" s="1" t="s">
        <v>29</v>
      </c>
      <c r="C21" s="11"/>
      <c r="D21" s="11"/>
      <c r="E21" s="11">
        <v>1390</v>
      </c>
      <c r="F21" s="11"/>
      <c r="G21" s="11">
        <f t="shared" si="0"/>
        <v>1390</v>
      </c>
      <c r="H21" s="17">
        <f t="shared" si="1"/>
        <v>0.2</v>
      </c>
      <c r="I21" s="16">
        <f t="shared" si="2"/>
        <v>2E-3</v>
      </c>
      <c r="J21" s="16">
        <f>ROUND(G21/920-1,2)</f>
        <v>0.51</v>
      </c>
    </row>
    <row r="22" spans="1:10" x14ac:dyDescent="0.25">
      <c r="A22" s="1" t="s">
        <v>16</v>
      </c>
      <c r="B22" s="1" t="s">
        <v>30</v>
      </c>
      <c r="C22" s="11"/>
      <c r="D22" s="11"/>
      <c r="E22" s="11">
        <v>610</v>
      </c>
      <c r="F22" s="11"/>
      <c r="G22" s="11">
        <f t="shared" si="0"/>
        <v>610</v>
      </c>
      <c r="H22" s="17">
        <f t="shared" si="1"/>
        <v>0.09</v>
      </c>
      <c r="I22" s="16">
        <f t="shared" si="2"/>
        <v>1E-3</v>
      </c>
      <c r="J22" s="16">
        <f>ROUND(G22/200-1,2)</f>
        <v>2.0499999999999998</v>
      </c>
    </row>
    <row r="23" spans="1:10" x14ac:dyDescent="0.25">
      <c r="A23" s="1" t="s">
        <v>16</v>
      </c>
      <c r="B23" s="1" t="s">
        <v>31</v>
      </c>
      <c r="C23" s="11"/>
      <c r="D23" s="11"/>
      <c r="E23" s="11">
        <v>1050</v>
      </c>
      <c r="F23" s="11"/>
      <c r="G23" s="11">
        <f t="shared" si="0"/>
        <v>1050</v>
      </c>
      <c r="H23" s="17">
        <f t="shared" si="1"/>
        <v>0.15</v>
      </c>
      <c r="I23" s="16">
        <f t="shared" si="2"/>
        <v>1E-3</v>
      </c>
      <c r="J23" s="16">
        <f>ROUND(G23/1275-1,2)</f>
        <v>-0.18</v>
      </c>
    </row>
    <row r="24" spans="1:10" x14ac:dyDescent="0.25">
      <c r="A24" s="1" t="s">
        <v>16</v>
      </c>
      <c r="B24" s="1" t="s">
        <v>32</v>
      </c>
      <c r="C24" s="11"/>
      <c r="D24" s="11">
        <v>278</v>
      </c>
      <c r="E24" s="11"/>
      <c r="F24" s="11"/>
      <c r="G24" s="11">
        <f t="shared" si="0"/>
        <v>278</v>
      </c>
      <c r="H24" s="17">
        <f t="shared" si="1"/>
        <v>0.04</v>
      </c>
      <c r="I24" s="16">
        <f t="shared" si="2"/>
        <v>0</v>
      </c>
      <c r="J24" s="16">
        <f>ROUND(G24/228-1,2)</f>
        <v>0.22</v>
      </c>
    </row>
    <row r="25" spans="1:10" x14ac:dyDescent="0.25">
      <c r="A25" s="1" t="s">
        <v>16</v>
      </c>
      <c r="B25" s="1" t="s">
        <v>34</v>
      </c>
      <c r="C25" s="11"/>
      <c r="D25" s="11"/>
      <c r="E25" s="11">
        <v>570</v>
      </c>
      <c r="F25" s="11"/>
      <c r="G25" s="11">
        <f t="shared" si="0"/>
        <v>570</v>
      </c>
      <c r="H25" s="17">
        <f t="shared" si="1"/>
        <v>0.08</v>
      </c>
      <c r="I25" s="16">
        <f t="shared" si="2"/>
        <v>1E-3</v>
      </c>
      <c r="J25" s="16">
        <f>ROUND(G25/634-1,2)</f>
        <v>-0.1</v>
      </c>
    </row>
    <row r="26" spans="1:10" x14ac:dyDescent="0.25">
      <c r="A26" s="1" t="s">
        <v>16</v>
      </c>
      <c r="B26" s="1" t="s">
        <v>35</v>
      </c>
      <c r="C26" s="11"/>
      <c r="D26" s="11"/>
      <c r="E26" s="11">
        <v>67160</v>
      </c>
      <c r="F26" s="11"/>
      <c r="G26" s="11">
        <f t="shared" si="0"/>
        <v>67160</v>
      </c>
      <c r="H26" s="17">
        <f t="shared" si="1"/>
        <v>9.7899999999999991</v>
      </c>
      <c r="I26" s="16">
        <f t="shared" si="2"/>
        <v>7.2999999999999995E-2</v>
      </c>
      <c r="J26" s="16">
        <f>ROUND(G26/57870-1,2)</f>
        <v>0.16</v>
      </c>
    </row>
    <row r="27" spans="1:10" x14ac:dyDescent="0.25">
      <c r="A27" s="1" t="s">
        <v>16</v>
      </c>
      <c r="B27" s="1" t="s">
        <v>36</v>
      </c>
      <c r="C27" s="11"/>
      <c r="D27" s="11"/>
      <c r="E27" s="11">
        <v>1920</v>
      </c>
      <c r="F27" s="11"/>
      <c r="G27" s="11">
        <f t="shared" si="0"/>
        <v>1920</v>
      </c>
      <c r="H27" s="17">
        <f t="shared" si="1"/>
        <v>0.28000000000000003</v>
      </c>
      <c r="I27" s="16">
        <f t="shared" si="2"/>
        <v>2E-3</v>
      </c>
      <c r="J27" s="16">
        <f>ROUND(G27/3675-1,2)</f>
        <v>-0.48</v>
      </c>
    </row>
    <row r="28" spans="1:10" x14ac:dyDescent="0.25">
      <c r="A28" s="1" t="s">
        <v>16</v>
      </c>
      <c r="B28" s="1" t="s">
        <v>37</v>
      </c>
      <c r="C28" s="11"/>
      <c r="D28" s="11"/>
      <c r="E28" s="11">
        <v>15110</v>
      </c>
      <c r="F28" s="11"/>
      <c r="G28" s="11">
        <f t="shared" si="0"/>
        <v>15110</v>
      </c>
      <c r="H28" s="17">
        <f t="shared" si="1"/>
        <v>2.2000000000000002</v>
      </c>
      <c r="I28" s="16">
        <f t="shared" si="2"/>
        <v>1.6E-2</v>
      </c>
      <c r="J28" s="16">
        <f>ROUND(G28/13660-1,2)</f>
        <v>0.11</v>
      </c>
    </row>
    <row r="29" spans="1:10" x14ac:dyDescent="0.25">
      <c r="A29" s="1" t="s">
        <v>16</v>
      </c>
      <c r="B29" s="1" t="s">
        <v>38</v>
      </c>
      <c r="C29" s="11"/>
      <c r="D29" s="11"/>
      <c r="E29" s="11">
        <v>113820</v>
      </c>
      <c r="F29" s="11">
        <v>4400</v>
      </c>
      <c r="G29" s="11">
        <f t="shared" si="0"/>
        <v>118220</v>
      </c>
      <c r="H29" s="17">
        <f t="shared" si="1"/>
        <v>17.23</v>
      </c>
      <c r="I29" s="16">
        <f t="shared" si="2"/>
        <v>0.128</v>
      </c>
      <c r="J29" s="16">
        <f>ROUND(G29/70800-1,2)</f>
        <v>0.67</v>
      </c>
    </row>
    <row r="30" spans="1:10" x14ac:dyDescent="0.25">
      <c r="A30" s="1" t="s">
        <v>16</v>
      </c>
      <c r="B30" s="1" t="s">
        <v>39</v>
      </c>
      <c r="C30" s="11"/>
      <c r="D30" s="11"/>
      <c r="E30" s="11"/>
      <c r="F30" s="11"/>
      <c r="G30" s="11">
        <f t="shared" si="0"/>
        <v>0</v>
      </c>
      <c r="H30" s="17">
        <f t="shared" si="1"/>
        <v>0</v>
      </c>
      <c r="I30" s="16">
        <f t="shared" si="2"/>
        <v>0</v>
      </c>
      <c r="J30" s="16">
        <f>ROUND(G30/119-1,2)</f>
        <v>-1</v>
      </c>
    </row>
    <row r="31" spans="1:10" x14ac:dyDescent="0.25">
      <c r="A31" s="1" t="s">
        <v>16</v>
      </c>
      <c r="B31" s="1" t="s">
        <v>40</v>
      </c>
      <c r="C31" s="11"/>
      <c r="D31" s="11"/>
      <c r="E31" s="11"/>
      <c r="F31" s="11"/>
      <c r="G31" s="11">
        <f t="shared" si="0"/>
        <v>0</v>
      </c>
      <c r="H31" s="17">
        <f t="shared" si="1"/>
        <v>0</v>
      </c>
      <c r="I31" s="16">
        <f t="shared" si="2"/>
        <v>0</v>
      </c>
      <c r="J31" s="16">
        <f>ROUND(G31/2580-1,2)</f>
        <v>-1</v>
      </c>
    </row>
    <row r="32" spans="1:10" x14ac:dyDescent="0.25">
      <c r="A32" s="1" t="s">
        <v>16</v>
      </c>
      <c r="B32" s="1" t="s">
        <v>41</v>
      </c>
      <c r="C32" s="11"/>
      <c r="D32" s="11"/>
      <c r="E32" s="11"/>
      <c r="F32" s="11"/>
      <c r="G32" s="11">
        <f t="shared" si="0"/>
        <v>0</v>
      </c>
      <c r="H32" s="17">
        <f t="shared" si="1"/>
        <v>0</v>
      </c>
      <c r="I32" s="16">
        <f t="shared" si="2"/>
        <v>0</v>
      </c>
      <c r="J32" s="16">
        <f>ROUND(G32/2733-1,2)</f>
        <v>-1</v>
      </c>
    </row>
    <row r="33" spans="1:10" x14ac:dyDescent="0.25">
      <c r="A33" s="1" t="s">
        <v>16</v>
      </c>
      <c r="B33" s="1" t="s">
        <v>43</v>
      </c>
      <c r="C33" s="11"/>
      <c r="D33" s="11"/>
      <c r="E33" s="11"/>
      <c r="F33" s="11"/>
      <c r="G33" s="11">
        <f t="shared" si="0"/>
        <v>0</v>
      </c>
      <c r="H33" s="17">
        <f t="shared" si="1"/>
        <v>0</v>
      </c>
      <c r="I33" s="16">
        <f t="shared" si="2"/>
        <v>0</v>
      </c>
      <c r="J33" s="16">
        <f>ROUND(G33/3445-1,2)</f>
        <v>-1</v>
      </c>
    </row>
    <row r="34" spans="1:10" x14ac:dyDescent="0.25">
      <c r="A34" s="1" t="s">
        <v>16</v>
      </c>
      <c r="B34" s="1" t="s">
        <v>42</v>
      </c>
      <c r="C34" s="11"/>
      <c r="D34" s="11"/>
      <c r="E34" s="11"/>
      <c r="F34" s="11"/>
      <c r="G34" s="11">
        <f t="shared" si="0"/>
        <v>0</v>
      </c>
      <c r="H34" s="17">
        <f t="shared" si="1"/>
        <v>0</v>
      </c>
      <c r="I34" s="16">
        <f t="shared" si="2"/>
        <v>0</v>
      </c>
      <c r="J34" s="16">
        <f>ROUND(G34/5510-1,2)</f>
        <v>-1</v>
      </c>
    </row>
    <row r="35" spans="1:10" x14ac:dyDescent="0.25">
      <c r="A35" s="1" t="s">
        <v>16</v>
      </c>
      <c r="B35" s="1" t="s">
        <v>33</v>
      </c>
      <c r="C35" s="11"/>
      <c r="D35" s="11"/>
      <c r="E35" s="11"/>
      <c r="F35" s="11"/>
      <c r="G35" s="11">
        <f t="shared" si="0"/>
        <v>0</v>
      </c>
      <c r="H35" s="17">
        <f t="shared" si="1"/>
        <v>0</v>
      </c>
      <c r="I35" s="16">
        <f t="shared" si="2"/>
        <v>0</v>
      </c>
      <c r="J35" s="16"/>
    </row>
    <row r="36" spans="1:10" x14ac:dyDescent="0.25">
      <c r="A36" s="1" t="s">
        <v>44</v>
      </c>
      <c r="B36" s="1" t="s">
        <v>45</v>
      </c>
      <c r="C36" s="11">
        <v>151440</v>
      </c>
      <c r="D36" s="11"/>
      <c r="E36" s="11"/>
      <c r="F36" s="11"/>
      <c r="G36" s="11">
        <f t="shared" si="0"/>
        <v>151440</v>
      </c>
      <c r="H36" s="17">
        <f t="shared" si="1"/>
        <v>22.07</v>
      </c>
      <c r="I36" s="16">
        <f t="shared" si="2"/>
        <v>0.16400000000000001</v>
      </c>
      <c r="J36" s="16">
        <f>ROUND(G36/142770-1,2)</f>
        <v>0.06</v>
      </c>
    </row>
    <row r="37" spans="1:10" x14ac:dyDescent="0.25">
      <c r="A37" s="1" t="s">
        <v>44</v>
      </c>
      <c r="B37" s="1" t="s">
        <v>47</v>
      </c>
      <c r="C37" s="11"/>
      <c r="D37" s="11"/>
      <c r="E37" s="11"/>
      <c r="F37" s="11">
        <v>28580</v>
      </c>
      <c r="G37" s="11">
        <f t="shared" si="0"/>
        <v>28580</v>
      </c>
      <c r="H37" s="17">
        <f t="shared" si="1"/>
        <v>4.16</v>
      </c>
      <c r="I37" s="16">
        <f t="shared" si="2"/>
        <v>3.1E-2</v>
      </c>
      <c r="J37" s="16">
        <f>ROUND(G37/13600-1,2)</f>
        <v>1.1000000000000001</v>
      </c>
    </row>
    <row r="38" spans="1:10" x14ac:dyDescent="0.25">
      <c r="A38" s="1" t="s">
        <v>44</v>
      </c>
      <c r="B38" s="1" t="s">
        <v>46</v>
      </c>
      <c r="C38" s="11"/>
      <c r="D38" s="11"/>
      <c r="E38" s="11">
        <v>53450</v>
      </c>
      <c r="F38" s="11"/>
      <c r="G38" s="11">
        <f t="shared" si="0"/>
        <v>53450</v>
      </c>
      <c r="H38" s="17">
        <f t="shared" si="1"/>
        <v>7.79</v>
      </c>
      <c r="I38" s="16">
        <f t="shared" si="2"/>
        <v>5.8000000000000003E-2</v>
      </c>
      <c r="J38" s="16">
        <f>ROUND(G38/44060-1,2)</f>
        <v>0.21</v>
      </c>
    </row>
    <row r="39" spans="1:10" x14ac:dyDescent="0.25">
      <c r="A39" s="1" t="s">
        <v>48</v>
      </c>
      <c r="B39" s="1" t="s">
        <v>51</v>
      </c>
      <c r="C39" s="11"/>
      <c r="D39" s="11"/>
      <c r="E39" s="11"/>
      <c r="F39" s="11"/>
      <c r="G39" s="11">
        <f t="shared" si="0"/>
        <v>0</v>
      </c>
      <c r="H39" s="17">
        <f t="shared" si="1"/>
        <v>0</v>
      </c>
      <c r="I39" s="16">
        <f t="shared" si="2"/>
        <v>0</v>
      </c>
      <c r="J39" s="16"/>
    </row>
    <row r="40" spans="1:10" x14ac:dyDescent="0.25">
      <c r="A40" s="1" t="s">
        <v>48</v>
      </c>
      <c r="B40" s="1" t="s">
        <v>49</v>
      </c>
      <c r="C40" s="11"/>
      <c r="D40" s="11"/>
      <c r="E40" s="11"/>
      <c r="F40" s="11"/>
      <c r="G40" s="11">
        <f t="shared" si="0"/>
        <v>0</v>
      </c>
      <c r="H40" s="17">
        <f t="shared" si="1"/>
        <v>0</v>
      </c>
      <c r="I40" s="16">
        <f t="shared" si="2"/>
        <v>0</v>
      </c>
      <c r="J40" s="16">
        <f>ROUND(G40/20-1,2)</f>
        <v>-1</v>
      </c>
    </row>
    <row r="41" spans="1:10" x14ac:dyDescent="0.25">
      <c r="A41" s="1" t="s">
        <v>48</v>
      </c>
      <c r="B41" s="1" t="s">
        <v>50</v>
      </c>
      <c r="C41" s="11"/>
      <c r="D41" s="11"/>
      <c r="E41" s="11"/>
      <c r="F41" s="11"/>
      <c r="G41" s="11">
        <f t="shared" si="0"/>
        <v>0</v>
      </c>
      <c r="H41" s="17">
        <f t="shared" si="1"/>
        <v>0</v>
      </c>
      <c r="I41" s="16">
        <f t="shared" si="2"/>
        <v>0</v>
      </c>
      <c r="J41" s="16"/>
    </row>
    <row r="42" spans="1:10" x14ac:dyDescent="0.25">
      <c r="A42" s="1" t="s">
        <v>48</v>
      </c>
      <c r="B42" s="1" t="s">
        <v>86</v>
      </c>
      <c r="C42" s="11"/>
      <c r="D42" s="11"/>
      <c r="E42" s="11"/>
      <c r="F42" s="11"/>
      <c r="G42" s="11">
        <f t="shared" si="0"/>
        <v>0</v>
      </c>
      <c r="H42" s="17">
        <f t="shared" si="1"/>
        <v>0</v>
      </c>
      <c r="I42" s="16">
        <f t="shared" si="2"/>
        <v>0</v>
      </c>
      <c r="J42" s="16"/>
    </row>
    <row r="43" spans="1:10" x14ac:dyDescent="0.25">
      <c r="A43" s="21" t="s">
        <v>12</v>
      </c>
      <c r="B43" s="21"/>
      <c r="C43" s="12">
        <f t="shared" ref="C43:H43" si="3">SUM(C8:C42)</f>
        <v>535080</v>
      </c>
      <c r="D43" s="12">
        <f t="shared" si="3"/>
        <v>278</v>
      </c>
      <c r="E43" s="12">
        <f t="shared" si="3"/>
        <v>353736</v>
      </c>
      <c r="F43" s="12">
        <f t="shared" si="3"/>
        <v>37050</v>
      </c>
      <c r="G43" s="12">
        <f t="shared" si="3"/>
        <v>926144</v>
      </c>
      <c r="H43" s="15">
        <f t="shared" si="3"/>
        <v>134.96</v>
      </c>
      <c r="I43" s="18"/>
      <c r="J43" s="18"/>
    </row>
    <row r="44" spans="1:10" x14ac:dyDescent="0.25">
      <c r="A44" s="21" t="s">
        <v>14</v>
      </c>
      <c r="B44" s="21"/>
      <c r="C44" s="13">
        <f>ROUND(C43/G43,2)</f>
        <v>0.57999999999999996</v>
      </c>
      <c r="D44" s="13">
        <f>ROUND(D43/G43,2)</f>
        <v>0</v>
      </c>
      <c r="E44" s="13">
        <f>ROUND(E43/G43,2)</f>
        <v>0.38</v>
      </c>
      <c r="F44" s="13">
        <f>ROUND(F43/G43,2)</f>
        <v>0.04</v>
      </c>
      <c r="G44" s="14"/>
      <c r="H44" s="14"/>
      <c r="I44" s="18"/>
      <c r="J44" s="18"/>
    </row>
    <row r="45" spans="1:10" x14ac:dyDescent="0.25">
      <c r="A45" s="2" t="s">
        <v>52</v>
      </c>
      <c r="B45" s="2"/>
      <c r="C45" s="14"/>
      <c r="D45" s="14"/>
      <c r="E45" s="14"/>
      <c r="F45" s="14"/>
      <c r="G45" s="14"/>
      <c r="H45" s="14"/>
      <c r="I45" s="18"/>
      <c r="J45" s="18"/>
    </row>
    <row r="46" spans="1:10" x14ac:dyDescent="0.25">
      <c r="C46" s="9"/>
      <c r="D46" s="9"/>
      <c r="E46" s="9"/>
      <c r="F46" s="9"/>
      <c r="G46" s="9"/>
      <c r="H46" s="9"/>
      <c r="I46" s="10"/>
      <c r="J46" s="10"/>
    </row>
    <row r="47" spans="1:10" x14ac:dyDescent="0.25">
      <c r="C47" s="9"/>
      <c r="D47" s="9"/>
      <c r="E47" s="9"/>
      <c r="F47" s="9"/>
      <c r="G47" s="9"/>
      <c r="H47" s="9"/>
      <c r="I47" s="10"/>
      <c r="J47" s="10"/>
    </row>
    <row r="48" spans="1:10" x14ac:dyDescent="0.25">
      <c r="C48" s="9"/>
      <c r="D48" s="9"/>
      <c r="E48" s="9"/>
      <c r="F48" s="9"/>
      <c r="G48" s="9"/>
      <c r="H48" s="9"/>
      <c r="I48" s="10"/>
      <c r="J48" s="10"/>
    </row>
    <row r="49" spans="1:10" x14ac:dyDescent="0.25">
      <c r="A49" s="21" t="s">
        <v>53</v>
      </c>
      <c r="B49" s="21"/>
      <c r="C49" s="12" t="s">
        <v>8</v>
      </c>
      <c r="D49" s="12" t="s">
        <v>9</v>
      </c>
      <c r="E49" s="12" t="s">
        <v>10</v>
      </c>
      <c r="F49" s="12" t="s">
        <v>11</v>
      </c>
      <c r="G49" s="12" t="s">
        <v>12</v>
      </c>
      <c r="H49" s="15" t="s">
        <v>13</v>
      </c>
      <c r="I49" s="18"/>
      <c r="J49" s="18"/>
    </row>
    <row r="50" spans="1:10" x14ac:dyDescent="0.25">
      <c r="A50" s="20" t="s">
        <v>54</v>
      </c>
      <c r="B50" s="20"/>
      <c r="C50" s="11">
        <v>383640</v>
      </c>
      <c r="D50" s="11">
        <v>278</v>
      </c>
      <c r="E50" s="11">
        <v>300286</v>
      </c>
      <c r="F50" s="11">
        <v>8470</v>
      </c>
      <c r="G50" s="11">
        <f>SUM(C50:F50)</f>
        <v>692674</v>
      </c>
      <c r="H50" s="17">
        <f>ROUND(G50/6862,2)</f>
        <v>100.94</v>
      </c>
      <c r="I50" s="10"/>
      <c r="J50" s="10"/>
    </row>
    <row r="51" spans="1:10" x14ac:dyDescent="0.25">
      <c r="A51" s="20" t="s">
        <v>55</v>
      </c>
      <c r="B51" s="20"/>
      <c r="C51" s="11">
        <v>151440</v>
      </c>
      <c r="D51" s="11">
        <v>0</v>
      </c>
      <c r="E51" s="11">
        <v>53450</v>
      </c>
      <c r="F51" s="11">
        <v>28580</v>
      </c>
      <c r="G51" s="11">
        <f>SUM(C51:F51)</f>
        <v>233470</v>
      </c>
      <c r="H51" s="17">
        <f>ROUND(G51/6862,2)</f>
        <v>34.020000000000003</v>
      </c>
      <c r="I51" s="10"/>
      <c r="J51" s="10"/>
    </row>
    <row r="52" spans="1:10" x14ac:dyDescent="0.25">
      <c r="A52" s="20" t="s">
        <v>56</v>
      </c>
      <c r="B52" s="20"/>
      <c r="C52" s="11">
        <v>0</v>
      </c>
      <c r="D52" s="11">
        <v>0</v>
      </c>
      <c r="E52" s="11">
        <v>0</v>
      </c>
      <c r="F52" s="11">
        <v>0</v>
      </c>
      <c r="G52" s="11">
        <f>SUM(C52:F52)</f>
        <v>0</v>
      </c>
      <c r="H52" s="17">
        <f>ROUND(G52/6862,2)</f>
        <v>0</v>
      </c>
      <c r="I52" s="10"/>
      <c r="J52" s="10"/>
    </row>
    <row r="53" spans="1:10" x14ac:dyDescent="0.25">
      <c r="C53" s="9"/>
      <c r="D53" s="9"/>
      <c r="E53" s="9"/>
      <c r="F53" s="9"/>
      <c r="G53" s="9"/>
      <c r="H53" s="9"/>
      <c r="I53" s="10"/>
      <c r="J53" s="10"/>
    </row>
    <row r="54" spans="1:10" x14ac:dyDescent="0.25">
      <c r="C54" s="9"/>
      <c r="D54" s="9"/>
      <c r="E54" s="9"/>
      <c r="F54" s="9"/>
      <c r="G54" s="9"/>
      <c r="H54" s="9"/>
      <c r="I54" s="10"/>
      <c r="J54" s="10"/>
    </row>
    <row r="55" spans="1:10" x14ac:dyDescent="0.25">
      <c r="C55" s="9"/>
      <c r="D55" s="9"/>
      <c r="E55" s="9"/>
      <c r="F55" s="9"/>
      <c r="G55" s="9"/>
      <c r="H55" s="9"/>
      <c r="I55" s="10"/>
      <c r="J55" s="10"/>
    </row>
    <row r="56" spans="1:10" x14ac:dyDescent="0.25">
      <c r="C56" s="9"/>
      <c r="D56" s="9"/>
      <c r="E56" s="9"/>
      <c r="F56" s="9"/>
      <c r="G56" s="9"/>
      <c r="H56" s="9"/>
      <c r="I56" s="10"/>
      <c r="J56" s="10"/>
    </row>
    <row r="57" spans="1:10" x14ac:dyDescent="0.25">
      <c r="A57" s="21" t="s">
        <v>57</v>
      </c>
      <c r="B57" s="21"/>
      <c r="C57" s="15" t="s">
        <v>2</v>
      </c>
      <c r="D57" s="15">
        <v>2023</v>
      </c>
      <c r="E57" s="15" t="s">
        <v>59</v>
      </c>
      <c r="F57" s="14"/>
      <c r="G57" s="15" t="s">
        <v>60</v>
      </c>
      <c r="H57" s="15" t="s">
        <v>2</v>
      </c>
      <c r="I57" s="13" t="s">
        <v>61</v>
      </c>
      <c r="J57" s="13" t="s">
        <v>59</v>
      </c>
    </row>
    <row r="58" spans="1:10" x14ac:dyDescent="0.25">
      <c r="A58" s="20" t="s">
        <v>58</v>
      </c>
      <c r="B58" s="20"/>
      <c r="C58" s="16">
        <f>ROUND(0.814, 4)</f>
        <v>0.81399999999999995</v>
      </c>
      <c r="D58" s="16">
        <f>ROUND(0.8175, 4)</f>
        <v>0.8175</v>
      </c>
      <c r="E58" s="16">
        <f>ROUND(0.777, 4)</f>
        <v>0.77700000000000002</v>
      </c>
      <c r="F58" s="9"/>
      <c r="G58" s="15" t="s">
        <v>62</v>
      </c>
      <c r="H58" s="22" t="s">
        <v>63</v>
      </c>
      <c r="I58" s="24" t="s">
        <v>64</v>
      </c>
      <c r="J58" s="24" t="s">
        <v>65</v>
      </c>
    </row>
    <row r="59" spans="1:10" x14ac:dyDescent="0.25">
      <c r="A59" s="20" t="s">
        <v>66</v>
      </c>
      <c r="B59" s="20"/>
      <c r="C59" s="16">
        <f>ROUND(0.8046, 4)</f>
        <v>0.80459999999999998</v>
      </c>
      <c r="D59" s="16">
        <f>ROUND(0.8073, 4)</f>
        <v>0.80730000000000002</v>
      </c>
      <c r="E59" s="16">
        <f>ROUND(0.7608, 4)</f>
        <v>0.76080000000000003</v>
      </c>
      <c r="F59" s="9"/>
      <c r="G59" s="15" t="s">
        <v>67</v>
      </c>
      <c r="H59" s="23"/>
      <c r="I59" s="25"/>
      <c r="J59" s="25"/>
    </row>
    <row r="60" spans="1:10" x14ac:dyDescent="0.25">
      <c r="C60" s="9"/>
      <c r="D60" s="9"/>
      <c r="E60" s="9"/>
      <c r="F60" s="9"/>
      <c r="G60" s="9"/>
      <c r="H60" s="9"/>
      <c r="I60" s="10"/>
      <c r="J60" s="10"/>
    </row>
    <row r="61" spans="1:10" x14ac:dyDescent="0.25">
      <c r="C61" s="9"/>
      <c r="D61" s="9"/>
      <c r="E61" s="9"/>
      <c r="F61" s="9"/>
      <c r="G61" s="9"/>
      <c r="H61" s="9"/>
      <c r="I61" s="10"/>
      <c r="J61" s="10"/>
    </row>
    <row r="62" spans="1:10" x14ac:dyDescent="0.25">
      <c r="C62" s="9"/>
      <c r="D62" s="9"/>
      <c r="E62" s="9"/>
      <c r="F62" s="9"/>
      <c r="G62" s="9"/>
      <c r="H62" s="9"/>
      <c r="I62" s="10"/>
      <c r="J62" s="10"/>
    </row>
    <row r="63" spans="1:10" x14ac:dyDescent="0.25">
      <c r="A63" s="21" t="s">
        <v>68</v>
      </c>
      <c r="B63" s="21"/>
      <c r="C63" s="15" t="s">
        <v>2</v>
      </c>
      <c r="D63" s="15" t="s">
        <v>204</v>
      </c>
      <c r="E63" s="15" t="s">
        <v>70</v>
      </c>
      <c r="F63" s="15" t="s">
        <v>71</v>
      </c>
      <c r="G63" s="15" t="s">
        <v>72</v>
      </c>
      <c r="H63" s="14"/>
      <c r="I63" s="18"/>
      <c r="J63" s="18"/>
    </row>
    <row r="64" spans="1:10" x14ac:dyDescent="0.25">
      <c r="A64" s="20" t="s">
        <v>73</v>
      </c>
      <c r="B64" s="20"/>
      <c r="C64" s="17">
        <v>22.07</v>
      </c>
      <c r="D64" s="17">
        <v>55.92</v>
      </c>
      <c r="E64" s="17">
        <v>81.84</v>
      </c>
      <c r="F64" s="17">
        <v>48</v>
      </c>
      <c r="G64" s="17">
        <f>12/4*C64</f>
        <v>66.210000000000008</v>
      </c>
      <c r="H64" s="9"/>
      <c r="I64" s="10"/>
      <c r="J64" s="10"/>
    </row>
    <row r="65" spans="1:10" x14ac:dyDescent="0.25">
      <c r="A65" s="20" t="s">
        <v>74</v>
      </c>
      <c r="B65" s="20"/>
      <c r="C65" s="17">
        <v>21.28</v>
      </c>
      <c r="D65" s="17">
        <v>55.41</v>
      </c>
      <c r="E65" s="17">
        <v>55.63</v>
      </c>
      <c r="F65" s="17">
        <v>55.33</v>
      </c>
      <c r="G65" s="17">
        <f>12/4*C65</f>
        <v>63.84</v>
      </c>
      <c r="H65" s="9"/>
      <c r="I65" s="10"/>
      <c r="J65" s="10"/>
    </row>
    <row r="66" spans="1:10" x14ac:dyDescent="0.25">
      <c r="A66" s="20" t="s">
        <v>75</v>
      </c>
      <c r="B66" s="20"/>
      <c r="C66" s="17">
        <v>100.94</v>
      </c>
      <c r="D66" s="17">
        <v>262.73</v>
      </c>
      <c r="E66" s="17">
        <v>257.88</v>
      </c>
      <c r="F66" s="17">
        <v>242.78</v>
      </c>
      <c r="G66" s="17">
        <f>12/4*C66</f>
        <v>302.82</v>
      </c>
      <c r="H66" s="9"/>
      <c r="I66" s="10"/>
      <c r="J66" s="10"/>
    </row>
    <row r="67" spans="1:10" x14ac:dyDescent="0.25">
      <c r="A67" s="20" t="s">
        <v>76</v>
      </c>
      <c r="B67" s="20"/>
      <c r="C67" s="17">
        <v>34.020000000000003</v>
      </c>
      <c r="D67" s="17">
        <v>81.91</v>
      </c>
      <c r="E67" s="17">
        <v>103.14</v>
      </c>
      <c r="F67" s="17">
        <v>68.31</v>
      </c>
      <c r="G67" s="17">
        <f>12/4*C67</f>
        <v>102.06</v>
      </c>
      <c r="H67" s="9"/>
      <c r="I67" s="10"/>
      <c r="J67" s="10"/>
    </row>
    <row r="68" spans="1:10" x14ac:dyDescent="0.25">
      <c r="C68" s="9"/>
      <c r="D68" s="9"/>
      <c r="E68" s="9"/>
      <c r="F68" s="9"/>
      <c r="G68" s="9"/>
      <c r="H68" s="9"/>
      <c r="I68" s="10"/>
      <c r="J68" s="10"/>
    </row>
    <row r="70" spans="1:10" x14ac:dyDescent="0.25">
      <c r="A70" s="19" t="s">
        <v>60</v>
      </c>
      <c r="B70" s="26"/>
    </row>
    <row r="71" spans="1:10" x14ac:dyDescent="0.25">
      <c r="A71" s="3" t="s">
        <v>77</v>
      </c>
      <c r="B71" s="1" t="s">
        <v>205</v>
      </c>
    </row>
    <row r="72" spans="1:10" x14ac:dyDescent="0.25">
      <c r="A72" s="3" t="s">
        <v>70</v>
      </c>
      <c r="B72" s="1" t="s">
        <v>79</v>
      </c>
    </row>
    <row r="73" spans="1:10" x14ac:dyDescent="0.25">
      <c r="A73" s="3" t="s">
        <v>71</v>
      </c>
      <c r="B73" s="1" t="s">
        <v>80</v>
      </c>
    </row>
    <row r="74" spans="1:10" x14ac:dyDescent="0.25">
      <c r="A74" s="3" t="s">
        <v>72</v>
      </c>
      <c r="B74" s="1" t="s">
        <v>81</v>
      </c>
    </row>
  </sheetData>
  <mergeCells count="19">
    <mergeCell ref="A65:B65"/>
    <mergeCell ref="A66:B66"/>
    <mergeCell ref="A67:B67"/>
    <mergeCell ref="A70:B70"/>
    <mergeCell ref="I58:I59"/>
    <mergeCell ref="J58:J59"/>
    <mergeCell ref="A59:B59"/>
    <mergeCell ref="A63:B63"/>
    <mergeCell ref="A64:B64"/>
    <mergeCell ref="A51:B51"/>
    <mergeCell ref="A52:B52"/>
    <mergeCell ref="A57:B57"/>
    <mergeCell ref="A58:B58"/>
    <mergeCell ref="H58:H59"/>
    <mergeCell ref="C7:G7"/>
    <mergeCell ref="A43:B43"/>
    <mergeCell ref="A44:B44"/>
    <mergeCell ref="A49:B49"/>
    <mergeCell ref="A50:B50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2:J68"/>
  <sheetViews>
    <sheetView workbookViewId="0">
      <selection activeCell="C9" sqref="C9:J67"/>
    </sheetView>
  </sheetViews>
  <sheetFormatPr defaultRowHeight="15" x14ac:dyDescent="0.25"/>
  <cols>
    <col min="1" max="1" width="38.85546875" bestFit="1" customWidth="1"/>
    <col min="2" max="2" width="79" bestFit="1" customWidth="1"/>
    <col min="3" max="3" width="14" bestFit="1" customWidth="1"/>
    <col min="4" max="4" width="31.7109375" bestFit="1" customWidth="1"/>
    <col min="5" max="5" width="16.42578125" bestFit="1" customWidth="1"/>
    <col min="6" max="6" width="10.5703125" bestFit="1" customWidth="1"/>
    <col min="7" max="7" width="68.28515625" bestFit="1" customWidth="1"/>
    <col min="8" max="9" width="20" bestFit="1" customWidth="1"/>
    <col min="10" max="10" width="30.5703125" bestFit="1" customWidth="1"/>
  </cols>
  <sheetData>
    <row r="2" spans="1:10" ht="18.75" x14ac:dyDescent="0.3">
      <c r="A2" s="3" t="s">
        <v>0</v>
      </c>
      <c r="B2" s="4" t="s">
        <v>206</v>
      </c>
    </row>
    <row r="3" spans="1:10" x14ac:dyDescent="0.25">
      <c r="A3" s="3" t="s">
        <v>2</v>
      </c>
      <c r="B3" s="1" t="s">
        <v>3</v>
      </c>
    </row>
    <row r="4" spans="1:10" x14ac:dyDescent="0.25">
      <c r="A4" s="3" t="s">
        <v>4</v>
      </c>
      <c r="B4" s="1">
        <v>1613</v>
      </c>
    </row>
    <row r="7" spans="1:10" x14ac:dyDescent="0.25">
      <c r="C7" s="19" t="s">
        <v>5</v>
      </c>
      <c r="D7" s="20"/>
      <c r="E7" s="20"/>
      <c r="F7" s="20"/>
      <c r="G7" s="20"/>
    </row>
    <row r="8" spans="1:10" x14ac:dyDescent="0.25">
      <c r="A8" s="3" t="s">
        <v>6</v>
      </c>
      <c r="B8" s="3" t="s">
        <v>7</v>
      </c>
      <c r="C8" s="3" t="s">
        <v>8</v>
      </c>
      <c r="D8" s="3" t="s">
        <v>9</v>
      </c>
      <c r="E8" s="3" t="s">
        <v>10</v>
      </c>
      <c r="F8" s="3" t="s">
        <v>11</v>
      </c>
      <c r="G8" s="3" t="s">
        <v>12</v>
      </c>
      <c r="H8" s="3" t="s">
        <v>13</v>
      </c>
      <c r="I8" s="3" t="s">
        <v>14</v>
      </c>
      <c r="J8" s="3" t="s">
        <v>15</v>
      </c>
    </row>
    <row r="9" spans="1:10" x14ac:dyDescent="0.25">
      <c r="A9" s="1" t="s">
        <v>16</v>
      </c>
      <c r="B9" s="1" t="s">
        <v>17</v>
      </c>
      <c r="C9" s="11"/>
      <c r="D9" s="11"/>
      <c r="E9" s="11">
        <v>40</v>
      </c>
      <c r="F9" s="11"/>
      <c r="G9" s="11">
        <f t="shared" ref="G9:G36" si="0">SUM(C9:F9)</f>
        <v>40</v>
      </c>
      <c r="H9" s="17">
        <f t="shared" ref="H9:H36" si="1">ROUND(G9/1613,2)</f>
        <v>0.02</v>
      </c>
      <c r="I9" s="16">
        <f t="shared" ref="I9:I36" si="2">ROUND(G9/$G$37,3)</f>
        <v>0</v>
      </c>
      <c r="J9" s="16">
        <f>ROUND(G9/77-1,2)</f>
        <v>-0.48</v>
      </c>
    </row>
    <row r="10" spans="1:10" x14ac:dyDescent="0.25">
      <c r="A10" s="1" t="s">
        <v>16</v>
      </c>
      <c r="B10" s="1" t="s">
        <v>19</v>
      </c>
      <c r="C10" s="11"/>
      <c r="D10" s="11">
        <v>16775</v>
      </c>
      <c r="E10" s="11"/>
      <c r="F10" s="11"/>
      <c r="G10" s="11">
        <f t="shared" si="0"/>
        <v>16775</v>
      </c>
      <c r="H10" s="17">
        <f t="shared" si="1"/>
        <v>10.4</v>
      </c>
      <c r="I10" s="16">
        <f t="shared" si="2"/>
        <v>5.8000000000000003E-2</v>
      </c>
      <c r="J10" s="16">
        <f>ROUND(G10/16020-1,2)</f>
        <v>0.05</v>
      </c>
    </row>
    <row r="11" spans="1:10" x14ac:dyDescent="0.25">
      <c r="A11" s="1" t="s">
        <v>16</v>
      </c>
      <c r="B11" s="1" t="s">
        <v>20</v>
      </c>
      <c r="C11" s="11"/>
      <c r="D11" s="11">
        <v>21115</v>
      </c>
      <c r="E11" s="11"/>
      <c r="F11" s="11"/>
      <c r="G11" s="11">
        <f t="shared" si="0"/>
        <v>21115</v>
      </c>
      <c r="H11" s="17">
        <f t="shared" si="1"/>
        <v>13.09</v>
      </c>
      <c r="I11" s="16">
        <f t="shared" si="2"/>
        <v>7.3999999999999996E-2</v>
      </c>
      <c r="J11" s="16">
        <f>ROUND(G11/20420-1,2)</f>
        <v>0.03</v>
      </c>
    </row>
    <row r="12" spans="1:10" x14ac:dyDescent="0.25">
      <c r="A12" s="1" t="s">
        <v>16</v>
      </c>
      <c r="B12" s="1" t="s">
        <v>21</v>
      </c>
      <c r="C12" s="11"/>
      <c r="D12" s="11"/>
      <c r="E12" s="11">
        <v>57</v>
      </c>
      <c r="F12" s="11"/>
      <c r="G12" s="11">
        <f t="shared" si="0"/>
        <v>57</v>
      </c>
      <c r="H12" s="17">
        <f t="shared" si="1"/>
        <v>0.04</v>
      </c>
      <c r="I12" s="16">
        <f t="shared" si="2"/>
        <v>0</v>
      </c>
      <c r="J12" s="16">
        <f>ROUND(G12/44-1,2)</f>
        <v>0.3</v>
      </c>
    </row>
    <row r="13" spans="1:10" x14ac:dyDescent="0.25">
      <c r="A13" s="1" t="s">
        <v>16</v>
      </c>
      <c r="B13" s="1" t="s">
        <v>22</v>
      </c>
      <c r="C13" s="11"/>
      <c r="D13" s="11"/>
      <c r="E13" s="11">
        <v>900</v>
      </c>
      <c r="F13" s="11"/>
      <c r="G13" s="11">
        <f t="shared" si="0"/>
        <v>900</v>
      </c>
      <c r="H13" s="17">
        <f t="shared" si="1"/>
        <v>0.56000000000000005</v>
      </c>
      <c r="I13" s="16">
        <f t="shared" si="2"/>
        <v>3.0000000000000001E-3</v>
      </c>
      <c r="J13" s="16">
        <f>ROUND(G13/1600-1,2)</f>
        <v>-0.44</v>
      </c>
    </row>
    <row r="14" spans="1:10" x14ac:dyDescent="0.25">
      <c r="A14" s="1" t="s">
        <v>16</v>
      </c>
      <c r="B14" s="1" t="s">
        <v>23</v>
      </c>
      <c r="C14" s="11"/>
      <c r="D14" s="11"/>
      <c r="E14" s="11">
        <v>24740</v>
      </c>
      <c r="F14" s="11"/>
      <c r="G14" s="11">
        <f t="shared" si="0"/>
        <v>24740</v>
      </c>
      <c r="H14" s="17">
        <f t="shared" si="1"/>
        <v>15.34</v>
      </c>
      <c r="I14" s="16">
        <f t="shared" si="2"/>
        <v>8.5999999999999993E-2</v>
      </c>
      <c r="J14" s="16">
        <f>ROUND(G14/17500-1,2)</f>
        <v>0.41</v>
      </c>
    </row>
    <row r="15" spans="1:10" x14ac:dyDescent="0.25">
      <c r="A15" s="1" t="s">
        <v>16</v>
      </c>
      <c r="B15" s="1" t="s">
        <v>24</v>
      </c>
      <c r="C15" s="11"/>
      <c r="D15" s="11">
        <v>22260</v>
      </c>
      <c r="E15" s="11">
        <v>5240</v>
      </c>
      <c r="F15" s="11"/>
      <c r="G15" s="11">
        <f t="shared" si="0"/>
        <v>27500</v>
      </c>
      <c r="H15" s="17">
        <f t="shared" si="1"/>
        <v>17.05</v>
      </c>
      <c r="I15" s="16">
        <f t="shared" si="2"/>
        <v>9.6000000000000002E-2</v>
      </c>
      <c r="J15" s="16">
        <f>ROUND(G15/23930-1,2)</f>
        <v>0.15</v>
      </c>
    </row>
    <row r="16" spans="1:10" x14ac:dyDescent="0.25">
      <c r="A16" s="1" t="s">
        <v>16</v>
      </c>
      <c r="B16" s="1" t="s">
        <v>25</v>
      </c>
      <c r="C16" s="11"/>
      <c r="D16" s="11"/>
      <c r="E16" s="11">
        <v>1345</v>
      </c>
      <c r="F16" s="11"/>
      <c r="G16" s="11">
        <f t="shared" si="0"/>
        <v>1345</v>
      </c>
      <c r="H16" s="17">
        <f t="shared" si="1"/>
        <v>0.83</v>
      </c>
      <c r="I16" s="16">
        <f t="shared" si="2"/>
        <v>5.0000000000000001E-3</v>
      </c>
      <c r="J16" s="16"/>
    </row>
    <row r="17" spans="1:10" x14ac:dyDescent="0.25">
      <c r="A17" s="1" t="s">
        <v>16</v>
      </c>
      <c r="B17" s="1" t="s">
        <v>26</v>
      </c>
      <c r="C17" s="11"/>
      <c r="D17" s="11">
        <v>23460</v>
      </c>
      <c r="E17" s="11"/>
      <c r="F17" s="11"/>
      <c r="G17" s="11">
        <f t="shared" si="0"/>
        <v>23460</v>
      </c>
      <c r="H17" s="17">
        <f t="shared" si="1"/>
        <v>14.54</v>
      </c>
      <c r="I17" s="16">
        <f t="shared" si="2"/>
        <v>8.2000000000000003E-2</v>
      </c>
      <c r="J17" s="16">
        <f>ROUND(G17/25800-1,2)</f>
        <v>-0.09</v>
      </c>
    </row>
    <row r="18" spans="1:10" x14ac:dyDescent="0.25">
      <c r="A18" s="1" t="s">
        <v>16</v>
      </c>
      <c r="B18" s="1" t="s">
        <v>29</v>
      </c>
      <c r="C18" s="11"/>
      <c r="D18" s="11"/>
      <c r="E18" s="11">
        <v>150</v>
      </c>
      <c r="F18" s="11"/>
      <c r="G18" s="11">
        <f t="shared" si="0"/>
        <v>150</v>
      </c>
      <c r="H18" s="17">
        <f t="shared" si="1"/>
        <v>0.09</v>
      </c>
      <c r="I18" s="16">
        <f t="shared" si="2"/>
        <v>1E-3</v>
      </c>
      <c r="J18" s="16"/>
    </row>
    <row r="19" spans="1:10" x14ac:dyDescent="0.25">
      <c r="A19" s="1" t="s">
        <v>16</v>
      </c>
      <c r="B19" s="1" t="s">
        <v>30</v>
      </c>
      <c r="C19" s="11"/>
      <c r="D19" s="11"/>
      <c r="E19" s="11">
        <v>200</v>
      </c>
      <c r="F19" s="11"/>
      <c r="G19" s="11">
        <f t="shared" si="0"/>
        <v>200</v>
      </c>
      <c r="H19" s="17">
        <f t="shared" si="1"/>
        <v>0.12</v>
      </c>
      <c r="I19" s="16">
        <f t="shared" si="2"/>
        <v>1E-3</v>
      </c>
      <c r="J19" s="16">
        <f>ROUND(G19/180-1,2)</f>
        <v>0.11</v>
      </c>
    </row>
    <row r="20" spans="1:10" x14ac:dyDescent="0.25">
      <c r="A20" s="1" t="s">
        <v>16</v>
      </c>
      <c r="B20" s="1" t="s">
        <v>31</v>
      </c>
      <c r="C20" s="11"/>
      <c r="D20" s="11"/>
      <c r="E20" s="11">
        <v>930</v>
      </c>
      <c r="F20" s="11"/>
      <c r="G20" s="11">
        <f t="shared" si="0"/>
        <v>930</v>
      </c>
      <c r="H20" s="17">
        <f t="shared" si="1"/>
        <v>0.57999999999999996</v>
      </c>
      <c r="I20" s="16">
        <f t="shared" si="2"/>
        <v>3.0000000000000001E-3</v>
      </c>
      <c r="J20" s="16">
        <f>ROUND(G20/420-1,2)</f>
        <v>1.21</v>
      </c>
    </row>
    <row r="21" spans="1:10" x14ac:dyDescent="0.25">
      <c r="A21" s="1" t="s">
        <v>16</v>
      </c>
      <c r="B21" s="1" t="s">
        <v>32</v>
      </c>
      <c r="C21" s="11"/>
      <c r="D21" s="11">
        <v>111</v>
      </c>
      <c r="E21" s="11"/>
      <c r="F21" s="11"/>
      <c r="G21" s="11">
        <f t="shared" si="0"/>
        <v>111</v>
      </c>
      <c r="H21" s="17">
        <f t="shared" si="1"/>
        <v>7.0000000000000007E-2</v>
      </c>
      <c r="I21" s="16">
        <f t="shared" si="2"/>
        <v>0</v>
      </c>
      <c r="J21" s="16">
        <f>ROUND(G21/50-1,2)</f>
        <v>1.22</v>
      </c>
    </row>
    <row r="22" spans="1:10" x14ac:dyDescent="0.25">
      <c r="A22" s="1" t="s">
        <v>16</v>
      </c>
      <c r="B22" s="1" t="s">
        <v>33</v>
      </c>
      <c r="C22" s="11"/>
      <c r="D22" s="11"/>
      <c r="E22" s="11">
        <v>500</v>
      </c>
      <c r="F22" s="11"/>
      <c r="G22" s="11">
        <f t="shared" si="0"/>
        <v>500</v>
      </c>
      <c r="H22" s="17">
        <f t="shared" si="1"/>
        <v>0.31</v>
      </c>
      <c r="I22" s="16">
        <f t="shared" si="2"/>
        <v>2E-3</v>
      </c>
      <c r="J22" s="16"/>
    </row>
    <row r="23" spans="1:10" x14ac:dyDescent="0.25">
      <c r="A23" s="1" t="s">
        <v>16</v>
      </c>
      <c r="B23" s="1" t="s">
        <v>34</v>
      </c>
      <c r="C23" s="11"/>
      <c r="D23" s="11">
        <v>50</v>
      </c>
      <c r="E23" s="11"/>
      <c r="F23" s="11"/>
      <c r="G23" s="11">
        <f t="shared" si="0"/>
        <v>50</v>
      </c>
      <c r="H23" s="17">
        <f t="shared" si="1"/>
        <v>0.03</v>
      </c>
      <c r="I23" s="16">
        <f t="shared" si="2"/>
        <v>0</v>
      </c>
      <c r="J23" s="16">
        <f>ROUND(G23/79-1,2)</f>
        <v>-0.37</v>
      </c>
    </row>
    <row r="24" spans="1:10" x14ac:dyDescent="0.25">
      <c r="A24" s="1" t="s">
        <v>16</v>
      </c>
      <c r="B24" s="1" t="s">
        <v>35</v>
      </c>
      <c r="C24" s="11"/>
      <c r="D24" s="11"/>
      <c r="E24" s="11">
        <v>12950</v>
      </c>
      <c r="F24" s="11"/>
      <c r="G24" s="11">
        <f t="shared" si="0"/>
        <v>12950</v>
      </c>
      <c r="H24" s="17">
        <f t="shared" si="1"/>
        <v>8.0299999999999994</v>
      </c>
      <c r="I24" s="16">
        <f t="shared" si="2"/>
        <v>4.4999999999999998E-2</v>
      </c>
      <c r="J24" s="16">
        <f>ROUND(G24/12030-1,2)</f>
        <v>0.08</v>
      </c>
    </row>
    <row r="25" spans="1:10" x14ac:dyDescent="0.25">
      <c r="A25" s="1" t="s">
        <v>16</v>
      </c>
      <c r="B25" s="1" t="s">
        <v>36</v>
      </c>
      <c r="C25" s="11"/>
      <c r="D25" s="11"/>
      <c r="E25" s="11">
        <v>2500</v>
      </c>
      <c r="F25" s="11"/>
      <c r="G25" s="11">
        <f t="shared" si="0"/>
        <v>2500</v>
      </c>
      <c r="H25" s="17">
        <f t="shared" si="1"/>
        <v>1.55</v>
      </c>
      <c r="I25" s="16">
        <f t="shared" si="2"/>
        <v>8.9999999999999993E-3</v>
      </c>
      <c r="J25" s="16">
        <f>ROUND(G25/1940-1,2)</f>
        <v>0.28999999999999998</v>
      </c>
    </row>
    <row r="26" spans="1:10" x14ac:dyDescent="0.25">
      <c r="A26" s="1" t="s">
        <v>16</v>
      </c>
      <c r="B26" s="1" t="s">
        <v>37</v>
      </c>
      <c r="C26" s="11"/>
      <c r="D26" s="11"/>
      <c r="E26" s="11">
        <v>12320</v>
      </c>
      <c r="F26" s="11"/>
      <c r="G26" s="11">
        <f t="shared" si="0"/>
        <v>12320</v>
      </c>
      <c r="H26" s="17">
        <f t="shared" si="1"/>
        <v>7.64</v>
      </c>
      <c r="I26" s="16">
        <f t="shared" si="2"/>
        <v>4.2999999999999997E-2</v>
      </c>
      <c r="J26" s="16">
        <f>ROUND(G26/5150-1,2)</f>
        <v>1.39</v>
      </c>
    </row>
    <row r="27" spans="1:10" x14ac:dyDescent="0.25">
      <c r="A27" s="1" t="s">
        <v>16</v>
      </c>
      <c r="B27" s="1" t="s">
        <v>38</v>
      </c>
      <c r="C27" s="11"/>
      <c r="D27" s="11"/>
      <c r="E27" s="11">
        <v>22760</v>
      </c>
      <c r="F27" s="11"/>
      <c r="G27" s="11">
        <f t="shared" si="0"/>
        <v>22760</v>
      </c>
      <c r="H27" s="17">
        <f t="shared" si="1"/>
        <v>14.11</v>
      </c>
      <c r="I27" s="16">
        <f t="shared" si="2"/>
        <v>7.9000000000000001E-2</v>
      </c>
      <c r="J27" s="16">
        <f>ROUND(G27/18610-1,2)</f>
        <v>0.22</v>
      </c>
    </row>
    <row r="28" spans="1:10" x14ac:dyDescent="0.25">
      <c r="A28" s="1" t="s">
        <v>16</v>
      </c>
      <c r="B28" s="1" t="s">
        <v>42</v>
      </c>
      <c r="C28" s="11"/>
      <c r="D28" s="11"/>
      <c r="E28" s="11"/>
      <c r="F28" s="11"/>
      <c r="G28" s="11">
        <f t="shared" si="0"/>
        <v>0</v>
      </c>
      <c r="H28" s="17">
        <f t="shared" si="1"/>
        <v>0</v>
      </c>
      <c r="I28" s="16">
        <f t="shared" si="2"/>
        <v>0</v>
      </c>
      <c r="J28" s="16">
        <f>ROUND(G28/1600-1,2)</f>
        <v>-1</v>
      </c>
    </row>
    <row r="29" spans="1:10" x14ac:dyDescent="0.25">
      <c r="A29" s="1" t="s">
        <v>16</v>
      </c>
      <c r="B29" s="1" t="s">
        <v>43</v>
      </c>
      <c r="C29" s="11"/>
      <c r="D29" s="11"/>
      <c r="E29" s="11"/>
      <c r="F29" s="11"/>
      <c r="G29" s="11">
        <f t="shared" si="0"/>
        <v>0</v>
      </c>
      <c r="H29" s="17">
        <f t="shared" si="1"/>
        <v>0</v>
      </c>
      <c r="I29" s="16">
        <f t="shared" si="2"/>
        <v>0</v>
      </c>
      <c r="J29" s="16">
        <f>ROUND(G29/660-1,2)</f>
        <v>-1</v>
      </c>
    </row>
    <row r="30" spans="1:10" x14ac:dyDescent="0.25">
      <c r="A30" s="1" t="s">
        <v>16</v>
      </c>
      <c r="B30" s="1" t="s">
        <v>40</v>
      </c>
      <c r="C30" s="11"/>
      <c r="D30" s="11"/>
      <c r="E30" s="11"/>
      <c r="F30" s="11"/>
      <c r="G30" s="11">
        <f t="shared" si="0"/>
        <v>0</v>
      </c>
      <c r="H30" s="17">
        <f t="shared" si="1"/>
        <v>0</v>
      </c>
      <c r="I30" s="16">
        <f t="shared" si="2"/>
        <v>0</v>
      </c>
      <c r="J30" s="16">
        <f>ROUND(G30/600-1,2)</f>
        <v>-1</v>
      </c>
    </row>
    <row r="31" spans="1:10" x14ac:dyDescent="0.25">
      <c r="A31" s="1" t="s">
        <v>16</v>
      </c>
      <c r="B31" s="1" t="s">
        <v>41</v>
      </c>
      <c r="C31" s="11"/>
      <c r="D31" s="11"/>
      <c r="E31" s="11"/>
      <c r="F31" s="11"/>
      <c r="G31" s="11">
        <f t="shared" si="0"/>
        <v>0</v>
      </c>
      <c r="H31" s="17">
        <f t="shared" si="1"/>
        <v>0</v>
      </c>
      <c r="I31" s="16">
        <f t="shared" si="2"/>
        <v>0</v>
      </c>
      <c r="J31" s="16">
        <f>ROUND(G31/537-1,2)</f>
        <v>-1</v>
      </c>
    </row>
    <row r="32" spans="1:10" x14ac:dyDescent="0.25">
      <c r="A32" s="1" t="s">
        <v>16</v>
      </c>
      <c r="B32" s="1" t="s">
        <v>39</v>
      </c>
      <c r="C32" s="11"/>
      <c r="D32" s="11"/>
      <c r="E32" s="11"/>
      <c r="F32" s="11"/>
      <c r="G32" s="11">
        <f t="shared" si="0"/>
        <v>0</v>
      </c>
      <c r="H32" s="17">
        <f t="shared" si="1"/>
        <v>0</v>
      </c>
      <c r="I32" s="16">
        <f t="shared" si="2"/>
        <v>0</v>
      </c>
      <c r="J32" s="16"/>
    </row>
    <row r="33" spans="1:10" x14ac:dyDescent="0.25">
      <c r="A33" s="1" t="s">
        <v>44</v>
      </c>
      <c r="B33" s="1" t="s">
        <v>45</v>
      </c>
      <c r="C33" s="11"/>
      <c r="D33" s="11">
        <v>107910</v>
      </c>
      <c r="E33" s="11"/>
      <c r="F33" s="11"/>
      <c r="G33" s="11">
        <f t="shared" si="0"/>
        <v>107910</v>
      </c>
      <c r="H33" s="17">
        <f t="shared" si="1"/>
        <v>66.900000000000006</v>
      </c>
      <c r="I33" s="16">
        <f t="shared" si="2"/>
        <v>0.376</v>
      </c>
      <c r="J33" s="16">
        <f>ROUND(G33/90585-1,2)</f>
        <v>0.19</v>
      </c>
    </row>
    <row r="34" spans="1:10" x14ac:dyDescent="0.25">
      <c r="A34" s="1" t="s">
        <v>44</v>
      </c>
      <c r="B34" s="1" t="s">
        <v>46</v>
      </c>
      <c r="C34" s="11"/>
      <c r="D34" s="11"/>
      <c r="E34" s="11">
        <v>10600</v>
      </c>
      <c r="F34" s="11"/>
      <c r="G34" s="11">
        <f t="shared" si="0"/>
        <v>10600</v>
      </c>
      <c r="H34" s="17">
        <f t="shared" si="1"/>
        <v>6.57</v>
      </c>
      <c r="I34" s="16">
        <f t="shared" si="2"/>
        <v>3.6999999999999998E-2</v>
      </c>
      <c r="J34" s="16">
        <f>ROUND(G34/9300-1,2)</f>
        <v>0.14000000000000001</v>
      </c>
    </row>
    <row r="35" spans="1:10" x14ac:dyDescent="0.25">
      <c r="A35" s="1" t="s">
        <v>44</v>
      </c>
      <c r="B35" s="1" t="s">
        <v>47</v>
      </c>
      <c r="C35" s="11"/>
      <c r="D35" s="11"/>
      <c r="E35" s="11"/>
      <c r="F35" s="11"/>
      <c r="G35" s="11">
        <f t="shared" si="0"/>
        <v>0</v>
      </c>
      <c r="H35" s="17">
        <f t="shared" si="1"/>
        <v>0</v>
      </c>
      <c r="I35" s="16">
        <f t="shared" si="2"/>
        <v>0</v>
      </c>
      <c r="J35" s="16"/>
    </row>
    <row r="36" spans="1:10" x14ac:dyDescent="0.25">
      <c r="A36" s="1" t="s">
        <v>48</v>
      </c>
      <c r="B36" s="1" t="s">
        <v>86</v>
      </c>
      <c r="C36" s="11"/>
      <c r="D36" s="11"/>
      <c r="E36" s="11"/>
      <c r="F36" s="11"/>
      <c r="G36" s="11">
        <f t="shared" si="0"/>
        <v>0</v>
      </c>
      <c r="H36" s="17">
        <f t="shared" si="1"/>
        <v>0</v>
      </c>
      <c r="I36" s="16">
        <f t="shared" si="2"/>
        <v>0</v>
      </c>
      <c r="J36" s="16"/>
    </row>
    <row r="37" spans="1:10" x14ac:dyDescent="0.25">
      <c r="A37" s="21" t="s">
        <v>12</v>
      </c>
      <c r="B37" s="21"/>
      <c r="C37" s="12">
        <f t="shared" ref="C37:H37" si="3">SUM(C8:C36)</f>
        <v>0</v>
      </c>
      <c r="D37" s="12">
        <f t="shared" si="3"/>
        <v>191681</v>
      </c>
      <c r="E37" s="12">
        <f t="shared" si="3"/>
        <v>95232</v>
      </c>
      <c r="F37" s="12">
        <f t="shared" si="3"/>
        <v>0</v>
      </c>
      <c r="G37" s="12">
        <f t="shared" si="3"/>
        <v>286913</v>
      </c>
      <c r="H37" s="15">
        <f t="shared" si="3"/>
        <v>177.87</v>
      </c>
      <c r="I37" s="18"/>
      <c r="J37" s="18"/>
    </row>
    <row r="38" spans="1:10" x14ac:dyDescent="0.25">
      <c r="A38" s="21" t="s">
        <v>14</v>
      </c>
      <c r="B38" s="21"/>
      <c r="C38" s="13">
        <f>ROUND(C37/G37,2)</f>
        <v>0</v>
      </c>
      <c r="D38" s="13">
        <f>ROUND(D37/G37,2)</f>
        <v>0.67</v>
      </c>
      <c r="E38" s="13">
        <f>ROUND(E37/G37,2)</f>
        <v>0.33</v>
      </c>
      <c r="F38" s="13">
        <f>ROUND(F37/G37,2)</f>
        <v>0</v>
      </c>
      <c r="G38" s="14"/>
      <c r="H38" s="14"/>
      <c r="I38" s="18"/>
      <c r="J38" s="18"/>
    </row>
    <row r="39" spans="1:10" x14ac:dyDescent="0.25">
      <c r="A39" s="2" t="s">
        <v>52</v>
      </c>
      <c r="B39" s="2"/>
      <c r="C39" s="14"/>
      <c r="D39" s="14"/>
      <c r="E39" s="14"/>
      <c r="F39" s="14"/>
      <c r="G39" s="14"/>
      <c r="H39" s="14"/>
      <c r="I39" s="18"/>
      <c r="J39" s="18"/>
    </row>
    <row r="40" spans="1:10" x14ac:dyDescent="0.25">
      <c r="C40" s="9"/>
      <c r="D40" s="9"/>
      <c r="E40" s="9"/>
      <c r="F40" s="9"/>
      <c r="G40" s="9"/>
      <c r="H40" s="9"/>
      <c r="I40" s="10"/>
      <c r="J40" s="10"/>
    </row>
    <row r="41" spans="1:10" x14ac:dyDescent="0.25">
      <c r="C41" s="9"/>
      <c r="D41" s="9"/>
      <c r="E41" s="9"/>
      <c r="F41" s="9"/>
      <c r="G41" s="9"/>
      <c r="H41" s="9"/>
      <c r="I41" s="10"/>
      <c r="J41" s="10"/>
    </row>
    <row r="42" spans="1:10" x14ac:dyDescent="0.25">
      <c r="C42" s="9"/>
      <c r="D42" s="9"/>
      <c r="E42" s="9"/>
      <c r="F42" s="9"/>
      <c r="G42" s="9"/>
      <c r="H42" s="9"/>
      <c r="I42" s="10"/>
      <c r="J42" s="10"/>
    </row>
    <row r="43" spans="1:10" x14ac:dyDescent="0.25">
      <c r="A43" s="21" t="s">
        <v>53</v>
      </c>
      <c r="B43" s="21"/>
      <c r="C43" s="12" t="s">
        <v>8</v>
      </c>
      <c r="D43" s="12" t="s">
        <v>9</v>
      </c>
      <c r="E43" s="12" t="s">
        <v>10</v>
      </c>
      <c r="F43" s="12" t="s">
        <v>11</v>
      </c>
      <c r="G43" s="12" t="s">
        <v>12</v>
      </c>
      <c r="H43" s="15" t="s">
        <v>13</v>
      </c>
      <c r="I43" s="18"/>
      <c r="J43" s="18"/>
    </row>
    <row r="44" spans="1:10" x14ac:dyDescent="0.25">
      <c r="A44" s="20" t="s">
        <v>54</v>
      </c>
      <c r="B44" s="20"/>
      <c r="C44" s="11">
        <v>0</v>
      </c>
      <c r="D44" s="11">
        <v>83771</v>
      </c>
      <c r="E44" s="11">
        <v>84632</v>
      </c>
      <c r="F44" s="11">
        <v>0</v>
      </c>
      <c r="G44" s="11">
        <f>SUM(C44:F44)</f>
        <v>168403</v>
      </c>
      <c r="H44" s="17">
        <f>ROUND(G44/1613,2)</f>
        <v>104.4</v>
      </c>
      <c r="I44" s="10"/>
      <c r="J44" s="10"/>
    </row>
    <row r="45" spans="1:10" x14ac:dyDescent="0.25">
      <c r="A45" s="20" t="s">
        <v>55</v>
      </c>
      <c r="B45" s="20"/>
      <c r="C45" s="11">
        <v>0</v>
      </c>
      <c r="D45" s="11">
        <v>107910</v>
      </c>
      <c r="E45" s="11">
        <v>10600</v>
      </c>
      <c r="F45" s="11">
        <v>0</v>
      </c>
      <c r="G45" s="11">
        <f>SUM(C45:F45)</f>
        <v>118510</v>
      </c>
      <c r="H45" s="17">
        <f>ROUND(G45/1613,2)</f>
        <v>73.47</v>
      </c>
      <c r="I45" s="10"/>
      <c r="J45" s="10"/>
    </row>
    <row r="46" spans="1:10" x14ac:dyDescent="0.25">
      <c r="A46" s="20" t="s">
        <v>56</v>
      </c>
      <c r="B46" s="20"/>
      <c r="C46" s="11">
        <v>0</v>
      </c>
      <c r="D46" s="11">
        <v>0</v>
      </c>
      <c r="E46" s="11">
        <v>0</v>
      </c>
      <c r="F46" s="11">
        <v>0</v>
      </c>
      <c r="G46" s="11">
        <f>SUM(C46:F46)</f>
        <v>0</v>
      </c>
      <c r="H46" s="17">
        <f>ROUND(G46/1613,2)</f>
        <v>0</v>
      </c>
      <c r="I46" s="10"/>
      <c r="J46" s="10"/>
    </row>
    <row r="47" spans="1:10" x14ac:dyDescent="0.25">
      <c r="C47" s="9"/>
      <c r="D47" s="9"/>
      <c r="E47" s="9"/>
      <c r="F47" s="9"/>
      <c r="G47" s="9"/>
      <c r="H47" s="9"/>
      <c r="I47" s="10"/>
      <c r="J47" s="10"/>
    </row>
    <row r="48" spans="1:10" x14ac:dyDescent="0.25">
      <c r="C48" s="9"/>
      <c r="D48" s="9"/>
      <c r="E48" s="9"/>
      <c r="F48" s="9"/>
      <c r="G48" s="9"/>
      <c r="H48" s="9"/>
      <c r="I48" s="10"/>
      <c r="J48" s="10"/>
    </row>
    <row r="49" spans="1:10" x14ac:dyDescent="0.25">
      <c r="C49" s="9"/>
      <c r="D49" s="9"/>
      <c r="E49" s="9"/>
      <c r="F49" s="9"/>
      <c r="G49" s="9"/>
      <c r="H49" s="9"/>
      <c r="I49" s="10"/>
      <c r="J49" s="10"/>
    </row>
    <row r="50" spans="1:10" x14ac:dyDescent="0.25">
      <c r="C50" s="9"/>
      <c r="D50" s="9"/>
      <c r="E50" s="9"/>
      <c r="F50" s="9"/>
      <c r="G50" s="9"/>
      <c r="H50" s="9"/>
      <c r="I50" s="10"/>
      <c r="J50" s="10"/>
    </row>
    <row r="51" spans="1:10" x14ac:dyDescent="0.25">
      <c r="A51" s="21" t="s">
        <v>57</v>
      </c>
      <c r="B51" s="21"/>
      <c r="C51" s="15" t="s">
        <v>2</v>
      </c>
      <c r="D51" s="15">
        <v>2023</v>
      </c>
      <c r="E51" s="15" t="s">
        <v>59</v>
      </c>
      <c r="F51" s="14"/>
      <c r="G51" s="15" t="s">
        <v>60</v>
      </c>
      <c r="H51" s="15" t="s">
        <v>2</v>
      </c>
      <c r="I51" s="13" t="s">
        <v>61</v>
      </c>
      <c r="J51" s="13" t="s">
        <v>59</v>
      </c>
    </row>
    <row r="52" spans="1:10" x14ac:dyDescent="0.25">
      <c r="A52" s="20" t="s">
        <v>58</v>
      </c>
      <c r="B52" s="20"/>
      <c r="C52" s="16">
        <f>ROUND(0.5826, 4)</f>
        <v>0.58260000000000001</v>
      </c>
      <c r="D52" s="16">
        <f>ROUND(0.5905, 4)</f>
        <v>0.59050000000000002</v>
      </c>
      <c r="E52" s="16">
        <f>ROUND(0.777, 4)</f>
        <v>0.77700000000000002</v>
      </c>
      <c r="F52" s="9"/>
      <c r="G52" s="15" t="s">
        <v>62</v>
      </c>
      <c r="H52" s="22" t="s">
        <v>63</v>
      </c>
      <c r="I52" s="24" t="s">
        <v>64</v>
      </c>
      <c r="J52" s="24" t="s">
        <v>65</v>
      </c>
    </row>
    <row r="53" spans="1:10" x14ac:dyDescent="0.25">
      <c r="A53" s="20" t="s">
        <v>66</v>
      </c>
      <c r="B53" s="20"/>
      <c r="C53" s="16">
        <f>ROUND(0.5588, 4)</f>
        <v>0.55879999999999996</v>
      </c>
      <c r="D53" s="16">
        <f>ROUND(0.5628, 4)</f>
        <v>0.56279999999999997</v>
      </c>
      <c r="E53" s="16">
        <f>ROUND(0.7608, 4)</f>
        <v>0.76080000000000003</v>
      </c>
      <c r="F53" s="9"/>
      <c r="G53" s="15" t="s">
        <v>67</v>
      </c>
      <c r="H53" s="23"/>
      <c r="I53" s="25"/>
      <c r="J53" s="25"/>
    </row>
    <row r="54" spans="1:10" x14ac:dyDescent="0.25">
      <c r="C54" s="9"/>
      <c r="D54" s="9"/>
      <c r="E54" s="9"/>
      <c r="F54" s="9"/>
      <c r="G54" s="9"/>
      <c r="H54" s="9"/>
      <c r="I54" s="10"/>
      <c r="J54" s="10"/>
    </row>
    <row r="55" spans="1:10" x14ac:dyDescent="0.25">
      <c r="C55" s="9"/>
      <c r="D55" s="9"/>
      <c r="E55" s="9"/>
      <c r="F55" s="9"/>
      <c r="G55" s="9"/>
      <c r="H55" s="9"/>
      <c r="I55" s="10"/>
      <c r="J55" s="10"/>
    </row>
    <row r="56" spans="1:10" x14ac:dyDescent="0.25">
      <c r="C56" s="9"/>
      <c r="D56" s="9"/>
      <c r="E56" s="9"/>
      <c r="F56" s="9"/>
      <c r="G56" s="9"/>
      <c r="H56" s="9"/>
      <c r="I56" s="10"/>
      <c r="J56" s="10"/>
    </row>
    <row r="57" spans="1:10" x14ac:dyDescent="0.25">
      <c r="A57" s="21" t="s">
        <v>68</v>
      </c>
      <c r="B57" s="21"/>
      <c r="C57" s="15" t="s">
        <v>2</v>
      </c>
      <c r="D57" s="15" t="s">
        <v>207</v>
      </c>
      <c r="E57" s="15" t="s">
        <v>70</v>
      </c>
      <c r="F57" s="15" t="s">
        <v>71</v>
      </c>
      <c r="G57" s="15" t="s">
        <v>72</v>
      </c>
      <c r="H57" s="14"/>
      <c r="I57" s="18"/>
      <c r="J57" s="18"/>
    </row>
    <row r="58" spans="1:10" x14ac:dyDescent="0.25">
      <c r="A58" s="20" t="s">
        <v>73</v>
      </c>
      <c r="B58" s="20"/>
      <c r="C58" s="17">
        <v>66.900000000000006</v>
      </c>
      <c r="D58" s="17">
        <v>163.22999999999999</v>
      </c>
      <c r="E58" s="17">
        <v>81.84</v>
      </c>
      <c r="F58" s="17">
        <v>48</v>
      </c>
      <c r="G58" s="17">
        <f>12/4*C58</f>
        <v>200.70000000000002</v>
      </c>
      <c r="H58" s="9"/>
      <c r="I58" s="10"/>
      <c r="J58" s="10"/>
    </row>
    <row r="59" spans="1:10" x14ac:dyDescent="0.25">
      <c r="A59" s="20" t="s">
        <v>74</v>
      </c>
      <c r="B59" s="20"/>
      <c r="C59" s="17">
        <v>14.54</v>
      </c>
      <c r="D59" s="17">
        <v>49.54</v>
      </c>
      <c r="E59" s="17">
        <v>55.63</v>
      </c>
      <c r="F59" s="17">
        <v>55.33</v>
      </c>
      <c r="G59" s="17">
        <f>12/4*C59</f>
        <v>43.62</v>
      </c>
      <c r="H59" s="9"/>
      <c r="I59" s="10"/>
      <c r="J59" s="10"/>
    </row>
    <row r="60" spans="1:10" x14ac:dyDescent="0.25">
      <c r="A60" s="20" t="s">
        <v>75</v>
      </c>
      <c r="B60" s="20"/>
      <c r="C60" s="17">
        <v>104.4</v>
      </c>
      <c r="D60" s="17">
        <v>293.77999999999997</v>
      </c>
      <c r="E60" s="17">
        <v>257.88</v>
      </c>
      <c r="F60" s="17">
        <v>242.78</v>
      </c>
      <c r="G60" s="17">
        <f>12/4*C60</f>
        <v>313.20000000000005</v>
      </c>
      <c r="H60" s="9"/>
      <c r="I60" s="10"/>
      <c r="J60" s="10"/>
    </row>
    <row r="61" spans="1:10" x14ac:dyDescent="0.25">
      <c r="A61" s="20" t="s">
        <v>76</v>
      </c>
      <c r="B61" s="20"/>
      <c r="C61" s="17">
        <v>73.47</v>
      </c>
      <c r="D61" s="17">
        <v>181.87</v>
      </c>
      <c r="E61" s="17">
        <v>103.14</v>
      </c>
      <c r="F61" s="17">
        <v>68.31</v>
      </c>
      <c r="G61" s="17">
        <f>12/4*C61</f>
        <v>220.41</v>
      </c>
      <c r="H61" s="9"/>
      <c r="I61" s="10"/>
      <c r="J61" s="10"/>
    </row>
    <row r="62" spans="1:10" x14ac:dyDescent="0.25">
      <c r="C62" s="9"/>
      <c r="D62" s="9"/>
      <c r="E62" s="9"/>
      <c r="F62" s="9"/>
      <c r="G62" s="9"/>
      <c r="H62" s="9"/>
      <c r="I62" s="10"/>
      <c r="J62" s="10"/>
    </row>
    <row r="63" spans="1:10" x14ac:dyDescent="0.25">
      <c r="C63" s="9"/>
      <c r="D63" s="9"/>
      <c r="E63" s="9"/>
      <c r="F63" s="9"/>
      <c r="G63" s="9"/>
      <c r="H63" s="9"/>
      <c r="I63" s="10"/>
      <c r="J63" s="10"/>
    </row>
    <row r="64" spans="1:10" x14ac:dyDescent="0.25">
      <c r="A64" s="19" t="s">
        <v>60</v>
      </c>
      <c r="B64" s="26"/>
      <c r="C64" s="9"/>
      <c r="D64" s="9"/>
      <c r="E64" s="9"/>
      <c r="F64" s="9"/>
      <c r="G64" s="9"/>
      <c r="H64" s="9"/>
      <c r="I64" s="10"/>
      <c r="J64" s="10"/>
    </row>
    <row r="65" spans="1:10" x14ac:dyDescent="0.25">
      <c r="A65" s="3" t="s">
        <v>77</v>
      </c>
      <c r="B65" s="1" t="s">
        <v>208</v>
      </c>
      <c r="C65" s="9"/>
      <c r="D65" s="9"/>
      <c r="E65" s="9"/>
      <c r="F65" s="9"/>
      <c r="G65" s="9"/>
      <c r="H65" s="9"/>
      <c r="I65" s="10"/>
      <c r="J65" s="10"/>
    </row>
    <row r="66" spans="1:10" x14ac:dyDescent="0.25">
      <c r="A66" s="3" t="s">
        <v>70</v>
      </c>
      <c r="B66" s="1" t="s">
        <v>79</v>
      </c>
      <c r="C66" s="9"/>
      <c r="D66" s="9"/>
      <c r="E66" s="9"/>
      <c r="F66" s="9"/>
      <c r="G66" s="9"/>
      <c r="H66" s="9"/>
      <c r="I66" s="10"/>
      <c r="J66" s="10"/>
    </row>
    <row r="67" spans="1:10" x14ac:dyDescent="0.25">
      <c r="A67" s="3" t="s">
        <v>71</v>
      </c>
      <c r="B67" s="1" t="s">
        <v>80</v>
      </c>
      <c r="C67" s="9"/>
      <c r="D67" s="9"/>
      <c r="E67" s="9"/>
      <c r="F67" s="9"/>
      <c r="G67" s="9"/>
      <c r="H67" s="9"/>
      <c r="I67" s="10"/>
      <c r="J67" s="10"/>
    </row>
    <row r="68" spans="1:10" x14ac:dyDescent="0.25">
      <c r="A68" s="3" t="s">
        <v>72</v>
      </c>
      <c r="B68" s="1" t="s">
        <v>81</v>
      </c>
    </row>
  </sheetData>
  <mergeCells count="19">
    <mergeCell ref="A59:B59"/>
    <mergeCell ref="A60:B60"/>
    <mergeCell ref="A61:B61"/>
    <mergeCell ref="A64:B64"/>
    <mergeCell ref="I52:I53"/>
    <mergeCell ref="J52:J53"/>
    <mergeCell ref="A53:B53"/>
    <mergeCell ref="A57:B57"/>
    <mergeCell ref="A58:B58"/>
    <mergeCell ref="A45:B45"/>
    <mergeCell ref="A46:B46"/>
    <mergeCell ref="A51:B51"/>
    <mergeCell ref="A52:B52"/>
    <mergeCell ref="H52:H53"/>
    <mergeCell ref="C7:G7"/>
    <mergeCell ref="A37:B37"/>
    <mergeCell ref="A38:B38"/>
    <mergeCell ref="A43:B43"/>
    <mergeCell ref="A44:B44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2:J67"/>
  <sheetViews>
    <sheetView workbookViewId="0">
      <selection activeCell="C9" sqref="C9:J65"/>
    </sheetView>
  </sheetViews>
  <sheetFormatPr defaultRowHeight="15" x14ac:dyDescent="0.25"/>
  <cols>
    <col min="1" max="1" width="38.85546875" bestFit="1" customWidth="1"/>
    <col min="2" max="2" width="79" bestFit="1" customWidth="1"/>
    <col min="3" max="3" width="14" bestFit="1" customWidth="1"/>
    <col min="4" max="4" width="24.7109375" bestFit="1" customWidth="1"/>
    <col min="5" max="5" width="16.42578125" bestFit="1" customWidth="1"/>
    <col min="6" max="6" width="10.5703125" bestFit="1" customWidth="1"/>
    <col min="7" max="7" width="68.28515625" bestFit="1" customWidth="1"/>
    <col min="8" max="9" width="20" bestFit="1" customWidth="1"/>
    <col min="10" max="10" width="30.5703125" bestFit="1" customWidth="1"/>
  </cols>
  <sheetData>
    <row r="2" spans="1:10" ht="18.75" x14ac:dyDescent="0.3">
      <c r="A2" s="3" t="s">
        <v>0</v>
      </c>
      <c r="B2" s="4" t="s">
        <v>209</v>
      </c>
    </row>
    <row r="3" spans="1:10" x14ac:dyDescent="0.25">
      <c r="A3" s="3" t="s">
        <v>2</v>
      </c>
      <c r="B3" s="1" t="s">
        <v>3</v>
      </c>
    </row>
    <row r="4" spans="1:10" x14ac:dyDescent="0.25">
      <c r="A4" s="3" t="s">
        <v>4</v>
      </c>
      <c r="B4" s="1">
        <v>1602</v>
      </c>
    </row>
    <row r="7" spans="1:10" x14ac:dyDescent="0.25">
      <c r="C7" s="19" t="s">
        <v>5</v>
      </c>
      <c r="D7" s="20"/>
      <c r="E7" s="20"/>
      <c r="F7" s="20"/>
      <c r="G7" s="20"/>
    </row>
    <row r="8" spans="1:10" x14ac:dyDescent="0.25">
      <c r="A8" s="3" t="s">
        <v>6</v>
      </c>
      <c r="B8" s="3" t="s">
        <v>7</v>
      </c>
      <c r="C8" s="3" t="s">
        <v>8</v>
      </c>
      <c r="D8" s="3" t="s">
        <v>9</v>
      </c>
      <c r="E8" s="3" t="s">
        <v>10</v>
      </c>
      <c r="F8" s="3" t="s">
        <v>11</v>
      </c>
      <c r="G8" s="3" t="s">
        <v>12</v>
      </c>
      <c r="H8" s="3" t="s">
        <v>13</v>
      </c>
      <c r="I8" s="3" t="s">
        <v>14</v>
      </c>
      <c r="J8" s="3" t="s">
        <v>15</v>
      </c>
    </row>
    <row r="9" spans="1:10" x14ac:dyDescent="0.25">
      <c r="A9" s="1" t="s">
        <v>16</v>
      </c>
      <c r="B9" s="1" t="s">
        <v>19</v>
      </c>
      <c r="C9" s="11">
        <v>14460</v>
      </c>
      <c r="D9" s="11"/>
      <c r="E9" s="11"/>
      <c r="F9" s="11"/>
      <c r="G9" s="11">
        <f t="shared" ref="G9:G35" si="0">SUM(C9:F9)</f>
        <v>14460</v>
      </c>
      <c r="H9" s="17">
        <f t="shared" ref="H9:H35" si="1">ROUND(G9/1602,2)</f>
        <v>9.0299999999999994</v>
      </c>
      <c r="I9" s="16">
        <f t="shared" ref="I9:I35" si="2">ROUND(G9/$G$36,3)</f>
        <v>9.6000000000000002E-2</v>
      </c>
      <c r="J9" s="16">
        <f>ROUND(G9/12240-1,2)</f>
        <v>0.18</v>
      </c>
    </row>
    <row r="10" spans="1:10" x14ac:dyDescent="0.25">
      <c r="A10" s="1" t="s">
        <v>16</v>
      </c>
      <c r="B10" s="1" t="s">
        <v>20</v>
      </c>
      <c r="C10" s="11">
        <v>20750</v>
      </c>
      <c r="D10" s="11"/>
      <c r="E10" s="11"/>
      <c r="F10" s="11"/>
      <c r="G10" s="11">
        <f t="shared" si="0"/>
        <v>20750</v>
      </c>
      <c r="H10" s="17">
        <f t="shared" si="1"/>
        <v>12.95</v>
      </c>
      <c r="I10" s="16">
        <f t="shared" si="2"/>
        <v>0.13800000000000001</v>
      </c>
      <c r="J10" s="16">
        <f>ROUND(G10/18990-1,2)</f>
        <v>0.09</v>
      </c>
    </row>
    <row r="11" spans="1:10" x14ac:dyDescent="0.25">
      <c r="A11" s="1" t="s">
        <v>16</v>
      </c>
      <c r="B11" s="1" t="s">
        <v>94</v>
      </c>
      <c r="C11" s="11"/>
      <c r="D11" s="11"/>
      <c r="E11" s="11">
        <v>31</v>
      </c>
      <c r="F11" s="11"/>
      <c r="G11" s="11">
        <f t="shared" si="0"/>
        <v>31</v>
      </c>
      <c r="H11" s="17">
        <f t="shared" si="1"/>
        <v>0.02</v>
      </c>
      <c r="I11" s="16">
        <f t="shared" si="2"/>
        <v>0</v>
      </c>
      <c r="J11" s="16">
        <f>ROUND(G11/139-1,2)</f>
        <v>-0.78</v>
      </c>
    </row>
    <row r="12" spans="1:10" x14ac:dyDescent="0.25">
      <c r="A12" s="1" t="s">
        <v>16</v>
      </c>
      <c r="B12" s="1" t="s">
        <v>21</v>
      </c>
      <c r="C12" s="11"/>
      <c r="D12" s="11"/>
      <c r="E12" s="11">
        <v>65</v>
      </c>
      <c r="F12" s="11"/>
      <c r="G12" s="11">
        <f t="shared" si="0"/>
        <v>65</v>
      </c>
      <c r="H12" s="17">
        <f t="shared" si="1"/>
        <v>0.04</v>
      </c>
      <c r="I12" s="16">
        <f t="shared" si="2"/>
        <v>0</v>
      </c>
      <c r="J12" s="16">
        <f>ROUND(G12/17-1,2)</f>
        <v>2.82</v>
      </c>
    </row>
    <row r="13" spans="1:10" x14ac:dyDescent="0.25">
      <c r="A13" s="1" t="s">
        <v>16</v>
      </c>
      <c r="B13" s="1" t="s">
        <v>24</v>
      </c>
      <c r="C13" s="11">
        <v>19640</v>
      </c>
      <c r="D13" s="11"/>
      <c r="E13" s="11"/>
      <c r="F13" s="11"/>
      <c r="G13" s="11">
        <f t="shared" si="0"/>
        <v>19640</v>
      </c>
      <c r="H13" s="17">
        <f t="shared" si="1"/>
        <v>12.26</v>
      </c>
      <c r="I13" s="16">
        <f t="shared" si="2"/>
        <v>0.13100000000000001</v>
      </c>
      <c r="J13" s="16">
        <f>ROUND(G13/16880-1,2)</f>
        <v>0.16</v>
      </c>
    </row>
    <row r="14" spans="1:10" x14ac:dyDescent="0.25">
      <c r="A14" s="1" t="s">
        <v>16</v>
      </c>
      <c r="B14" s="1" t="s">
        <v>26</v>
      </c>
      <c r="C14" s="11">
        <v>43880</v>
      </c>
      <c r="D14" s="11"/>
      <c r="E14" s="11"/>
      <c r="F14" s="11"/>
      <c r="G14" s="11">
        <f t="shared" si="0"/>
        <v>43880</v>
      </c>
      <c r="H14" s="17">
        <f t="shared" si="1"/>
        <v>27.39</v>
      </c>
      <c r="I14" s="16">
        <f t="shared" si="2"/>
        <v>0.29199999999999998</v>
      </c>
      <c r="J14" s="16">
        <f>ROUND(G14/46960-1,2)</f>
        <v>-7.0000000000000007E-2</v>
      </c>
    </row>
    <row r="15" spans="1:10" x14ac:dyDescent="0.25">
      <c r="A15" s="1" t="s">
        <v>16</v>
      </c>
      <c r="B15" s="1" t="s">
        <v>27</v>
      </c>
      <c r="C15" s="11"/>
      <c r="D15" s="11"/>
      <c r="E15" s="11">
        <v>158</v>
      </c>
      <c r="F15" s="11"/>
      <c r="G15" s="11">
        <f t="shared" si="0"/>
        <v>158</v>
      </c>
      <c r="H15" s="17">
        <f t="shared" si="1"/>
        <v>0.1</v>
      </c>
      <c r="I15" s="16">
        <f t="shared" si="2"/>
        <v>1E-3</v>
      </c>
      <c r="J15" s="16"/>
    </row>
    <row r="16" spans="1:10" x14ac:dyDescent="0.25">
      <c r="A16" s="1" t="s">
        <v>16</v>
      </c>
      <c r="B16" s="1" t="s">
        <v>28</v>
      </c>
      <c r="C16" s="11"/>
      <c r="D16" s="11"/>
      <c r="E16" s="11">
        <v>90</v>
      </c>
      <c r="F16" s="11"/>
      <c r="G16" s="11">
        <f t="shared" si="0"/>
        <v>90</v>
      </c>
      <c r="H16" s="17">
        <f t="shared" si="1"/>
        <v>0.06</v>
      </c>
      <c r="I16" s="16">
        <f t="shared" si="2"/>
        <v>1E-3</v>
      </c>
      <c r="J16" s="16"/>
    </row>
    <row r="17" spans="1:10" x14ac:dyDescent="0.25">
      <c r="A17" s="1" t="s">
        <v>16</v>
      </c>
      <c r="B17" s="1" t="s">
        <v>29</v>
      </c>
      <c r="C17" s="11"/>
      <c r="D17" s="11"/>
      <c r="E17" s="11">
        <v>180</v>
      </c>
      <c r="F17" s="11"/>
      <c r="G17" s="11">
        <f t="shared" si="0"/>
        <v>180</v>
      </c>
      <c r="H17" s="17">
        <f t="shared" si="1"/>
        <v>0.11</v>
      </c>
      <c r="I17" s="16">
        <f t="shared" si="2"/>
        <v>1E-3</v>
      </c>
      <c r="J17" s="16">
        <f>ROUND(G17/320-1,2)</f>
        <v>-0.44</v>
      </c>
    </row>
    <row r="18" spans="1:10" x14ac:dyDescent="0.25">
      <c r="A18" s="1" t="s">
        <v>16</v>
      </c>
      <c r="B18" s="1" t="s">
        <v>31</v>
      </c>
      <c r="C18" s="11"/>
      <c r="D18" s="11"/>
      <c r="E18" s="11">
        <v>525</v>
      </c>
      <c r="F18" s="11"/>
      <c r="G18" s="11">
        <f t="shared" si="0"/>
        <v>525</v>
      </c>
      <c r="H18" s="17">
        <f t="shared" si="1"/>
        <v>0.33</v>
      </c>
      <c r="I18" s="16">
        <f t="shared" si="2"/>
        <v>3.0000000000000001E-3</v>
      </c>
      <c r="J18" s="16">
        <f>ROUND(G18/405-1,2)</f>
        <v>0.3</v>
      </c>
    </row>
    <row r="19" spans="1:10" x14ac:dyDescent="0.25">
      <c r="A19" s="1" t="s">
        <v>16</v>
      </c>
      <c r="B19" s="1" t="s">
        <v>32</v>
      </c>
      <c r="C19" s="11"/>
      <c r="D19" s="11">
        <v>58</v>
      </c>
      <c r="E19" s="11"/>
      <c r="F19" s="11"/>
      <c r="G19" s="11">
        <f t="shared" si="0"/>
        <v>58</v>
      </c>
      <c r="H19" s="17">
        <f t="shared" si="1"/>
        <v>0.04</v>
      </c>
      <c r="I19" s="16">
        <f t="shared" si="2"/>
        <v>0</v>
      </c>
      <c r="J19" s="16">
        <f>ROUND(G19/83-1,2)</f>
        <v>-0.3</v>
      </c>
    </row>
    <row r="20" spans="1:10" x14ac:dyDescent="0.25">
      <c r="A20" s="1" t="s">
        <v>16</v>
      </c>
      <c r="B20" s="1" t="s">
        <v>34</v>
      </c>
      <c r="C20" s="11"/>
      <c r="D20" s="11"/>
      <c r="E20" s="11">
        <v>490</v>
      </c>
      <c r="F20" s="11"/>
      <c r="G20" s="11">
        <f t="shared" si="0"/>
        <v>490</v>
      </c>
      <c r="H20" s="17">
        <f t="shared" si="1"/>
        <v>0.31</v>
      </c>
      <c r="I20" s="16">
        <f t="shared" si="2"/>
        <v>3.0000000000000001E-3</v>
      </c>
      <c r="J20" s="16">
        <f>ROUND(G20/358-1,2)</f>
        <v>0.37</v>
      </c>
    </row>
    <row r="21" spans="1:10" x14ac:dyDescent="0.25">
      <c r="A21" s="1" t="s">
        <v>16</v>
      </c>
      <c r="B21" s="1" t="s">
        <v>35</v>
      </c>
      <c r="C21" s="11"/>
      <c r="D21" s="11"/>
      <c r="E21" s="11">
        <v>9170</v>
      </c>
      <c r="F21" s="11"/>
      <c r="G21" s="11">
        <f t="shared" si="0"/>
        <v>9170</v>
      </c>
      <c r="H21" s="17">
        <f t="shared" si="1"/>
        <v>5.72</v>
      </c>
      <c r="I21" s="16">
        <f t="shared" si="2"/>
        <v>6.0999999999999999E-2</v>
      </c>
      <c r="J21" s="16">
        <f>ROUND(G21/6940-1,2)</f>
        <v>0.32</v>
      </c>
    </row>
    <row r="22" spans="1:10" x14ac:dyDescent="0.25">
      <c r="A22" s="1" t="s">
        <v>16</v>
      </c>
      <c r="B22" s="1" t="s">
        <v>37</v>
      </c>
      <c r="C22" s="11"/>
      <c r="D22" s="11"/>
      <c r="E22" s="11">
        <v>1880</v>
      </c>
      <c r="F22" s="11"/>
      <c r="G22" s="11">
        <f t="shared" si="0"/>
        <v>1880</v>
      </c>
      <c r="H22" s="17">
        <f t="shared" si="1"/>
        <v>1.17</v>
      </c>
      <c r="I22" s="16">
        <f t="shared" si="2"/>
        <v>1.2999999999999999E-2</v>
      </c>
      <c r="J22" s="16">
        <f>ROUND(G22/870-1,2)</f>
        <v>1.1599999999999999</v>
      </c>
    </row>
    <row r="23" spans="1:10" x14ac:dyDescent="0.25">
      <c r="A23" s="1" t="s">
        <v>16</v>
      </c>
      <c r="B23" s="1" t="s">
        <v>38</v>
      </c>
      <c r="C23" s="11"/>
      <c r="D23" s="11"/>
      <c r="E23" s="11">
        <v>14780</v>
      </c>
      <c r="F23" s="11"/>
      <c r="G23" s="11">
        <f t="shared" si="0"/>
        <v>14780</v>
      </c>
      <c r="H23" s="17">
        <f t="shared" si="1"/>
        <v>9.23</v>
      </c>
      <c r="I23" s="16">
        <f t="shared" si="2"/>
        <v>9.8000000000000004E-2</v>
      </c>
      <c r="J23" s="16">
        <f>ROUND(G23/8630-1,2)</f>
        <v>0.71</v>
      </c>
    </row>
    <row r="24" spans="1:10" x14ac:dyDescent="0.25">
      <c r="A24" s="1" t="s">
        <v>16</v>
      </c>
      <c r="B24" s="1" t="s">
        <v>39</v>
      </c>
      <c r="C24" s="11"/>
      <c r="D24" s="11"/>
      <c r="E24" s="11"/>
      <c r="F24" s="11"/>
      <c r="G24" s="11">
        <f t="shared" si="0"/>
        <v>0</v>
      </c>
      <c r="H24" s="17">
        <f t="shared" si="1"/>
        <v>0</v>
      </c>
      <c r="I24" s="16">
        <f t="shared" si="2"/>
        <v>0</v>
      </c>
      <c r="J24" s="16">
        <f>ROUND(G24/90-1,2)</f>
        <v>-1</v>
      </c>
    </row>
    <row r="25" spans="1:10" x14ac:dyDescent="0.25">
      <c r="A25" s="1" t="s">
        <v>16</v>
      </c>
      <c r="B25" s="1" t="s">
        <v>40</v>
      </c>
      <c r="C25" s="11"/>
      <c r="D25" s="11"/>
      <c r="E25" s="11"/>
      <c r="F25" s="11"/>
      <c r="G25" s="11">
        <f t="shared" si="0"/>
        <v>0</v>
      </c>
      <c r="H25" s="17">
        <f t="shared" si="1"/>
        <v>0</v>
      </c>
      <c r="I25" s="16">
        <f t="shared" si="2"/>
        <v>0</v>
      </c>
      <c r="J25" s="16">
        <f>ROUND(G25/380-1,2)</f>
        <v>-1</v>
      </c>
    </row>
    <row r="26" spans="1:10" x14ac:dyDescent="0.25">
      <c r="A26" s="1" t="s">
        <v>16</v>
      </c>
      <c r="B26" s="1" t="s">
        <v>30</v>
      </c>
      <c r="C26" s="11"/>
      <c r="D26" s="11"/>
      <c r="E26" s="11"/>
      <c r="F26" s="11"/>
      <c r="G26" s="11">
        <f t="shared" si="0"/>
        <v>0</v>
      </c>
      <c r="H26" s="17">
        <f t="shared" si="1"/>
        <v>0</v>
      </c>
      <c r="I26" s="16">
        <f t="shared" si="2"/>
        <v>0</v>
      </c>
      <c r="J26" s="16">
        <f>ROUND(G26/160-1,2)</f>
        <v>-1</v>
      </c>
    </row>
    <row r="27" spans="1:10" x14ac:dyDescent="0.25">
      <c r="A27" s="1" t="s">
        <v>16</v>
      </c>
      <c r="B27" s="1" t="s">
        <v>33</v>
      </c>
      <c r="C27" s="11"/>
      <c r="D27" s="11"/>
      <c r="E27" s="11"/>
      <c r="F27" s="11"/>
      <c r="G27" s="11">
        <f t="shared" si="0"/>
        <v>0</v>
      </c>
      <c r="H27" s="17">
        <f t="shared" si="1"/>
        <v>0</v>
      </c>
      <c r="I27" s="16">
        <f t="shared" si="2"/>
        <v>0</v>
      </c>
      <c r="J27" s="16"/>
    </row>
    <row r="28" spans="1:10" x14ac:dyDescent="0.25">
      <c r="A28" s="1" t="s">
        <v>16</v>
      </c>
      <c r="B28" s="1" t="s">
        <v>41</v>
      </c>
      <c r="C28" s="11"/>
      <c r="D28" s="11"/>
      <c r="E28" s="11"/>
      <c r="F28" s="11"/>
      <c r="G28" s="11">
        <f t="shared" si="0"/>
        <v>0</v>
      </c>
      <c r="H28" s="17">
        <f t="shared" si="1"/>
        <v>0</v>
      </c>
      <c r="I28" s="16">
        <f t="shared" si="2"/>
        <v>0</v>
      </c>
      <c r="J28" s="16">
        <f>ROUND(G28/230-1,2)</f>
        <v>-1</v>
      </c>
    </row>
    <row r="29" spans="1:10" x14ac:dyDescent="0.25">
      <c r="A29" s="1" t="s">
        <v>16</v>
      </c>
      <c r="B29" s="1" t="s">
        <v>43</v>
      </c>
      <c r="C29" s="11"/>
      <c r="D29" s="11"/>
      <c r="E29" s="11"/>
      <c r="F29" s="11"/>
      <c r="G29" s="11">
        <f t="shared" si="0"/>
        <v>0</v>
      </c>
      <c r="H29" s="17">
        <f t="shared" si="1"/>
        <v>0</v>
      </c>
      <c r="I29" s="16">
        <f t="shared" si="2"/>
        <v>0</v>
      </c>
      <c r="J29" s="16">
        <f>ROUND(G29/780-1,2)</f>
        <v>-1</v>
      </c>
    </row>
    <row r="30" spans="1:10" x14ac:dyDescent="0.25">
      <c r="A30" s="1" t="s">
        <v>16</v>
      </c>
      <c r="B30" s="1" t="s">
        <v>42</v>
      </c>
      <c r="C30" s="11"/>
      <c r="D30" s="11"/>
      <c r="E30" s="11"/>
      <c r="F30" s="11"/>
      <c r="G30" s="11">
        <f t="shared" si="0"/>
        <v>0</v>
      </c>
      <c r="H30" s="17">
        <f t="shared" si="1"/>
        <v>0</v>
      </c>
      <c r="I30" s="16">
        <f t="shared" si="2"/>
        <v>0</v>
      </c>
      <c r="J30" s="16">
        <f>ROUND(G30/590-1,2)</f>
        <v>-1</v>
      </c>
    </row>
    <row r="31" spans="1:10" x14ac:dyDescent="0.25">
      <c r="A31" s="1" t="s">
        <v>16</v>
      </c>
      <c r="B31" s="1" t="s">
        <v>23</v>
      </c>
      <c r="C31" s="11"/>
      <c r="D31" s="11"/>
      <c r="E31" s="11"/>
      <c r="F31" s="11"/>
      <c r="G31" s="11">
        <f t="shared" si="0"/>
        <v>0</v>
      </c>
      <c r="H31" s="17">
        <f t="shared" si="1"/>
        <v>0</v>
      </c>
      <c r="I31" s="16">
        <f t="shared" si="2"/>
        <v>0</v>
      </c>
      <c r="J31" s="16"/>
    </row>
    <row r="32" spans="1:10" x14ac:dyDescent="0.25">
      <c r="A32" s="1" t="s">
        <v>44</v>
      </c>
      <c r="B32" s="1" t="s">
        <v>45</v>
      </c>
      <c r="C32" s="11">
        <v>18570</v>
      </c>
      <c r="D32" s="11"/>
      <c r="E32" s="11"/>
      <c r="F32" s="11"/>
      <c r="G32" s="11">
        <f t="shared" si="0"/>
        <v>18570</v>
      </c>
      <c r="H32" s="17">
        <f t="shared" si="1"/>
        <v>11.59</v>
      </c>
      <c r="I32" s="16">
        <f t="shared" si="2"/>
        <v>0.123</v>
      </c>
      <c r="J32" s="16">
        <f>ROUND(G32/17175-1,2)</f>
        <v>0.08</v>
      </c>
    </row>
    <row r="33" spans="1:10" x14ac:dyDescent="0.25">
      <c r="A33" s="1" t="s">
        <v>44</v>
      </c>
      <c r="B33" s="1" t="s">
        <v>46</v>
      </c>
      <c r="C33" s="11"/>
      <c r="D33" s="11"/>
      <c r="E33" s="11">
        <v>5670</v>
      </c>
      <c r="F33" s="11"/>
      <c r="G33" s="11">
        <f t="shared" si="0"/>
        <v>5670</v>
      </c>
      <c r="H33" s="17">
        <f t="shared" si="1"/>
        <v>3.54</v>
      </c>
      <c r="I33" s="16">
        <f t="shared" si="2"/>
        <v>3.7999999999999999E-2</v>
      </c>
      <c r="J33" s="16">
        <f>ROUND(G33/2960-1,2)</f>
        <v>0.92</v>
      </c>
    </row>
    <row r="34" spans="1:10" x14ac:dyDescent="0.25">
      <c r="A34" s="1" t="s">
        <v>44</v>
      </c>
      <c r="B34" s="1" t="s">
        <v>47</v>
      </c>
      <c r="C34" s="11"/>
      <c r="D34" s="11"/>
      <c r="E34" s="11"/>
      <c r="F34" s="11"/>
      <c r="G34" s="11">
        <f t="shared" si="0"/>
        <v>0</v>
      </c>
      <c r="H34" s="17">
        <f t="shared" si="1"/>
        <v>0</v>
      </c>
      <c r="I34" s="16">
        <f t="shared" si="2"/>
        <v>0</v>
      </c>
      <c r="J34" s="16">
        <f>ROUND(G34/12840-1,2)</f>
        <v>-1</v>
      </c>
    </row>
    <row r="35" spans="1:10" x14ac:dyDescent="0.25">
      <c r="A35" s="1" t="s">
        <v>48</v>
      </c>
      <c r="B35" s="1" t="s">
        <v>51</v>
      </c>
      <c r="C35" s="11"/>
      <c r="D35" s="11"/>
      <c r="E35" s="11"/>
      <c r="F35" s="11"/>
      <c r="G35" s="11">
        <f t="shared" si="0"/>
        <v>0</v>
      </c>
      <c r="H35" s="17">
        <f t="shared" si="1"/>
        <v>0</v>
      </c>
      <c r="I35" s="16">
        <f t="shared" si="2"/>
        <v>0</v>
      </c>
      <c r="J35" s="16"/>
    </row>
    <row r="36" spans="1:10" x14ac:dyDescent="0.25">
      <c r="A36" s="21" t="s">
        <v>12</v>
      </c>
      <c r="B36" s="21"/>
      <c r="C36" s="12">
        <f t="shared" ref="C36:H36" si="3">SUM(C8:C35)</f>
        <v>117300</v>
      </c>
      <c r="D36" s="12">
        <f t="shared" si="3"/>
        <v>58</v>
      </c>
      <c r="E36" s="12">
        <f t="shared" si="3"/>
        <v>33039</v>
      </c>
      <c r="F36" s="12">
        <f t="shared" si="3"/>
        <v>0</v>
      </c>
      <c r="G36" s="12">
        <f t="shared" si="3"/>
        <v>150397</v>
      </c>
      <c r="H36" s="15">
        <f t="shared" si="3"/>
        <v>93.890000000000015</v>
      </c>
      <c r="I36" s="18"/>
      <c r="J36" s="18"/>
    </row>
    <row r="37" spans="1:10" x14ac:dyDescent="0.25">
      <c r="A37" s="21" t="s">
        <v>14</v>
      </c>
      <c r="B37" s="21"/>
      <c r="C37" s="13">
        <f>ROUND(C36/G36,2)</f>
        <v>0.78</v>
      </c>
      <c r="D37" s="13">
        <f>ROUND(D36/G36,2)</f>
        <v>0</v>
      </c>
      <c r="E37" s="13">
        <f>ROUND(E36/G36,2)</f>
        <v>0.22</v>
      </c>
      <c r="F37" s="13">
        <f>ROUND(F36/G36,2)</f>
        <v>0</v>
      </c>
      <c r="G37" s="14"/>
      <c r="H37" s="14"/>
      <c r="I37" s="18"/>
      <c r="J37" s="18"/>
    </row>
    <row r="38" spans="1:10" x14ac:dyDescent="0.25">
      <c r="A38" s="2" t="s">
        <v>52</v>
      </c>
      <c r="B38" s="2"/>
      <c r="C38" s="14"/>
      <c r="D38" s="14"/>
      <c r="E38" s="14"/>
      <c r="F38" s="14"/>
      <c r="G38" s="14"/>
      <c r="H38" s="14"/>
      <c r="I38" s="18"/>
      <c r="J38" s="18"/>
    </row>
    <row r="39" spans="1:10" x14ac:dyDescent="0.25">
      <c r="C39" s="9"/>
      <c r="D39" s="9"/>
      <c r="E39" s="9"/>
      <c r="F39" s="9"/>
      <c r="G39" s="9"/>
      <c r="H39" s="9"/>
      <c r="I39" s="10"/>
      <c r="J39" s="10"/>
    </row>
    <row r="40" spans="1:10" x14ac:dyDescent="0.25">
      <c r="C40" s="9"/>
      <c r="D40" s="9"/>
      <c r="E40" s="9"/>
      <c r="F40" s="9"/>
      <c r="G40" s="9"/>
      <c r="H40" s="9"/>
      <c r="I40" s="10"/>
      <c r="J40" s="10"/>
    </row>
    <row r="41" spans="1:10" x14ac:dyDescent="0.25">
      <c r="C41" s="9"/>
      <c r="D41" s="9"/>
      <c r="E41" s="9"/>
      <c r="F41" s="9"/>
      <c r="G41" s="9"/>
      <c r="H41" s="9"/>
      <c r="I41" s="10"/>
      <c r="J41" s="10"/>
    </row>
    <row r="42" spans="1:10" x14ac:dyDescent="0.25">
      <c r="A42" s="21" t="s">
        <v>53</v>
      </c>
      <c r="B42" s="21"/>
      <c r="C42" s="12" t="s">
        <v>8</v>
      </c>
      <c r="D42" s="12" t="s">
        <v>9</v>
      </c>
      <c r="E42" s="12" t="s">
        <v>10</v>
      </c>
      <c r="F42" s="12" t="s">
        <v>11</v>
      </c>
      <c r="G42" s="12" t="s">
        <v>12</v>
      </c>
      <c r="H42" s="15" t="s">
        <v>13</v>
      </c>
      <c r="I42" s="18"/>
      <c r="J42" s="18"/>
    </row>
    <row r="43" spans="1:10" x14ac:dyDescent="0.25">
      <c r="A43" s="20" t="s">
        <v>54</v>
      </c>
      <c r="B43" s="20"/>
      <c r="C43" s="11">
        <v>98730</v>
      </c>
      <c r="D43" s="11">
        <v>58</v>
      </c>
      <c r="E43" s="11">
        <v>27369</v>
      </c>
      <c r="F43" s="11">
        <v>0</v>
      </c>
      <c r="G43" s="11">
        <f>SUM(C43:F43)</f>
        <v>126157</v>
      </c>
      <c r="H43" s="17">
        <f>ROUND(G43/1602,2)</f>
        <v>78.75</v>
      </c>
      <c r="I43" s="10"/>
      <c r="J43" s="10"/>
    </row>
    <row r="44" spans="1:10" x14ac:dyDescent="0.25">
      <c r="A44" s="20" t="s">
        <v>55</v>
      </c>
      <c r="B44" s="20"/>
      <c r="C44" s="11">
        <v>18570</v>
      </c>
      <c r="D44" s="11">
        <v>0</v>
      </c>
      <c r="E44" s="11">
        <v>5670</v>
      </c>
      <c r="F44" s="11">
        <v>0</v>
      </c>
      <c r="G44" s="11">
        <f>SUM(C44:F44)</f>
        <v>24240</v>
      </c>
      <c r="H44" s="17">
        <f>ROUND(G44/1602,2)</f>
        <v>15.13</v>
      </c>
      <c r="I44" s="10"/>
      <c r="J44" s="10"/>
    </row>
    <row r="45" spans="1:10" x14ac:dyDescent="0.25">
      <c r="A45" s="20" t="s">
        <v>56</v>
      </c>
      <c r="B45" s="20"/>
      <c r="C45" s="11">
        <v>0</v>
      </c>
      <c r="D45" s="11">
        <v>0</v>
      </c>
      <c r="E45" s="11">
        <v>0</v>
      </c>
      <c r="F45" s="11">
        <v>0</v>
      </c>
      <c r="G45" s="11">
        <f>SUM(C45:F45)</f>
        <v>0</v>
      </c>
      <c r="H45" s="17">
        <f>ROUND(G45/1602,2)</f>
        <v>0</v>
      </c>
      <c r="I45" s="10"/>
      <c r="J45" s="10"/>
    </row>
    <row r="46" spans="1:10" x14ac:dyDescent="0.25">
      <c r="C46" s="9"/>
      <c r="D46" s="9"/>
      <c r="E46" s="9"/>
      <c r="F46" s="9"/>
      <c r="G46" s="9"/>
      <c r="H46" s="9"/>
      <c r="I46" s="10"/>
      <c r="J46" s="10"/>
    </row>
    <row r="47" spans="1:10" x14ac:dyDescent="0.25">
      <c r="C47" s="9"/>
      <c r="D47" s="9"/>
      <c r="E47" s="9"/>
      <c r="F47" s="9"/>
      <c r="G47" s="9"/>
      <c r="H47" s="9"/>
      <c r="I47" s="10"/>
      <c r="J47" s="10"/>
    </row>
    <row r="48" spans="1:10" x14ac:dyDescent="0.25">
      <c r="C48" s="9"/>
      <c r="D48" s="9"/>
      <c r="E48" s="9"/>
      <c r="F48" s="9"/>
      <c r="G48" s="9"/>
      <c r="H48" s="9"/>
      <c r="I48" s="10"/>
      <c r="J48" s="10"/>
    </row>
    <row r="49" spans="1:10" x14ac:dyDescent="0.25">
      <c r="C49" s="9"/>
      <c r="D49" s="9"/>
      <c r="E49" s="9"/>
      <c r="F49" s="9"/>
      <c r="G49" s="9"/>
      <c r="H49" s="9"/>
      <c r="I49" s="10"/>
      <c r="J49" s="10"/>
    </row>
    <row r="50" spans="1:10" x14ac:dyDescent="0.25">
      <c r="A50" s="21" t="s">
        <v>57</v>
      </c>
      <c r="B50" s="21"/>
      <c r="C50" s="15" t="s">
        <v>2</v>
      </c>
      <c r="D50" s="15">
        <v>2023</v>
      </c>
      <c r="E50" s="15" t="s">
        <v>59</v>
      </c>
      <c r="F50" s="14"/>
      <c r="G50" s="15" t="s">
        <v>60</v>
      </c>
      <c r="H50" s="15" t="s">
        <v>2</v>
      </c>
      <c r="I50" s="13" t="s">
        <v>61</v>
      </c>
      <c r="J50" s="13" t="s">
        <v>59</v>
      </c>
    </row>
    <row r="51" spans="1:10" x14ac:dyDescent="0.25">
      <c r="A51" s="20" t="s">
        <v>58</v>
      </c>
      <c r="B51" s="20"/>
      <c r="C51" s="16">
        <f>ROUND(0.8725, 4)</f>
        <v>0.87250000000000005</v>
      </c>
      <c r="D51" s="16">
        <f>ROUND(0.8675, 4)</f>
        <v>0.86750000000000005</v>
      </c>
      <c r="E51" s="16">
        <f>ROUND(0.777, 4)</f>
        <v>0.77700000000000002</v>
      </c>
      <c r="F51" s="9"/>
      <c r="G51" s="15" t="s">
        <v>62</v>
      </c>
      <c r="H51" s="22" t="s">
        <v>63</v>
      </c>
      <c r="I51" s="24" t="s">
        <v>64</v>
      </c>
      <c r="J51" s="24" t="s">
        <v>65</v>
      </c>
    </row>
    <row r="52" spans="1:10" x14ac:dyDescent="0.25">
      <c r="A52" s="20" t="s">
        <v>66</v>
      </c>
      <c r="B52" s="20"/>
      <c r="C52" s="16">
        <f>ROUND(0.8601, 4)</f>
        <v>0.86009999999999998</v>
      </c>
      <c r="D52" s="16">
        <f>ROUND(0.8552, 4)</f>
        <v>0.85519999999999996</v>
      </c>
      <c r="E52" s="16">
        <f>ROUND(0.7608, 4)</f>
        <v>0.76080000000000003</v>
      </c>
      <c r="F52" s="9"/>
      <c r="G52" s="15" t="s">
        <v>67</v>
      </c>
      <c r="H52" s="23"/>
      <c r="I52" s="25"/>
      <c r="J52" s="25"/>
    </row>
    <row r="53" spans="1:10" x14ac:dyDescent="0.25">
      <c r="C53" s="9"/>
      <c r="D53" s="9"/>
      <c r="E53" s="9"/>
      <c r="F53" s="9"/>
      <c r="G53" s="9"/>
      <c r="H53" s="9"/>
      <c r="I53" s="10"/>
      <c r="J53" s="10"/>
    </row>
    <row r="54" spans="1:10" x14ac:dyDescent="0.25">
      <c r="C54" s="9"/>
      <c r="D54" s="9"/>
      <c r="E54" s="9"/>
      <c r="F54" s="9"/>
      <c r="G54" s="9"/>
      <c r="H54" s="9"/>
      <c r="I54" s="10"/>
      <c r="J54" s="10"/>
    </row>
    <row r="55" spans="1:10" x14ac:dyDescent="0.25">
      <c r="C55" s="9"/>
      <c r="D55" s="9"/>
      <c r="E55" s="9"/>
      <c r="F55" s="9"/>
      <c r="G55" s="9"/>
      <c r="H55" s="9"/>
      <c r="I55" s="10"/>
      <c r="J55" s="10"/>
    </row>
    <row r="56" spans="1:10" x14ac:dyDescent="0.25">
      <c r="A56" s="21" t="s">
        <v>68</v>
      </c>
      <c r="B56" s="21"/>
      <c r="C56" s="15" t="s">
        <v>2</v>
      </c>
      <c r="D56" s="15" t="s">
        <v>210</v>
      </c>
      <c r="E56" s="15" t="s">
        <v>70</v>
      </c>
      <c r="F56" s="15" t="s">
        <v>71</v>
      </c>
      <c r="G56" s="15" t="s">
        <v>72</v>
      </c>
      <c r="H56" s="14"/>
      <c r="I56" s="18"/>
      <c r="J56" s="18"/>
    </row>
    <row r="57" spans="1:10" x14ac:dyDescent="0.25">
      <c r="A57" s="20" t="s">
        <v>73</v>
      </c>
      <c r="B57" s="20"/>
      <c r="C57" s="17">
        <v>11.59</v>
      </c>
      <c r="D57" s="17">
        <v>39.39</v>
      </c>
      <c r="E57" s="17">
        <v>81.84</v>
      </c>
      <c r="F57" s="17">
        <v>48</v>
      </c>
      <c r="G57" s="17">
        <f>12/4*C57</f>
        <v>34.769999999999996</v>
      </c>
      <c r="H57" s="9"/>
      <c r="I57" s="10"/>
      <c r="J57" s="10"/>
    </row>
    <row r="58" spans="1:10" x14ac:dyDescent="0.25">
      <c r="A58" s="20" t="s">
        <v>74</v>
      </c>
      <c r="B58" s="20"/>
      <c r="C58" s="17">
        <v>27.39</v>
      </c>
      <c r="D58" s="17">
        <v>75.05</v>
      </c>
      <c r="E58" s="17">
        <v>55.63</v>
      </c>
      <c r="F58" s="17">
        <v>55.33</v>
      </c>
      <c r="G58" s="17">
        <f>12/4*C58</f>
        <v>82.17</v>
      </c>
      <c r="H58" s="9"/>
      <c r="I58" s="10"/>
      <c r="J58" s="10"/>
    </row>
    <row r="59" spans="1:10" x14ac:dyDescent="0.25">
      <c r="A59" s="20" t="s">
        <v>75</v>
      </c>
      <c r="B59" s="20"/>
      <c r="C59" s="17">
        <v>78.75</v>
      </c>
      <c r="D59" s="17">
        <v>219.46</v>
      </c>
      <c r="E59" s="17">
        <v>257.88</v>
      </c>
      <c r="F59" s="17">
        <v>242.78</v>
      </c>
      <c r="G59" s="17">
        <f>12/4*C59</f>
        <v>236.25</v>
      </c>
      <c r="H59" s="9"/>
      <c r="I59" s="10"/>
      <c r="J59" s="10"/>
    </row>
    <row r="60" spans="1:10" x14ac:dyDescent="0.25">
      <c r="A60" s="20" t="s">
        <v>76</v>
      </c>
      <c r="B60" s="20"/>
      <c r="C60" s="17">
        <v>15.13</v>
      </c>
      <c r="D60" s="17">
        <v>56.9</v>
      </c>
      <c r="E60" s="17">
        <v>103.14</v>
      </c>
      <c r="F60" s="17">
        <v>68.31</v>
      </c>
      <c r="G60" s="17">
        <f>12/4*C60</f>
        <v>45.39</v>
      </c>
      <c r="H60" s="9"/>
      <c r="I60" s="10"/>
      <c r="J60" s="10"/>
    </row>
    <row r="61" spans="1:10" x14ac:dyDescent="0.25">
      <c r="C61" s="9"/>
      <c r="D61" s="9"/>
      <c r="E61" s="9"/>
      <c r="F61" s="9"/>
      <c r="G61" s="9"/>
      <c r="H61" s="9"/>
      <c r="I61" s="10"/>
      <c r="J61" s="10"/>
    </row>
    <row r="62" spans="1:10" x14ac:dyDescent="0.25">
      <c r="C62" s="9"/>
      <c r="D62" s="9"/>
      <c r="E62" s="9"/>
      <c r="F62" s="9"/>
      <c r="G62" s="9"/>
      <c r="H62" s="9"/>
      <c r="I62" s="10"/>
      <c r="J62" s="10"/>
    </row>
    <row r="63" spans="1:10" x14ac:dyDescent="0.25">
      <c r="A63" s="19" t="s">
        <v>60</v>
      </c>
      <c r="B63" s="26"/>
      <c r="C63" s="9"/>
      <c r="D63" s="9"/>
      <c r="E63" s="9"/>
      <c r="F63" s="9"/>
      <c r="G63" s="9"/>
      <c r="H63" s="9"/>
      <c r="I63" s="10"/>
      <c r="J63" s="10"/>
    </row>
    <row r="64" spans="1:10" x14ac:dyDescent="0.25">
      <c r="A64" s="3" t="s">
        <v>77</v>
      </c>
      <c r="B64" s="1" t="s">
        <v>211</v>
      </c>
      <c r="C64" s="9"/>
      <c r="D64" s="9"/>
      <c r="E64" s="9"/>
      <c r="F64" s="9"/>
      <c r="G64" s="9"/>
      <c r="H64" s="9"/>
      <c r="I64" s="10"/>
      <c r="J64" s="10"/>
    </row>
    <row r="65" spans="1:10" x14ac:dyDescent="0.25">
      <c r="A65" s="3" t="s">
        <v>70</v>
      </c>
      <c r="B65" s="1" t="s">
        <v>79</v>
      </c>
      <c r="C65" s="9"/>
      <c r="D65" s="9"/>
      <c r="E65" s="9"/>
      <c r="F65" s="9"/>
      <c r="G65" s="9"/>
      <c r="H65" s="9"/>
      <c r="I65" s="10"/>
      <c r="J65" s="10"/>
    </row>
    <row r="66" spans="1:10" x14ac:dyDescent="0.25">
      <c r="A66" s="3" t="s">
        <v>71</v>
      </c>
      <c r="B66" s="1" t="s">
        <v>80</v>
      </c>
    </row>
    <row r="67" spans="1:10" x14ac:dyDescent="0.25">
      <c r="A67" s="3" t="s">
        <v>72</v>
      </c>
      <c r="B67" s="1" t="s">
        <v>81</v>
      </c>
    </row>
  </sheetData>
  <mergeCells count="19">
    <mergeCell ref="A58:B58"/>
    <mergeCell ref="A59:B59"/>
    <mergeCell ref="A60:B60"/>
    <mergeCell ref="A63:B63"/>
    <mergeCell ref="I51:I52"/>
    <mergeCell ref="J51:J52"/>
    <mergeCell ref="A52:B52"/>
    <mergeCell ref="A56:B56"/>
    <mergeCell ref="A57:B57"/>
    <mergeCell ref="A44:B44"/>
    <mergeCell ref="A45:B45"/>
    <mergeCell ref="A50:B50"/>
    <mergeCell ref="A51:B51"/>
    <mergeCell ref="H51:H52"/>
    <mergeCell ref="C7:G7"/>
    <mergeCell ref="A36:B36"/>
    <mergeCell ref="A37:B37"/>
    <mergeCell ref="A42:B42"/>
    <mergeCell ref="A43:B43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2:J75"/>
  <sheetViews>
    <sheetView workbookViewId="0">
      <selection activeCell="C9" sqref="C9:J75"/>
    </sheetView>
  </sheetViews>
  <sheetFormatPr defaultRowHeight="15" x14ac:dyDescent="0.25"/>
  <cols>
    <col min="1" max="1" width="38.85546875" bestFit="1" customWidth="1"/>
    <col min="2" max="2" width="79" bestFit="1" customWidth="1"/>
    <col min="3" max="3" width="14" bestFit="1" customWidth="1"/>
    <col min="4" max="4" width="25.85546875" bestFit="1" customWidth="1"/>
    <col min="5" max="5" width="16.42578125" bestFit="1" customWidth="1"/>
    <col min="6" max="6" width="10.5703125" bestFit="1" customWidth="1"/>
    <col min="7" max="7" width="68.28515625" bestFit="1" customWidth="1"/>
    <col min="8" max="9" width="20" bestFit="1" customWidth="1"/>
    <col min="10" max="10" width="30.5703125" bestFit="1" customWidth="1"/>
  </cols>
  <sheetData>
    <row r="2" spans="1:10" ht="18.75" x14ac:dyDescent="0.3">
      <c r="A2" s="3" t="s">
        <v>0</v>
      </c>
      <c r="B2" s="4" t="s">
        <v>212</v>
      </c>
    </row>
    <row r="3" spans="1:10" x14ac:dyDescent="0.25">
      <c r="A3" s="3" t="s">
        <v>2</v>
      </c>
      <c r="B3" s="1" t="s">
        <v>3</v>
      </c>
    </row>
    <row r="4" spans="1:10" x14ac:dyDescent="0.25">
      <c r="A4" s="3" t="s">
        <v>4</v>
      </c>
      <c r="B4" s="1">
        <v>483</v>
      </c>
    </row>
    <row r="7" spans="1:10" x14ac:dyDescent="0.25">
      <c r="C7" s="19" t="s">
        <v>5</v>
      </c>
      <c r="D7" s="20"/>
      <c r="E7" s="20"/>
      <c r="F7" s="20"/>
      <c r="G7" s="20"/>
    </row>
    <row r="8" spans="1:10" x14ac:dyDescent="0.25">
      <c r="A8" s="3" t="s">
        <v>6</v>
      </c>
      <c r="B8" s="3" t="s">
        <v>7</v>
      </c>
      <c r="C8" s="3" t="s">
        <v>8</v>
      </c>
      <c r="D8" s="3" t="s">
        <v>9</v>
      </c>
      <c r="E8" s="3" t="s">
        <v>10</v>
      </c>
      <c r="F8" s="3" t="s">
        <v>11</v>
      </c>
      <c r="G8" s="3" t="s">
        <v>12</v>
      </c>
      <c r="H8" s="3" t="s">
        <v>13</v>
      </c>
      <c r="I8" s="3" t="s">
        <v>14</v>
      </c>
      <c r="J8" s="3" t="s">
        <v>15</v>
      </c>
    </row>
    <row r="9" spans="1:10" x14ac:dyDescent="0.25">
      <c r="A9" s="1" t="s">
        <v>16</v>
      </c>
      <c r="B9" s="1" t="s">
        <v>19</v>
      </c>
      <c r="C9" s="11">
        <v>3820</v>
      </c>
      <c r="D9" s="11"/>
      <c r="E9" s="11"/>
      <c r="F9" s="11"/>
      <c r="G9" s="11">
        <f t="shared" ref="G9:G33" si="0">SUM(C9:F9)</f>
        <v>3820</v>
      </c>
      <c r="H9" s="17">
        <f t="shared" ref="H9:H33" si="1">ROUND(G9/483,2)</f>
        <v>7.91</v>
      </c>
      <c r="I9" s="16">
        <f t="shared" ref="I9:I33" si="2">ROUND(G9/$G$34,3)</f>
        <v>7.3999999999999996E-2</v>
      </c>
      <c r="J9" s="16">
        <f>ROUND(G9/3390-1,2)</f>
        <v>0.13</v>
      </c>
    </row>
    <row r="10" spans="1:10" x14ac:dyDescent="0.25">
      <c r="A10" s="1" t="s">
        <v>16</v>
      </c>
      <c r="B10" s="1" t="s">
        <v>20</v>
      </c>
      <c r="C10" s="11">
        <v>4840</v>
      </c>
      <c r="D10" s="11"/>
      <c r="E10" s="11"/>
      <c r="F10" s="11"/>
      <c r="G10" s="11">
        <f t="shared" si="0"/>
        <v>4840</v>
      </c>
      <c r="H10" s="17">
        <f t="shared" si="1"/>
        <v>10.02</v>
      </c>
      <c r="I10" s="16">
        <f t="shared" si="2"/>
        <v>9.4E-2</v>
      </c>
      <c r="J10" s="16">
        <f>ROUND(G10/4560-1,2)</f>
        <v>0.06</v>
      </c>
    </row>
    <row r="11" spans="1:10" x14ac:dyDescent="0.25">
      <c r="A11" s="1" t="s">
        <v>16</v>
      </c>
      <c r="B11" s="1" t="s">
        <v>24</v>
      </c>
      <c r="C11" s="11">
        <v>5580</v>
      </c>
      <c r="D11" s="11"/>
      <c r="E11" s="11"/>
      <c r="F11" s="11"/>
      <c r="G11" s="11">
        <f t="shared" si="0"/>
        <v>5580</v>
      </c>
      <c r="H11" s="17">
        <f t="shared" si="1"/>
        <v>11.55</v>
      </c>
      <c r="I11" s="16">
        <f t="shared" si="2"/>
        <v>0.108</v>
      </c>
      <c r="J11" s="16">
        <f>ROUND(G11/5020-1,2)</f>
        <v>0.11</v>
      </c>
    </row>
    <row r="12" spans="1:10" x14ac:dyDescent="0.25">
      <c r="A12" s="1" t="s">
        <v>16</v>
      </c>
      <c r="B12" s="1" t="s">
        <v>25</v>
      </c>
      <c r="C12" s="11"/>
      <c r="D12" s="11"/>
      <c r="E12" s="11">
        <v>1190</v>
      </c>
      <c r="F12" s="11"/>
      <c r="G12" s="11">
        <f t="shared" si="0"/>
        <v>1190</v>
      </c>
      <c r="H12" s="17">
        <f t="shared" si="1"/>
        <v>2.46</v>
      </c>
      <c r="I12" s="16">
        <f t="shared" si="2"/>
        <v>2.3E-2</v>
      </c>
      <c r="J12" s="16"/>
    </row>
    <row r="13" spans="1:10" x14ac:dyDescent="0.25">
      <c r="A13" s="1" t="s">
        <v>16</v>
      </c>
      <c r="B13" s="1" t="s">
        <v>26</v>
      </c>
      <c r="C13" s="11">
        <v>4340</v>
      </c>
      <c r="D13" s="11"/>
      <c r="E13" s="11"/>
      <c r="F13" s="11"/>
      <c r="G13" s="11">
        <f t="shared" si="0"/>
        <v>4340</v>
      </c>
      <c r="H13" s="17">
        <f t="shared" si="1"/>
        <v>8.99</v>
      </c>
      <c r="I13" s="16">
        <f t="shared" si="2"/>
        <v>8.4000000000000005E-2</v>
      </c>
      <c r="J13" s="16">
        <f>ROUND(G13/3600-1,2)</f>
        <v>0.21</v>
      </c>
    </row>
    <row r="14" spans="1:10" x14ac:dyDescent="0.25">
      <c r="A14" s="1" t="s">
        <v>16</v>
      </c>
      <c r="B14" s="1" t="s">
        <v>29</v>
      </c>
      <c r="C14" s="11"/>
      <c r="D14" s="11"/>
      <c r="E14" s="11">
        <v>230</v>
      </c>
      <c r="F14" s="11"/>
      <c r="G14" s="11">
        <f t="shared" si="0"/>
        <v>230</v>
      </c>
      <c r="H14" s="17">
        <f t="shared" si="1"/>
        <v>0.48</v>
      </c>
      <c r="I14" s="16">
        <f t="shared" si="2"/>
        <v>4.0000000000000001E-3</v>
      </c>
      <c r="J14" s="16"/>
    </row>
    <row r="15" spans="1:10" x14ac:dyDescent="0.25">
      <c r="A15" s="1" t="s">
        <v>16</v>
      </c>
      <c r="B15" s="1" t="s">
        <v>31</v>
      </c>
      <c r="C15" s="11"/>
      <c r="D15" s="11"/>
      <c r="E15" s="11">
        <v>390</v>
      </c>
      <c r="F15" s="11"/>
      <c r="G15" s="11">
        <f t="shared" si="0"/>
        <v>390</v>
      </c>
      <c r="H15" s="17">
        <f t="shared" si="1"/>
        <v>0.81</v>
      </c>
      <c r="I15" s="16">
        <f t="shared" si="2"/>
        <v>8.0000000000000002E-3</v>
      </c>
      <c r="J15" s="16">
        <f>ROUND(G15/295-1,2)</f>
        <v>0.32</v>
      </c>
    </row>
    <row r="16" spans="1:10" x14ac:dyDescent="0.25">
      <c r="A16" s="1" t="s">
        <v>16</v>
      </c>
      <c r="B16" s="1" t="s">
        <v>32</v>
      </c>
      <c r="C16" s="11"/>
      <c r="D16" s="11">
        <v>13</v>
      </c>
      <c r="E16" s="11"/>
      <c r="F16" s="11"/>
      <c r="G16" s="11">
        <f t="shared" si="0"/>
        <v>13</v>
      </c>
      <c r="H16" s="17">
        <f t="shared" si="1"/>
        <v>0.03</v>
      </c>
      <c r="I16" s="16">
        <f t="shared" si="2"/>
        <v>0</v>
      </c>
      <c r="J16" s="16">
        <f>ROUND(G16/13-1,2)</f>
        <v>0</v>
      </c>
    </row>
    <row r="17" spans="1:10" x14ac:dyDescent="0.25">
      <c r="A17" s="1" t="s">
        <v>16</v>
      </c>
      <c r="B17" s="1" t="s">
        <v>33</v>
      </c>
      <c r="C17" s="11"/>
      <c r="D17" s="11"/>
      <c r="E17" s="11">
        <v>540</v>
      </c>
      <c r="F17" s="11"/>
      <c r="G17" s="11">
        <f t="shared" si="0"/>
        <v>540</v>
      </c>
      <c r="H17" s="17">
        <f t="shared" si="1"/>
        <v>1.1200000000000001</v>
      </c>
      <c r="I17" s="16">
        <f t="shared" si="2"/>
        <v>0.01</v>
      </c>
      <c r="J17" s="16"/>
    </row>
    <row r="18" spans="1:10" x14ac:dyDescent="0.25">
      <c r="A18" s="1" t="s">
        <v>16</v>
      </c>
      <c r="B18" s="1" t="s">
        <v>35</v>
      </c>
      <c r="C18" s="11"/>
      <c r="D18" s="11"/>
      <c r="E18" s="11">
        <v>4760</v>
      </c>
      <c r="F18" s="11"/>
      <c r="G18" s="11">
        <f t="shared" si="0"/>
        <v>4760</v>
      </c>
      <c r="H18" s="17">
        <f t="shared" si="1"/>
        <v>9.86</v>
      </c>
      <c r="I18" s="16">
        <f t="shared" si="2"/>
        <v>9.1999999999999998E-2</v>
      </c>
      <c r="J18" s="16">
        <f>ROUND(G18/7210-1,2)</f>
        <v>-0.34</v>
      </c>
    </row>
    <row r="19" spans="1:10" x14ac:dyDescent="0.25">
      <c r="A19" s="1" t="s">
        <v>16</v>
      </c>
      <c r="B19" s="1" t="s">
        <v>36</v>
      </c>
      <c r="C19" s="11"/>
      <c r="D19" s="11"/>
      <c r="E19" s="11">
        <v>180</v>
      </c>
      <c r="F19" s="11"/>
      <c r="G19" s="11">
        <f t="shared" si="0"/>
        <v>180</v>
      </c>
      <c r="H19" s="17">
        <f t="shared" si="1"/>
        <v>0.37</v>
      </c>
      <c r="I19" s="16">
        <f t="shared" si="2"/>
        <v>3.0000000000000001E-3</v>
      </c>
      <c r="J19" s="16">
        <f>ROUND(G19/780-1,2)</f>
        <v>-0.77</v>
      </c>
    </row>
    <row r="20" spans="1:10" x14ac:dyDescent="0.25">
      <c r="A20" s="1" t="s">
        <v>16</v>
      </c>
      <c r="B20" s="1" t="s">
        <v>37</v>
      </c>
      <c r="C20" s="11"/>
      <c r="D20" s="11"/>
      <c r="E20" s="11">
        <v>5180</v>
      </c>
      <c r="F20" s="11"/>
      <c r="G20" s="11">
        <f t="shared" si="0"/>
        <v>5180</v>
      </c>
      <c r="H20" s="17">
        <f t="shared" si="1"/>
        <v>10.72</v>
      </c>
      <c r="I20" s="16">
        <f t="shared" si="2"/>
        <v>0.10100000000000001</v>
      </c>
      <c r="J20" s="16">
        <f>ROUND(G20/2210-1,2)</f>
        <v>1.34</v>
      </c>
    </row>
    <row r="21" spans="1:10" x14ac:dyDescent="0.25">
      <c r="A21" s="1" t="s">
        <v>16</v>
      </c>
      <c r="B21" s="1" t="s">
        <v>41</v>
      </c>
      <c r="C21" s="11"/>
      <c r="D21" s="11"/>
      <c r="E21" s="11"/>
      <c r="F21" s="11"/>
      <c r="G21" s="11">
        <f t="shared" si="0"/>
        <v>0</v>
      </c>
      <c r="H21" s="17">
        <f t="shared" si="1"/>
        <v>0</v>
      </c>
      <c r="I21" s="16">
        <f t="shared" si="2"/>
        <v>0</v>
      </c>
      <c r="J21" s="16">
        <f>ROUND(G21/150-1,2)</f>
        <v>-1</v>
      </c>
    </row>
    <row r="22" spans="1:10" x14ac:dyDescent="0.25">
      <c r="A22" s="1" t="s">
        <v>16</v>
      </c>
      <c r="B22" s="1" t="s">
        <v>43</v>
      </c>
      <c r="C22" s="11"/>
      <c r="D22" s="11"/>
      <c r="E22" s="11"/>
      <c r="F22" s="11"/>
      <c r="G22" s="11">
        <f t="shared" si="0"/>
        <v>0</v>
      </c>
      <c r="H22" s="17">
        <f t="shared" si="1"/>
        <v>0</v>
      </c>
      <c r="I22" s="16">
        <f t="shared" si="2"/>
        <v>0</v>
      </c>
      <c r="J22" s="16"/>
    </row>
    <row r="23" spans="1:10" x14ac:dyDescent="0.25">
      <c r="A23" s="1" t="s">
        <v>16</v>
      </c>
      <c r="B23" s="1" t="s">
        <v>21</v>
      </c>
      <c r="C23" s="11"/>
      <c r="D23" s="11"/>
      <c r="E23" s="11"/>
      <c r="F23" s="11"/>
      <c r="G23" s="11">
        <f t="shared" si="0"/>
        <v>0</v>
      </c>
      <c r="H23" s="17">
        <f t="shared" si="1"/>
        <v>0</v>
      </c>
      <c r="I23" s="16">
        <f t="shared" si="2"/>
        <v>0</v>
      </c>
      <c r="J23" s="16"/>
    </row>
    <row r="24" spans="1:10" x14ac:dyDescent="0.25">
      <c r="A24" s="1" t="s">
        <v>16</v>
      </c>
      <c r="B24" s="1" t="s">
        <v>22</v>
      </c>
      <c r="C24" s="11"/>
      <c r="D24" s="11"/>
      <c r="E24" s="11"/>
      <c r="F24" s="11"/>
      <c r="G24" s="11">
        <f t="shared" si="0"/>
        <v>0</v>
      </c>
      <c r="H24" s="17">
        <f t="shared" si="1"/>
        <v>0</v>
      </c>
      <c r="I24" s="16">
        <f t="shared" si="2"/>
        <v>0</v>
      </c>
      <c r="J24" s="16"/>
    </row>
    <row r="25" spans="1:10" x14ac:dyDescent="0.25">
      <c r="A25" s="1" t="s">
        <v>16</v>
      </c>
      <c r="B25" s="1" t="s">
        <v>40</v>
      </c>
      <c r="C25" s="11"/>
      <c r="D25" s="11"/>
      <c r="E25" s="11"/>
      <c r="F25" s="11"/>
      <c r="G25" s="11">
        <f t="shared" si="0"/>
        <v>0</v>
      </c>
      <c r="H25" s="17">
        <f t="shared" si="1"/>
        <v>0</v>
      </c>
      <c r="I25" s="16">
        <f t="shared" si="2"/>
        <v>0</v>
      </c>
      <c r="J25" s="16">
        <f>ROUND(G25/680-1,2)</f>
        <v>-1</v>
      </c>
    </row>
    <row r="26" spans="1:10" x14ac:dyDescent="0.25">
      <c r="A26" s="1" t="s">
        <v>16</v>
      </c>
      <c r="B26" s="1" t="s">
        <v>42</v>
      </c>
      <c r="C26" s="11"/>
      <c r="D26" s="11"/>
      <c r="E26" s="11"/>
      <c r="F26" s="11"/>
      <c r="G26" s="11">
        <f t="shared" si="0"/>
        <v>0</v>
      </c>
      <c r="H26" s="17">
        <f t="shared" si="1"/>
        <v>0</v>
      </c>
      <c r="I26" s="16">
        <f t="shared" si="2"/>
        <v>0</v>
      </c>
      <c r="J26" s="16"/>
    </row>
    <row r="27" spans="1:10" x14ac:dyDescent="0.25">
      <c r="A27" s="1" t="s">
        <v>16</v>
      </c>
      <c r="B27" s="1" t="s">
        <v>17</v>
      </c>
      <c r="C27" s="11"/>
      <c r="D27" s="11"/>
      <c r="E27" s="11"/>
      <c r="F27" s="11"/>
      <c r="G27" s="11">
        <f t="shared" si="0"/>
        <v>0</v>
      </c>
      <c r="H27" s="17">
        <f t="shared" si="1"/>
        <v>0</v>
      </c>
      <c r="I27" s="16">
        <f t="shared" si="2"/>
        <v>0</v>
      </c>
      <c r="J27" s="16"/>
    </row>
    <row r="28" spans="1:10" x14ac:dyDescent="0.25">
      <c r="A28" s="1" t="s">
        <v>16</v>
      </c>
      <c r="B28" s="1" t="s">
        <v>23</v>
      </c>
      <c r="C28" s="11"/>
      <c r="D28" s="11"/>
      <c r="E28" s="11"/>
      <c r="F28" s="11"/>
      <c r="G28" s="11">
        <f t="shared" si="0"/>
        <v>0</v>
      </c>
      <c r="H28" s="17">
        <f t="shared" si="1"/>
        <v>0</v>
      </c>
      <c r="I28" s="16">
        <f t="shared" si="2"/>
        <v>0</v>
      </c>
      <c r="J28" s="16"/>
    </row>
    <row r="29" spans="1:10" x14ac:dyDescent="0.25">
      <c r="A29" s="1" t="s">
        <v>16</v>
      </c>
      <c r="B29" s="1" t="s">
        <v>34</v>
      </c>
      <c r="C29" s="11"/>
      <c r="D29" s="11"/>
      <c r="E29" s="11"/>
      <c r="F29" s="11"/>
      <c r="G29" s="11">
        <f t="shared" si="0"/>
        <v>0</v>
      </c>
      <c r="H29" s="17">
        <f t="shared" si="1"/>
        <v>0</v>
      </c>
      <c r="I29" s="16">
        <f t="shared" si="2"/>
        <v>0</v>
      </c>
      <c r="J29" s="16"/>
    </row>
    <row r="30" spans="1:10" x14ac:dyDescent="0.25">
      <c r="A30" s="1" t="s">
        <v>16</v>
      </c>
      <c r="B30" s="1" t="s">
        <v>30</v>
      </c>
      <c r="C30" s="11"/>
      <c r="D30" s="11"/>
      <c r="E30" s="11"/>
      <c r="F30" s="11"/>
      <c r="G30" s="11">
        <f t="shared" si="0"/>
        <v>0</v>
      </c>
      <c r="H30" s="17">
        <f t="shared" si="1"/>
        <v>0</v>
      </c>
      <c r="I30" s="16">
        <f t="shared" si="2"/>
        <v>0</v>
      </c>
      <c r="J30" s="16"/>
    </row>
    <row r="31" spans="1:10" x14ac:dyDescent="0.25">
      <c r="A31" s="1" t="s">
        <v>16</v>
      </c>
      <c r="B31" s="1" t="s">
        <v>39</v>
      </c>
      <c r="C31" s="11"/>
      <c r="D31" s="11"/>
      <c r="E31" s="11"/>
      <c r="F31" s="11"/>
      <c r="G31" s="11">
        <f t="shared" si="0"/>
        <v>0</v>
      </c>
      <c r="H31" s="17">
        <f t="shared" si="1"/>
        <v>0</v>
      </c>
      <c r="I31" s="16">
        <f t="shared" si="2"/>
        <v>0</v>
      </c>
      <c r="J31" s="16"/>
    </row>
    <row r="32" spans="1:10" x14ac:dyDescent="0.25">
      <c r="A32" s="1" t="s">
        <v>44</v>
      </c>
      <c r="B32" s="1" t="s">
        <v>45</v>
      </c>
      <c r="C32" s="11">
        <v>13500</v>
      </c>
      <c r="D32" s="11"/>
      <c r="E32" s="11"/>
      <c r="F32" s="11"/>
      <c r="G32" s="11">
        <f t="shared" si="0"/>
        <v>13500</v>
      </c>
      <c r="H32" s="17">
        <f t="shared" si="1"/>
        <v>27.95</v>
      </c>
      <c r="I32" s="16">
        <f t="shared" si="2"/>
        <v>0.26200000000000001</v>
      </c>
      <c r="J32" s="16">
        <f>ROUND(G32/15960-1,2)</f>
        <v>-0.15</v>
      </c>
    </row>
    <row r="33" spans="1:10" x14ac:dyDescent="0.25">
      <c r="A33" s="1" t="s">
        <v>44</v>
      </c>
      <c r="B33" s="1" t="s">
        <v>46</v>
      </c>
      <c r="C33" s="11"/>
      <c r="D33" s="11"/>
      <c r="E33" s="11">
        <v>6940</v>
      </c>
      <c r="F33" s="11"/>
      <c r="G33" s="11">
        <f t="shared" si="0"/>
        <v>6940</v>
      </c>
      <c r="H33" s="17">
        <f t="shared" si="1"/>
        <v>14.37</v>
      </c>
      <c r="I33" s="16">
        <f t="shared" si="2"/>
        <v>0.13500000000000001</v>
      </c>
      <c r="J33" s="16">
        <f>ROUND(G33/5020-1,2)</f>
        <v>0.38</v>
      </c>
    </row>
    <row r="34" spans="1:10" x14ac:dyDescent="0.25">
      <c r="A34" s="21" t="s">
        <v>12</v>
      </c>
      <c r="B34" s="21"/>
      <c r="C34" s="12">
        <f t="shared" ref="C34:H34" si="3">SUM(C8:C33)</f>
        <v>32080</v>
      </c>
      <c r="D34" s="12">
        <f t="shared" si="3"/>
        <v>13</v>
      </c>
      <c r="E34" s="12">
        <f t="shared" si="3"/>
        <v>19410</v>
      </c>
      <c r="F34" s="12">
        <f t="shared" si="3"/>
        <v>0</v>
      </c>
      <c r="G34" s="12">
        <f t="shared" si="3"/>
        <v>51503</v>
      </c>
      <c r="H34" s="15">
        <f t="shared" si="3"/>
        <v>106.64</v>
      </c>
      <c r="I34" s="18"/>
      <c r="J34" s="18"/>
    </row>
    <row r="35" spans="1:10" x14ac:dyDescent="0.25">
      <c r="A35" s="21" t="s">
        <v>14</v>
      </c>
      <c r="B35" s="21"/>
      <c r="C35" s="13">
        <f>ROUND(C34/G34,2)</f>
        <v>0.62</v>
      </c>
      <c r="D35" s="13">
        <f>ROUND(D34/G34,2)</f>
        <v>0</v>
      </c>
      <c r="E35" s="13">
        <f>ROUND(E34/G34,2)</f>
        <v>0.38</v>
      </c>
      <c r="F35" s="13">
        <f>ROUND(F34/G34,2)</f>
        <v>0</v>
      </c>
      <c r="G35" s="14"/>
      <c r="H35" s="14"/>
      <c r="I35" s="18"/>
      <c r="J35" s="18"/>
    </row>
    <row r="36" spans="1:10" x14ac:dyDescent="0.25">
      <c r="A36" s="2" t="s">
        <v>52</v>
      </c>
      <c r="B36" s="2"/>
      <c r="C36" s="14"/>
      <c r="D36" s="14"/>
      <c r="E36" s="14"/>
      <c r="F36" s="14"/>
      <c r="G36" s="14"/>
      <c r="H36" s="14"/>
      <c r="I36" s="18"/>
      <c r="J36" s="18"/>
    </row>
    <row r="37" spans="1:10" x14ac:dyDescent="0.25">
      <c r="C37" s="9"/>
      <c r="D37" s="9"/>
      <c r="E37" s="9"/>
      <c r="F37" s="9"/>
      <c r="G37" s="9"/>
      <c r="H37" s="9"/>
      <c r="I37" s="10"/>
      <c r="J37" s="10"/>
    </row>
    <row r="38" spans="1:10" x14ac:dyDescent="0.25">
      <c r="C38" s="9"/>
      <c r="D38" s="9"/>
      <c r="E38" s="9"/>
      <c r="F38" s="9"/>
      <c r="G38" s="9"/>
      <c r="H38" s="9"/>
      <c r="I38" s="10"/>
      <c r="J38" s="10"/>
    </row>
    <row r="39" spans="1:10" x14ac:dyDescent="0.25">
      <c r="C39" s="9"/>
      <c r="D39" s="9"/>
      <c r="E39" s="9"/>
      <c r="F39" s="9"/>
      <c r="G39" s="9"/>
      <c r="H39" s="9"/>
      <c r="I39" s="10"/>
      <c r="J39" s="10"/>
    </row>
    <row r="40" spans="1:10" x14ac:dyDescent="0.25">
      <c r="A40" s="21" t="s">
        <v>53</v>
      </c>
      <c r="B40" s="21"/>
      <c r="C40" s="12" t="s">
        <v>8</v>
      </c>
      <c r="D40" s="12" t="s">
        <v>9</v>
      </c>
      <c r="E40" s="12" t="s">
        <v>10</v>
      </c>
      <c r="F40" s="12" t="s">
        <v>11</v>
      </c>
      <c r="G40" s="12" t="s">
        <v>12</v>
      </c>
      <c r="H40" s="15" t="s">
        <v>13</v>
      </c>
      <c r="I40" s="18"/>
      <c r="J40" s="18"/>
    </row>
    <row r="41" spans="1:10" x14ac:dyDescent="0.25">
      <c r="A41" s="20" t="s">
        <v>54</v>
      </c>
      <c r="B41" s="20"/>
      <c r="C41" s="11">
        <v>18580</v>
      </c>
      <c r="D41" s="11">
        <v>13</v>
      </c>
      <c r="E41" s="11">
        <v>12470</v>
      </c>
      <c r="F41" s="11">
        <v>0</v>
      </c>
      <c r="G41" s="11">
        <f>SUM(C41:F41)</f>
        <v>31063</v>
      </c>
      <c r="H41" s="17">
        <f>ROUND(G41/483,2)</f>
        <v>64.31</v>
      </c>
      <c r="I41" s="10"/>
      <c r="J41" s="10"/>
    </row>
    <row r="42" spans="1:10" x14ac:dyDescent="0.25">
      <c r="A42" s="20" t="s">
        <v>55</v>
      </c>
      <c r="B42" s="20"/>
      <c r="C42" s="11">
        <v>13500</v>
      </c>
      <c r="D42" s="11">
        <v>0</v>
      </c>
      <c r="E42" s="11">
        <v>6940</v>
      </c>
      <c r="F42" s="11">
        <v>0</v>
      </c>
      <c r="G42" s="11">
        <f>SUM(C42:F42)</f>
        <v>20440</v>
      </c>
      <c r="H42" s="17">
        <f>ROUND(G42/483,2)</f>
        <v>42.32</v>
      </c>
      <c r="I42" s="10"/>
      <c r="J42" s="10"/>
    </row>
    <row r="43" spans="1:10" x14ac:dyDescent="0.25">
      <c r="A43" s="20" t="s">
        <v>56</v>
      </c>
      <c r="B43" s="20"/>
      <c r="C43" s="11"/>
      <c r="D43" s="11"/>
      <c r="E43" s="11"/>
      <c r="F43" s="11"/>
      <c r="G43" s="11">
        <f>SUM(C43:F43)</f>
        <v>0</v>
      </c>
      <c r="H43" s="17">
        <f>ROUND(G43/483,2)</f>
        <v>0</v>
      </c>
      <c r="I43" s="10"/>
      <c r="J43" s="10"/>
    </row>
    <row r="44" spans="1:10" x14ac:dyDescent="0.25">
      <c r="C44" s="9"/>
      <c r="D44" s="9"/>
      <c r="E44" s="9"/>
      <c r="F44" s="9"/>
      <c r="G44" s="9"/>
      <c r="H44" s="9"/>
      <c r="I44" s="10"/>
      <c r="J44" s="10"/>
    </row>
    <row r="45" spans="1:10" x14ac:dyDescent="0.25">
      <c r="C45" s="9"/>
      <c r="D45" s="9"/>
      <c r="E45" s="9"/>
      <c r="F45" s="9"/>
      <c r="G45" s="9"/>
      <c r="H45" s="9"/>
      <c r="I45" s="10"/>
      <c r="J45" s="10"/>
    </row>
    <row r="46" spans="1:10" x14ac:dyDescent="0.25">
      <c r="C46" s="9"/>
      <c r="D46" s="9"/>
      <c r="E46" s="9"/>
      <c r="F46" s="9"/>
      <c r="G46" s="9"/>
      <c r="H46" s="9"/>
      <c r="I46" s="10"/>
      <c r="J46" s="10"/>
    </row>
    <row r="47" spans="1:10" x14ac:dyDescent="0.25">
      <c r="C47" s="9"/>
      <c r="D47" s="9"/>
      <c r="E47" s="9"/>
      <c r="F47" s="9"/>
      <c r="G47" s="9"/>
      <c r="H47" s="9"/>
      <c r="I47" s="10"/>
      <c r="J47" s="10"/>
    </row>
    <row r="48" spans="1:10" x14ac:dyDescent="0.25">
      <c r="A48" s="21" t="s">
        <v>57</v>
      </c>
      <c r="B48" s="21"/>
      <c r="C48" s="15" t="s">
        <v>2</v>
      </c>
      <c r="D48" s="15">
        <v>2023</v>
      </c>
      <c r="E48" s="15" t="s">
        <v>59</v>
      </c>
      <c r="F48" s="14"/>
      <c r="G48" s="15" t="s">
        <v>60</v>
      </c>
      <c r="H48" s="15" t="s">
        <v>2</v>
      </c>
      <c r="I48" s="13" t="s">
        <v>61</v>
      </c>
      <c r="J48" s="13" t="s">
        <v>59</v>
      </c>
    </row>
    <row r="49" spans="1:10" x14ac:dyDescent="0.25">
      <c r="A49" s="20" t="s">
        <v>58</v>
      </c>
      <c r="B49" s="20"/>
      <c r="C49" s="16">
        <f>ROUND(0.7233, 4)</f>
        <v>0.72330000000000005</v>
      </c>
      <c r="D49" s="16">
        <f>ROUND(0.6509, 4)</f>
        <v>0.65090000000000003</v>
      </c>
      <c r="E49" s="16">
        <f>ROUND(0.777, 4)</f>
        <v>0.77700000000000002</v>
      </c>
      <c r="F49" s="9"/>
      <c r="G49" s="15" t="s">
        <v>62</v>
      </c>
      <c r="H49" s="22" t="s">
        <v>63</v>
      </c>
      <c r="I49" s="24" t="s">
        <v>64</v>
      </c>
      <c r="J49" s="24" t="s">
        <v>65</v>
      </c>
    </row>
    <row r="50" spans="1:10" x14ac:dyDescent="0.25">
      <c r="A50" s="20" t="s">
        <v>66</v>
      </c>
      <c r="B50" s="20"/>
      <c r="C50" s="16">
        <f>ROUND(0.7138, 4)</f>
        <v>0.71379999999999999</v>
      </c>
      <c r="D50" s="16">
        <f>ROUND(0.6408, 4)</f>
        <v>0.64080000000000004</v>
      </c>
      <c r="E50" s="16">
        <f>ROUND(0.7608, 4)</f>
        <v>0.76080000000000003</v>
      </c>
      <c r="F50" s="9"/>
      <c r="G50" s="15" t="s">
        <v>67</v>
      </c>
      <c r="H50" s="23"/>
      <c r="I50" s="25"/>
      <c r="J50" s="25"/>
    </row>
    <row r="51" spans="1:10" x14ac:dyDescent="0.25">
      <c r="C51" s="9"/>
      <c r="D51" s="9"/>
      <c r="E51" s="9"/>
      <c r="F51" s="9"/>
      <c r="G51" s="9"/>
      <c r="H51" s="9"/>
      <c r="I51" s="10"/>
      <c r="J51" s="10"/>
    </row>
    <row r="52" spans="1:10" x14ac:dyDescent="0.25">
      <c r="C52" s="9"/>
      <c r="D52" s="9"/>
      <c r="E52" s="9"/>
      <c r="F52" s="9"/>
      <c r="G52" s="9"/>
      <c r="H52" s="9"/>
      <c r="I52" s="10"/>
      <c r="J52" s="10"/>
    </row>
    <row r="53" spans="1:10" x14ac:dyDescent="0.25">
      <c r="C53" s="9"/>
      <c r="D53" s="9"/>
      <c r="E53" s="9"/>
      <c r="F53" s="9"/>
      <c r="G53" s="9"/>
      <c r="H53" s="9"/>
      <c r="I53" s="10"/>
      <c r="J53" s="10"/>
    </row>
    <row r="54" spans="1:10" x14ac:dyDescent="0.25">
      <c r="A54" s="21" t="s">
        <v>68</v>
      </c>
      <c r="B54" s="21"/>
      <c r="C54" s="15" t="s">
        <v>2</v>
      </c>
      <c r="D54" s="15" t="s">
        <v>213</v>
      </c>
      <c r="E54" s="15" t="s">
        <v>70</v>
      </c>
      <c r="F54" s="15" t="s">
        <v>71</v>
      </c>
      <c r="G54" s="15" t="s">
        <v>72</v>
      </c>
      <c r="H54" s="14"/>
      <c r="I54" s="18"/>
      <c r="J54" s="18"/>
    </row>
    <row r="55" spans="1:10" x14ac:dyDescent="0.25">
      <c r="A55" s="20" t="s">
        <v>73</v>
      </c>
      <c r="B55" s="20"/>
      <c r="C55" s="17">
        <v>27.95</v>
      </c>
      <c r="D55" s="17">
        <v>94.84</v>
      </c>
      <c r="E55" s="17">
        <v>81.84</v>
      </c>
      <c r="F55" s="17">
        <v>48</v>
      </c>
      <c r="G55" s="17">
        <f>12/4*C55</f>
        <v>83.85</v>
      </c>
      <c r="H55" s="9"/>
      <c r="I55" s="10"/>
      <c r="J55" s="10"/>
    </row>
    <row r="56" spans="1:10" x14ac:dyDescent="0.25">
      <c r="A56" s="20" t="s">
        <v>74</v>
      </c>
      <c r="B56" s="20"/>
      <c r="C56" s="17">
        <v>8.99</v>
      </c>
      <c r="D56" s="17">
        <v>26.6</v>
      </c>
      <c r="E56" s="17">
        <v>55.63</v>
      </c>
      <c r="F56" s="17">
        <v>55.33</v>
      </c>
      <c r="G56" s="17">
        <f>12/4*C56</f>
        <v>26.97</v>
      </c>
      <c r="H56" s="9"/>
      <c r="I56" s="10"/>
      <c r="J56" s="10"/>
    </row>
    <row r="57" spans="1:10" x14ac:dyDescent="0.25">
      <c r="A57" s="20" t="s">
        <v>75</v>
      </c>
      <c r="B57" s="20"/>
      <c r="C57" s="17">
        <v>64.31</v>
      </c>
      <c r="D57" s="17">
        <v>214.97</v>
      </c>
      <c r="E57" s="17">
        <v>257.88</v>
      </c>
      <c r="F57" s="17">
        <v>242.78</v>
      </c>
      <c r="G57" s="17">
        <f>12/4*C57</f>
        <v>192.93</v>
      </c>
      <c r="H57" s="9"/>
      <c r="I57" s="10"/>
      <c r="J57" s="10"/>
    </row>
    <row r="58" spans="1:10" x14ac:dyDescent="0.25">
      <c r="A58" s="20" t="s">
        <v>76</v>
      </c>
      <c r="B58" s="20"/>
      <c r="C58" s="17">
        <v>42.32</v>
      </c>
      <c r="D58" s="17">
        <v>110.79</v>
      </c>
      <c r="E58" s="17">
        <v>103.14</v>
      </c>
      <c r="F58" s="17">
        <v>68.31</v>
      </c>
      <c r="G58" s="17">
        <f>12/4*C58</f>
        <v>126.96000000000001</v>
      </c>
      <c r="H58" s="9"/>
      <c r="I58" s="10"/>
      <c r="J58" s="10"/>
    </row>
    <row r="59" spans="1:10" x14ac:dyDescent="0.25">
      <c r="C59" s="9"/>
      <c r="D59" s="9"/>
      <c r="E59" s="9"/>
      <c r="F59" s="9"/>
      <c r="G59" s="9"/>
      <c r="H59" s="9"/>
      <c r="I59" s="10"/>
      <c r="J59" s="10"/>
    </row>
    <row r="60" spans="1:10" x14ac:dyDescent="0.25">
      <c r="C60" s="9"/>
      <c r="D60" s="9"/>
      <c r="E60" s="9"/>
      <c r="F60" s="9"/>
      <c r="G60" s="9"/>
      <c r="H60" s="9"/>
      <c r="I60" s="10"/>
      <c r="J60" s="10"/>
    </row>
    <row r="61" spans="1:10" x14ac:dyDescent="0.25">
      <c r="A61" s="19" t="s">
        <v>60</v>
      </c>
      <c r="B61" s="26"/>
      <c r="C61" s="9"/>
      <c r="D61" s="9"/>
      <c r="E61" s="9"/>
      <c r="F61" s="9"/>
      <c r="G61" s="9"/>
      <c r="H61" s="9"/>
      <c r="I61" s="10"/>
      <c r="J61" s="10"/>
    </row>
    <row r="62" spans="1:10" x14ac:dyDescent="0.25">
      <c r="A62" s="3" t="s">
        <v>77</v>
      </c>
      <c r="B62" s="1" t="s">
        <v>214</v>
      </c>
      <c r="C62" s="9"/>
      <c r="D62" s="9"/>
      <c r="E62" s="9"/>
      <c r="F62" s="9"/>
      <c r="G62" s="9"/>
      <c r="H62" s="9"/>
      <c r="I62" s="10"/>
      <c r="J62" s="10"/>
    </row>
    <row r="63" spans="1:10" x14ac:dyDescent="0.25">
      <c r="A63" s="3" t="s">
        <v>70</v>
      </c>
      <c r="B63" s="1" t="s">
        <v>79</v>
      </c>
      <c r="C63" s="9"/>
      <c r="D63" s="9"/>
      <c r="E63" s="9"/>
      <c r="F63" s="9"/>
      <c r="G63" s="9"/>
      <c r="H63" s="9"/>
      <c r="I63" s="10"/>
      <c r="J63" s="10"/>
    </row>
    <row r="64" spans="1:10" x14ac:dyDescent="0.25">
      <c r="A64" s="3" t="s">
        <v>71</v>
      </c>
      <c r="B64" s="1" t="s">
        <v>80</v>
      </c>
      <c r="C64" s="9"/>
      <c r="D64" s="9"/>
      <c r="E64" s="9"/>
      <c r="F64" s="9"/>
      <c r="G64" s="9"/>
      <c r="H64" s="9"/>
      <c r="I64" s="10"/>
      <c r="J64" s="10"/>
    </row>
    <row r="65" spans="1:10" x14ac:dyDescent="0.25">
      <c r="A65" s="3" t="s">
        <v>72</v>
      </c>
      <c r="B65" s="1" t="s">
        <v>81</v>
      </c>
      <c r="C65" s="9"/>
      <c r="D65" s="9"/>
      <c r="E65" s="9"/>
      <c r="F65" s="9"/>
      <c r="G65" s="9"/>
      <c r="H65" s="9"/>
      <c r="I65" s="10"/>
      <c r="J65" s="10"/>
    </row>
    <row r="66" spans="1:10" x14ac:dyDescent="0.25">
      <c r="C66" s="9"/>
      <c r="D66" s="9"/>
      <c r="E66" s="9"/>
      <c r="F66" s="9"/>
      <c r="G66" s="9"/>
      <c r="H66" s="9"/>
      <c r="I66" s="10"/>
      <c r="J66" s="10"/>
    </row>
    <row r="67" spans="1:10" x14ac:dyDescent="0.25">
      <c r="C67" s="9"/>
      <c r="D67" s="9"/>
      <c r="E67" s="9"/>
      <c r="F67" s="9"/>
      <c r="G67" s="9"/>
      <c r="H67" s="9"/>
      <c r="I67" s="10"/>
      <c r="J67" s="10"/>
    </row>
    <row r="68" spans="1:10" x14ac:dyDescent="0.25">
      <c r="C68" s="9"/>
      <c r="D68" s="9"/>
      <c r="E68" s="9"/>
      <c r="F68" s="9"/>
      <c r="G68" s="9"/>
      <c r="H68" s="9"/>
      <c r="I68" s="10"/>
      <c r="J68" s="10"/>
    </row>
    <row r="69" spans="1:10" x14ac:dyDescent="0.25">
      <c r="C69" s="9"/>
      <c r="D69" s="9"/>
      <c r="E69" s="9"/>
      <c r="F69" s="9"/>
      <c r="G69" s="9"/>
      <c r="H69" s="9"/>
      <c r="I69" s="10"/>
      <c r="J69" s="10"/>
    </row>
    <row r="70" spans="1:10" x14ac:dyDescent="0.25">
      <c r="C70" s="9"/>
      <c r="D70" s="9"/>
      <c r="E70" s="9"/>
      <c r="F70" s="9"/>
      <c r="G70" s="9"/>
      <c r="H70" s="9"/>
      <c r="I70" s="10"/>
      <c r="J70" s="10"/>
    </row>
    <row r="71" spans="1:10" x14ac:dyDescent="0.25">
      <c r="C71" s="9"/>
      <c r="D71" s="9"/>
      <c r="E71" s="9"/>
      <c r="F71" s="9"/>
      <c r="G71" s="9"/>
      <c r="H71" s="9"/>
      <c r="I71" s="10"/>
      <c r="J71" s="10"/>
    </row>
    <row r="72" spans="1:10" x14ac:dyDescent="0.25">
      <c r="C72" s="9"/>
      <c r="D72" s="9"/>
      <c r="E72" s="9"/>
      <c r="F72" s="9"/>
      <c r="G72" s="9"/>
      <c r="H72" s="9"/>
      <c r="I72" s="10"/>
      <c r="J72" s="10"/>
    </row>
    <row r="73" spans="1:10" x14ac:dyDescent="0.25">
      <c r="C73" s="9"/>
      <c r="D73" s="9"/>
      <c r="E73" s="9"/>
      <c r="F73" s="9"/>
      <c r="G73" s="9"/>
      <c r="H73" s="9"/>
      <c r="I73" s="10"/>
      <c r="J73" s="10"/>
    </row>
    <row r="74" spans="1:10" x14ac:dyDescent="0.25">
      <c r="C74" s="9"/>
      <c r="D74" s="9"/>
      <c r="E74" s="9"/>
      <c r="F74" s="9"/>
      <c r="G74" s="9"/>
      <c r="H74" s="9"/>
      <c r="I74" s="10"/>
      <c r="J74" s="10"/>
    </row>
    <row r="75" spans="1:10" x14ac:dyDescent="0.25">
      <c r="C75" s="9"/>
      <c r="D75" s="9"/>
      <c r="E75" s="9"/>
      <c r="F75" s="9"/>
      <c r="G75" s="9"/>
      <c r="H75" s="9"/>
      <c r="I75" s="10"/>
      <c r="J75" s="10"/>
    </row>
  </sheetData>
  <mergeCells count="19">
    <mergeCell ref="A56:B56"/>
    <mergeCell ref="A57:B57"/>
    <mergeCell ref="A58:B58"/>
    <mergeCell ref="A61:B61"/>
    <mergeCell ref="I49:I50"/>
    <mergeCell ref="J49:J50"/>
    <mergeCell ref="A50:B50"/>
    <mergeCell ref="A54:B54"/>
    <mergeCell ref="A55:B55"/>
    <mergeCell ref="A42:B42"/>
    <mergeCell ref="A43:B43"/>
    <mergeCell ref="A48:B48"/>
    <mergeCell ref="A49:B49"/>
    <mergeCell ref="H49:H50"/>
    <mergeCell ref="C7:G7"/>
    <mergeCell ref="A34:B34"/>
    <mergeCell ref="A35:B35"/>
    <mergeCell ref="A40:B40"/>
    <mergeCell ref="A41:B41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2:J75"/>
  <sheetViews>
    <sheetView workbookViewId="0">
      <selection activeCell="C9" sqref="C9:J75"/>
    </sheetView>
  </sheetViews>
  <sheetFormatPr defaultRowHeight="15" x14ac:dyDescent="0.25"/>
  <cols>
    <col min="1" max="1" width="38.85546875" bestFit="1" customWidth="1"/>
    <col min="2" max="2" width="79" bestFit="1" customWidth="1"/>
    <col min="3" max="3" width="14" bestFit="1" customWidth="1"/>
    <col min="4" max="4" width="28.140625" bestFit="1" customWidth="1"/>
    <col min="5" max="5" width="16.42578125" bestFit="1" customWidth="1"/>
    <col min="6" max="6" width="10.5703125" bestFit="1" customWidth="1"/>
    <col min="7" max="7" width="68.28515625" bestFit="1" customWidth="1"/>
    <col min="8" max="9" width="20" bestFit="1" customWidth="1"/>
    <col min="10" max="10" width="30.5703125" bestFit="1" customWidth="1"/>
  </cols>
  <sheetData>
    <row r="2" spans="1:10" ht="18.75" x14ac:dyDescent="0.3">
      <c r="A2" s="3" t="s">
        <v>0</v>
      </c>
      <c r="B2" s="4" t="s">
        <v>215</v>
      </c>
    </row>
    <row r="3" spans="1:10" x14ac:dyDescent="0.25">
      <c r="A3" s="3" t="s">
        <v>2</v>
      </c>
      <c r="B3" s="1" t="s">
        <v>3</v>
      </c>
    </row>
    <row r="4" spans="1:10" x14ac:dyDescent="0.25">
      <c r="A4" s="3" t="s">
        <v>4</v>
      </c>
      <c r="B4" s="1">
        <v>4801</v>
      </c>
    </row>
    <row r="7" spans="1:10" x14ac:dyDescent="0.25">
      <c r="C7" s="19" t="s">
        <v>5</v>
      </c>
      <c r="D7" s="20"/>
      <c r="E7" s="20"/>
      <c r="F7" s="20"/>
      <c r="G7" s="20"/>
    </row>
    <row r="8" spans="1:10" x14ac:dyDescent="0.25">
      <c r="A8" s="3" t="s">
        <v>6</v>
      </c>
      <c r="B8" s="3" t="s">
        <v>7</v>
      </c>
      <c r="C8" s="3" t="s">
        <v>8</v>
      </c>
      <c r="D8" s="3" t="s">
        <v>9</v>
      </c>
      <c r="E8" s="3" t="s">
        <v>10</v>
      </c>
      <c r="F8" s="3" t="s">
        <v>11</v>
      </c>
      <c r="G8" s="3" t="s">
        <v>12</v>
      </c>
      <c r="H8" s="3" t="s">
        <v>13</v>
      </c>
      <c r="I8" s="3" t="s">
        <v>14</v>
      </c>
      <c r="J8" s="3" t="s">
        <v>15</v>
      </c>
    </row>
    <row r="9" spans="1:10" x14ac:dyDescent="0.25">
      <c r="A9" s="1" t="s">
        <v>16</v>
      </c>
      <c r="B9" s="1" t="s">
        <v>17</v>
      </c>
      <c r="C9" s="11"/>
      <c r="D9" s="11"/>
      <c r="E9" s="11">
        <v>77</v>
      </c>
      <c r="F9" s="11"/>
      <c r="G9" s="11">
        <f t="shared" ref="G9:G43" si="0">SUM(C9:F9)</f>
        <v>77</v>
      </c>
      <c r="H9" s="17">
        <f t="shared" ref="H9:H43" si="1">ROUND(G9/4801,2)</f>
        <v>0.02</v>
      </c>
      <c r="I9" s="16">
        <f t="shared" ref="I9:I43" si="2">ROUND(G9/$G$44,3)</f>
        <v>0</v>
      </c>
      <c r="J9" s="16">
        <f>ROUND(G9/70-1,2)</f>
        <v>0.1</v>
      </c>
    </row>
    <row r="10" spans="1:10" x14ac:dyDescent="0.25">
      <c r="A10" s="1" t="s">
        <v>16</v>
      </c>
      <c r="B10" s="1" t="s">
        <v>19</v>
      </c>
      <c r="C10" s="11">
        <v>49640</v>
      </c>
      <c r="D10" s="11"/>
      <c r="E10" s="11"/>
      <c r="F10" s="11">
        <v>1180</v>
      </c>
      <c r="G10" s="11">
        <f t="shared" si="0"/>
        <v>50820</v>
      </c>
      <c r="H10" s="17">
        <f t="shared" si="1"/>
        <v>10.59</v>
      </c>
      <c r="I10" s="16">
        <f t="shared" si="2"/>
        <v>6.8000000000000005E-2</v>
      </c>
      <c r="J10" s="16">
        <f>ROUND(G10/43750-1,2)</f>
        <v>0.16</v>
      </c>
    </row>
    <row r="11" spans="1:10" x14ac:dyDescent="0.25">
      <c r="A11" s="1" t="s">
        <v>16</v>
      </c>
      <c r="B11" s="1" t="s">
        <v>20</v>
      </c>
      <c r="C11" s="11">
        <v>80460</v>
      </c>
      <c r="D11" s="11"/>
      <c r="E11" s="11"/>
      <c r="F11" s="11"/>
      <c r="G11" s="11">
        <f t="shared" si="0"/>
        <v>80460</v>
      </c>
      <c r="H11" s="17">
        <f t="shared" si="1"/>
        <v>16.760000000000002</v>
      </c>
      <c r="I11" s="16">
        <f t="shared" si="2"/>
        <v>0.108</v>
      </c>
      <c r="J11" s="16">
        <f>ROUND(G11/80880-1,2)</f>
        <v>-0.01</v>
      </c>
    </row>
    <row r="12" spans="1:10" x14ac:dyDescent="0.25">
      <c r="A12" s="1" t="s">
        <v>16</v>
      </c>
      <c r="B12" s="1" t="s">
        <v>94</v>
      </c>
      <c r="C12" s="11"/>
      <c r="D12" s="11"/>
      <c r="E12" s="11">
        <v>41</v>
      </c>
      <c r="F12" s="11"/>
      <c r="G12" s="11">
        <f t="shared" si="0"/>
        <v>41</v>
      </c>
      <c r="H12" s="17">
        <f t="shared" si="1"/>
        <v>0.01</v>
      </c>
      <c r="I12" s="16">
        <f t="shared" si="2"/>
        <v>0</v>
      </c>
      <c r="J12" s="16">
        <f>ROUND(G12/12-1,2)</f>
        <v>2.42</v>
      </c>
    </row>
    <row r="13" spans="1:10" x14ac:dyDescent="0.25">
      <c r="A13" s="1" t="s">
        <v>16</v>
      </c>
      <c r="B13" s="1" t="s">
        <v>21</v>
      </c>
      <c r="C13" s="11"/>
      <c r="D13" s="11"/>
      <c r="E13" s="11">
        <v>353</v>
      </c>
      <c r="F13" s="11"/>
      <c r="G13" s="11">
        <f t="shared" si="0"/>
        <v>353</v>
      </c>
      <c r="H13" s="17">
        <f t="shared" si="1"/>
        <v>7.0000000000000007E-2</v>
      </c>
      <c r="I13" s="16">
        <f t="shared" si="2"/>
        <v>0</v>
      </c>
      <c r="J13" s="16">
        <f>ROUND(G13/60-1,2)</f>
        <v>4.88</v>
      </c>
    </row>
    <row r="14" spans="1:10" x14ac:dyDescent="0.25">
      <c r="A14" s="1" t="s">
        <v>16</v>
      </c>
      <c r="B14" s="1" t="s">
        <v>22</v>
      </c>
      <c r="C14" s="11"/>
      <c r="D14" s="11"/>
      <c r="E14" s="11">
        <v>800</v>
      </c>
      <c r="F14" s="11"/>
      <c r="G14" s="11">
        <f t="shared" si="0"/>
        <v>800</v>
      </c>
      <c r="H14" s="17">
        <f t="shared" si="1"/>
        <v>0.17</v>
      </c>
      <c r="I14" s="16">
        <f t="shared" si="2"/>
        <v>1E-3</v>
      </c>
      <c r="J14" s="16">
        <f>ROUND(G14/1000-1,2)</f>
        <v>-0.2</v>
      </c>
    </row>
    <row r="15" spans="1:10" x14ac:dyDescent="0.25">
      <c r="A15" s="1" t="s">
        <v>16</v>
      </c>
      <c r="B15" s="1" t="s">
        <v>23</v>
      </c>
      <c r="C15" s="11"/>
      <c r="D15" s="11"/>
      <c r="E15" s="11">
        <v>78740</v>
      </c>
      <c r="F15" s="11"/>
      <c r="G15" s="11">
        <f t="shared" si="0"/>
        <v>78740</v>
      </c>
      <c r="H15" s="17">
        <f t="shared" si="1"/>
        <v>16.399999999999999</v>
      </c>
      <c r="I15" s="16">
        <f t="shared" si="2"/>
        <v>0.105</v>
      </c>
      <c r="J15" s="16">
        <f>ROUND(G15/15760-1,2)</f>
        <v>4</v>
      </c>
    </row>
    <row r="16" spans="1:10" x14ac:dyDescent="0.25">
      <c r="A16" s="1" t="s">
        <v>16</v>
      </c>
      <c r="B16" s="1" t="s">
        <v>24</v>
      </c>
      <c r="C16" s="11">
        <v>72120</v>
      </c>
      <c r="D16" s="11"/>
      <c r="E16" s="11">
        <v>7060</v>
      </c>
      <c r="F16" s="11">
        <v>7020</v>
      </c>
      <c r="G16" s="11">
        <f t="shared" si="0"/>
        <v>86200</v>
      </c>
      <c r="H16" s="17">
        <f t="shared" si="1"/>
        <v>17.95</v>
      </c>
      <c r="I16" s="16">
        <f t="shared" si="2"/>
        <v>0.115</v>
      </c>
      <c r="J16" s="16">
        <f>ROUND(G16/81280-1,2)</f>
        <v>0.06</v>
      </c>
    </row>
    <row r="17" spans="1:10" x14ac:dyDescent="0.25">
      <c r="A17" s="1" t="s">
        <v>16</v>
      </c>
      <c r="B17" s="1" t="s">
        <v>25</v>
      </c>
      <c r="C17" s="11"/>
      <c r="D17" s="11"/>
      <c r="E17" s="11">
        <v>4470</v>
      </c>
      <c r="F17" s="11"/>
      <c r="G17" s="11">
        <f t="shared" si="0"/>
        <v>4470</v>
      </c>
      <c r="H17" s="17">
        <f t="shared" si="1"/>
        <v>0.93</v>
      </c>
      <c r="I17" s="16">
        <f t="shared" si="2"/>
        <v>6.0000000000000001E-3</v>
      </c>
      <c r="J17" s="16">
        <f>ROUND(G17/3340-1,2)</f>
        <v>0.34</v>
      </c>
    </row>
    <row r="18" spans="1:10" x14ac:dyDescent="0.25">
      <c r="A18" s="1" t="s">
        <v>16</v>
      </c>
      <c r="B18" s="1" t="s">
        <v>26</v>
      </c>
      <c r="C18" s="11">
        <v>103420</v>
      </c>
      <c r="D18" s="11"/>
      <c r="E18" s="11"/>
      <c r="F18" s="11">
        <v>100</v>
      </c>
      <c r="G18" s="11">
        <f t="shared" si="0"/>
        <v>103520</v>
      </c>
      <c r="H18" s="17">
        <f t="shared" si="1"/>
        <v>21.56</v>
      </c>
      <c r="I18" s="16">
        <f t="shared" si="2"/>
        <v>0.13800000000000001</v>
      </c>
      <c r="J18" s="16">
        <f>ROUND(G18/103660-1,2)</f>
        <v>0</v>
      </c>
    </row>
    <row r="19" spans="1:10" x14ac:dyDescent="0.25">
      <c r="A19" s="1" t="s">
        <v>16</v>
      </c>
      <c r="B19" s="1" t="s">
        <v>27</v>
      </c>
      <c r="C19" s="11"/>
      <c r="D19" s="11"/>
      <c r="E19" s="11">
        <v>131</v>
      </c>
      <c r="F19" s="11"/>
      <c r="G19" s="11">
        <f t="shared" si="0"/>
        <v>131</v>
      </c>
      <c r="H19" s="17">
        <f t="shared" si="1"/>
        <v>0.03</v>
      </c>
      <c r="I19" s="16">
        <f t="shared" si="2"/>
        <v>0</v>
      </c>
      <c r="J19" s="16">
        <f>ROUND(G19/235-1,2)</f>
        <v>-0.44</v>
      </c>
    </row>
    <row r="20" spans="1:10" x14ac:dyDescent="0.25">
      <c r="A20" s="1" t="s">
        <v>16</v>
      </c>
      <c r="B20" s="1" t="s">
        <v>28</v>
      </c>
      <c r="C20" s="11"/>
      <c r="D20" s="11"/>
      <c r="E20" s="11">
        <v>116</v>
      </c>
      <c r="F20" s="11"/>
      <c r="G20" s="11">
        <f t="shared" si="0"/>
        <v>116</v>
      </c>
      <c r="H20" s="17">
        <f t="shared" si="1"/>
        <v>0.02</v>
      </c>
      <c r="I20" s="16">
        <f t="shared" si="2"/>
        <v>0</v>
      </c>
      <c r="J20" s="16">
        <f>ROUND(G20/205-1,2)</f>
        <v>-0.43</v>
      </c>
    </row>
    <row r="21" spans="1:10" x14ac:dyDescent="0.25">
      <c r="A21" s="1" t="s">
        <v>16</v>
      </c>
      <c r="B21" s="1" t="s">
        <v>29</v>
      </c>
      <c r="C21" s="11"/>
      <c r="D21" s="11"/>
      <c r="E21" s="11">
        <v>520</v>
      </c>
      <c r="F21" s="11"/>
      <c r="G21" s="11">
        <f t="shared" si="0"/>
        <v>520</v>
      </c>
      <c r="H21" s="17">
        <f t="shared" si="1"/>
        <v>0.11</v>
      </c>
      <c r="I21" s="16">
        <f t="shared" si="2"/>
        <v>1E-3</v>
      </c>
      <c r="J21" s="16">
        <f>ROUND(G21/560-1,2)</f>
        <v>-7.0000000000000007E-2</v>
      </c>
    </row>
    <row r="22" spans="1:10" x14ac:dyDescent="0.25">
      <c r="A22" s="1" t="s">
        <v>16</v>
      </c>
      <c r="B22" s="1" t="s">
        <v>30</v>
      </c>
      <c r="C22" s="11"/>
      <c r="D22" s="11"/>
      <c r="E22" s="11">
        <v>220</v>
      </c>
      <c r="F22" s="11"/>
      <c r="G22" s="11">
        <f t="shared" si="0"/>
        <v>220</v>
      </c>
      <c r="H22" s="17">
        <f t="shared" si="1"/>
        <v>0.05</v>
      </c>
      <c r="I22" s="16">
        <f t="shared" si="2"/>
        <v>0</v>
      </c>
      <c r="J22" s="16"/>
    </row>
    <row r="23" spans="1:10" x14ac:dyDescent="0.25">
      <c r="A23" s="1" t="s">
        <v>16</v>
      </c>
      <c r="B23" s="1" t="s">
        <v>31</v>
      </c>
      <c r="C23" s="11"/>
      <c r="D23" s="11"/>
      <c r="E23" s="11">
        <v>900</v>
      </c>
      <c r="F23" s="11"/>
      <c r="G23" s="11">
        <f t="shared" si="0"/>
        <v>900</v>
      </c>
      <c r="H23" s="17">
        <f t="shared" si="1"/>
        <v>0.19</v>
      </c>
      <c r="I23" s="16">
        <f t="shared" si="2"/>
        <v>1E-3</v>
      </c>
      <c r="J23" s="16">
        <f>ROUND(G23/275-1,2)</f>
        <v>2.27</v>
      </c>
    </row>
    <row r="24" spans="1:10" x14ac:dyDescent="0.25">
      <c r="A24" s="1" t="s">
        <v>16</v>
      </c>
      <c r="B24" s="1" t="s">
        <v>32</v>
      </c>
      <c r="C24" s="11"/>
      <c r="D24" s="11">
        <v>138</v>
      </c>
      <c r="E24" s="11"/>
      <c r="F24" s="11"/>
      <c r="G24" s="11">
        <f t="shared" si="0"/>
        <v>138</v>
      </c>
      <c r="H24" s="17">
        <f t="shared" si="1"/>
        <v>0.03</v>
      </c>
      <c r="I24" s="16">
        <f t="shared" si="2"/>
        <v>0</v>
      </c>
      <c r="J24" s="16">
        <f>ROUND(G24/166-1,2)</f>
        <v>-0.17</v>
      </c>
    </row>
    <row r="25" spans="1:10" x14ac:dyDescent="0.25">
      <c r="A25" s="1" t="s">
        <v>16</v>
      </c>
      <c r="B25" s="1" t="s">
        <v>34</v>
      </c>
      <c r="C25" s="11"/>
      <c r="D25" s="11"/>
      <c r="E25" s="11">
        <v>550</v>
      </c>
      <c r="F25" s="11"/>
      <c r="G25" s="11">
        <f t="shared" si="0"/>
        <v>550</v>
      </c>
      <c r="H25" s="17">
        <f t="shared" si="1"/>
        <v>0.11</v>
      </c>
      <c r="I25" s="16">
        <f t="shared" si="2"/>
        <v>1E-3</v>
      </c>
      <c r="J25" s="16"/>
    </row>
    <row r="26" spans="1:10" x14ac:dyDescent="0.25">
      <c r="A26" s="1" t="s">
        <v>16</v>
      </c>
      <c r="B26" s="1" t="s">
        <v>35</v>
      </c>
      <c r="C26" s="11"/>
      <c r="D26" s="11"/>
      <c r="E26" s="11">
        <v>50580</v>
      </c>
      <c r="F26" s="11"/>
      <c r="G26" s="11">
        <f t="shared" si="0"/>
        <v>50580</v>
      </c>
      <c r="H26" s="17">
        <f t="shared" si="1"/>
        <v>10.54</v>
      </c>
      <c r="I26" s="16">
        <f t="shared" si="2"/>
        <v>6.8000000000000005E-2</v>
      </c>
      <c r="J26" s="16">
        <f>ROUND(G26/22410-1,2)</f>
        <v>1.26</v>
      </c>
    </row>
    <row r="27" spans="1:10" x14ac:dyDescent="0.25">
      <c r="A27" s="1" t="s">
        <v>16</v>
      </c>
      <c r="B27" s="1" t="s">
        <v>36</v>
      </c>
      <c r="C27" s="11"/>
      <c r="D27" s="11"/>
      <c r="E27" s="11">
        <v>5380</v>
      </c>
      <c r="F27" s="11"/>
      <c r="G27" s="11">
        <f t="shared" si="0"/>
        <v>5380</v>
      </c>
      <c r="H27" s="17">
        <f t="shared" si="1"/>
        <v>1.1200000000000001</v>
      </c>
      <c r="I27" s="16">
        <f t="shared" si="2"/>
        <v>7.0000000000000001E-3</v>
      </c>
      <c r="J27" s="16">
        <f>ROUND(G27/2640-1,2)</f>
        <v>1.04</v>
      </c>
    </row>
    <row r="28" spans="1:10" x14ac:dyDescent="0.25">
      <c r="A28" s="1" t="s">
        <v>16</v>
      </c>
      <c r="B28" s="1" t="s">
        <v>37</v>
      </c>
      <c r="C28" s="11"/>
      <c r="D28" s="11"/>
      <c r="E28" s="11">
        <v>14420</v>
      </c>
      <c r="F28" s="11"/>
      <c r="G28" s="11">
        <f t="shared" si="0"/>
        <v>14420</v>
      </c>
      <c r="H28" s="17">
        <f t="shared" si="1"/>
        <v>3</v>
      </c>
      <c r="I28" s="16">
        <f t="shared" si="2"/>
        <v>1.9E-2</v>
      </c>
      <c r="J28" s="16">
        <f>ROUND(G28/5130-1,2)</f>
        <v>1.81</v>
      </c>
    </row>
    <row r="29" spans="1:10" x14ac:dyDescent="0.25">
      <c r="A29" s="1" t="s">
        <v>16</v>
      </c>
      <c r="B29" s="1" t="s">
        <v>38</v>
      </c>
      <c r="C29" s="11"/>
      <c r="D29" s="11"/>
      <c r="E29" s="11">
        <v>69890</v>
      </c>
      <c r="F29" s="11">
        <v>2300</v>
      </c>
      <c r="G29" s="11">
        <f t="shared" si="0"/>
        <v>72190</v>
      </c>
      <c r="H29" s="17">
        <f t="shared" si="1"/>
        <v>15.04</v>
      </c>
      <c r="I29" s="16">
        <f t="shared" si="2"/>
        <v>9.6000000000000002E-2</v>
      </c>
      <c r="J29" s="16">
        <f>ROUND(G29/80800-1,2)</f>
        <v>-0.11</v>
      </c>
    </row>
    <row r="30" spans="1:10" x14ac:dyDescent="0.25">
      <c r="A30" s="1" t="s">
        <v>16</v>
      </c>
      <c r="B30" s="1" t="s">
        <v>39</v>
      </c>
      <c r="C30" s="11"/>
      <c r="D30" s="11"/>
      <c r="E30" s="11"/>
      <c r="F30" s="11"/>
      <c r="G30" s="11">
        <f t="shared" si="0"/>
        <v>0</v>
      </c>
      <c r="H30" s="17">
        <f t="shared" si="1"/>
        <v>0</v>
      </c>
      <c r="I30" s="16">
        <f t="shared" si="2"/>
        <v>0</v>
      </c>
      <c r="J30" s="16">
        <f>ROUND(G30/129-1,2)</f>
        <v>-1</v>
      </c>
    </row>
    <row r="31" spans="1:10" x14ac:dyDescent="0.25">
      <c r="A31" s="1" t="s">
        <v>16</v>
      </c>
      <c r="B31" s="1" t="s">
        <v>40</v>
      </c>
      <c r="C31" s="11"/>
      <c r="D31" s="11"/>
      <c r="E31" s="11"/>
      <c r="F31" s="11"/>
      <c r="G31" s="11">
        <f t="shared" si="0"/>
        <v>0</v>
      </c>
      <c r="H31" s="17">
        <f t="shared" si="1"/>
        <v>0</v>
      </c>
      <c r="I31" s="16">
        <f t="shared" si="2"/>
        <v>0</v>
      </c>
      <c r="J31" s="16">
        <f>ROUND(G31/3560-1,2)</f>
        <v>-1</v>
      </c>
    </row>
    <row r="32" spans="1:10" x14ac:dyDescent="0.25">
      <c r="A32" s="1" t="s">
        <v>16</v>
      </c>
      <c r="B32" s="1" t="s">
        <v>33</v>
      </c>
      <c r="C32" s="11"/>
      <c r="D32" s="11"/>
      <c r="E32" s="11"/>
      <c r="F32" s="11"/>
      <c r="G32" s="11">
        <f t="shared" si="0"/>
        <v>0</v>
      </c>
      <c r="H32" s="17">
        <f t="shared" si="1"/>
        <v>0</v>
      </c>
      <c r="I32" s="16">
        <f t="shared" si="2"/>
        <v>0</v>
      </c>
      <c r="J32" s="16"/>
    </row>
    <row r="33" spans="1:10" x14ac:dyDescent="0.25">
      <c r="A33" s="1" t="s">
        <v>16</v>
      </c>
      <c r="B33" s="1" t="s">
        <v>41</v>
      </c>
      <c r="C33" s="11"/>
      <c r="D33" s="11"/>
      <c r="E33" s="11"/>
      <c r="F33" s="11"/>
      <c r="G33" s="11">
        <f t="shared" si="0"/>
        <v>0</v>
      </c>
      <c r="H33" s="17">
        <f t="shared" si="1"/>
        <v>0</v>
      </c>
      <c r="I33" s="16">
        <f t="shared" si="2"/>
        <v>0</v>
      </c>
      <c r="J33" s="16">
        <f>ROUND(G33/1460-1,2)</f>
        <v>-1</v>
      </c>
    </row>
    <row r="34" spans="1:10" x14ac:dyDescent="0.25">
      <c r="A34" s="1" t="s">
        <v>16</v>
      </c>
      <c r="B34" s="1" t="s">
        <v>43</v>
      </c>
      <c r="C34" s="11"/>
      <c r="D34" s="11"/>
      <c r="E34" s="11"/>
      <c r="F34" s="11"/>
      <c r="G34" s="11">
        <f t="shared" si="0"/>
        <v>0</v>
      </c>
      <c r="H34" s="17">
        <f t="shared" si="1"/>
        <v>0</v>
      </c>
      <c r="I34" s="16">
        <f t="shared" si="2"/>
        <v>0</v>
      </c>
      <c r="J34" s="16">
        <f>ROUND(G34/2270-1,2)</f>
        <v>-1</v>
      </c>
    </row>
    <row r="35" spans="1:10" x14ac:dyDescent="0.25">
      <c r="A35" s="1" t="s">
        <v>16</v>
      </c>
      <c r="B35" s="1" t="s">
        <v>42</v>
      </c>
      <c r="C35" s="11"/>
      <c r="D35" s="11"/>
      <c r="E35" s="11"/>
      <c r="F35" s="11"/>
      <c r="G35" s="11">
        <f t="shared" si="0"/>
        <v>0</v>
      </c>
      <c r="H35" s="17">
        <f t="shared" si="1"/>
        <v>0</v>
      </c>
      <c r="I35" s="16">
        <f t="shared" si="2"/>
        <v>0</v>
      </c>
      <c r="J35" s="16">
        <f>ROUND(G35/2640-1,2)</f>
        <v>-1</v>
      </c>
    </row>
    <row r="36" spans="1:10" x14ac:dyDescent="0.25">
      <c r="A36" s="1" t="s">
        <v>16</v>
      </c>
      <c r="B36" s="1" t="s">
        <v>216</v>
      </c>
      <c r="C36" s="11"/>
      <c r="D36" s="11"/>
      <c r="E36" s="11"/>
      <c r="F36" s="11"/>
      <c r="G36" s="11">
        <f t="shared" si="0"/>
        <v>0</v>
      </c>
      <c r="H36" s="17">
        <f t="shared" si="1"/>
        <v>0</v>
      </c>
      <c r="I36" s="16">
        <f t="shared" si="2"/>
        <v>0</v>
      </c>
      <c r="J36" s="16"/>
    </row>
    <row r="37" spans="1:10" x14ac:dyDescent="0.25">
      <c r="A37" s="1" t="s">
        <v>16</v>
      </c>
      <c r="B37" s="1" t="s">
        <v>158</v>
      </c>
      <c r="C37" s="11"/>
      <c r="D37" s="11"/>
      <c r="E37" s="11"/>
      <c r="F37" s="11"/>
      <c r="G37" s="11">
        <f t="shared" si="0"/>
        <v>0</v>
      </c>
      <c r="H37" s="17">
        <f t="shared" si="1"/>
        <v>0</v>
      </c>
      <c r="I37" s="16">
        <f t="shared" si="2"/>
        <v>0</v>
      </c>
      <c r="J37" s="16"/>
    </row>
    <row r="38" spans="1:10" x14ac:dyDescent="0.25">
      <c r="A38" s="1" t="s">
        <v>16</v>
      </c>
      <c r="B38" s="1" t="s">
        <v>217</v>
      </c>
      <c r="C38" s="11"/>
      <c r="D38" s="11"/>
      <c r="E38" s="11"/>
      <c r="F38" s="11"/>
      <c r="G38" s="11">
        <f t="shared" si="0"/>
        <v>0</v>
      </c>
      <c r="H38" s="17">
        <f t="shared" si="1"/>
        <v>0</v>
      </c>
      <c r="I38" s="16">
        <f t="shared" si="2"/>
        <v>0</v>
      </c>
      <c r="J38" s="16"/>
    </row>
    <row r="39" spans="1:10" x14ac:dyDescent="0.25">
      <c r="A39" s="1" t="s">
        <v>44</v>
      </c>
      <c r="B39" s="1" t="s">
        <v>45</v>
      </c>
      <c r="C39" s="11">
        <v>134580</v>
      </c>
      <c r="D39" s="11"/>
      <c r="E39" s="11"/>
      <c r="F39" s="11">
        <v>3280</v>
      </c>
      <c r="G39" s="11">
        <f t="shared" si="0"/>
        <v>137860</v>
      </c>
      <c r="H39" s="17">
        <f t="shared" si="1"/>
        <v>28.71</v>
      </c>
      <c r="I39" s="16">
        <f t="shared" si="2"/>
        <v>0.184</v>
      </c>
      <c r="J39" s="16">
        <f>ROUND(G39/146760-1,2)</f>
        <v>-0.06</v>
      </c>
    </row>
    <row r="40" spans="1:10" x14ac:dyDescent="0.25">
      <c r="A40" s="1" t="s">
        <v>44</v>
      </c>
      <c r="B40" s="1" t="s">
        <v>47</v>
      </c>
      <c r="C40" s="11"/>
      <c r="D40" s="11"/>
      <c r="E40" s="11"/>
      <c r="F40" s="11">
        <v>23350</v>
      </c>
      <c r="G40" s="11">
        <f t="shared" si="0"/>
        <v>23350</v>
      </c>
      <c r="H40" s="17">
        <f t="shared" si="1"/>
        <v>4.8600000000000003</v>
      </c>
      <c r="I40" s="16">
        <f t="shared" si="2"/>
        <v>3.1E-2</v>
      </c>
      <c r="J40" s="16">
        <f>ROUND(G40/19770-1,2)</f>
        <v>0.18</v>
      </c>
    </row>
    <row r="41" spans="1:10" x14ac:dyDescent="0.25">
      <c r="A41" s="1" t="s">
        <v>44</v>
      </c>
      <c r="B41" s="1" t="s">
        <v>46</v>
      </c>
      <c r="C41" s="11"/>
      <c r="D41" s="11"/>
      <c r="E41" s="11">
        <v>36520</v>
      </c>
      <c r="F41" s="11"/>
      <c r="G41" s="11">
        <f t="shared" si="0"/>
        <v>36520</v>
      </c>
      <c r="H41" s="17">
        <f t="shared" si="1"/>
        <v>7.61</v>
      </c>
      <c r="I41" s="16">
        <f t="shared" si="2"/>
        <v>4.9000000000000002E-2</v>
      </c>
      <c r="J41" s="16">
        <f>ROUND(G41/15380-1,2)</f>
        <v>1.37</v>
      </c>
    </row>
    <row r="42" spans="1:10" x14ac:dyDescent="0.25">
      <c r="A42" s="1" t="s">
        <v>48</v>
      </c>
      <c r="B42" s="1" t="s">
        <v>51</v>
      </c>
      <c r="C42" s="11"/>
      <c r="D42" s="11"/>
      <c r="E42" s="11"/>
      <c r="F42" s="11"/>
      <c r="G42" s="11">
        <f t="shared" si="0"/>
        <v>0</v>
      </c>
      <c r="H42" s="17">
        <f t="shared" si="1"/>
        <v>0</v>
      </c>
      <c r="I42" s="16">
        <f t="shared" si="2"/>
        <v>0</v>
      </c>
      <c r="J42" s="16"/>
    </row>
    <row r="43" spans="1:10" x14ac:dyDescent="0.25">
      <c r="A43" s="1" t="s">
        <v>48</v>
      </c>
      <c r="B43" s="1" t="s">
        <v>49</v>
      </c>
      <c r="C43" s="11"/>
      <c r="D43" s="11"/>
      <c r="E43" s="11"/>
      <c r="F43" s="11"/>
      <c r="G43" s="11">
        <f t="shared" si="0"/>
        <v>0</v>
      </c>
      <c r="H43" s="17">
        <f t="shared" si="1"/>
        <v>0</v>
      </c>
      <c r="I43" s="16">
        <f t="shared" si="2"/>
        <v>0</v>
      </c>
      <c r="J43" s="16">
        <f>ROUND(G43/150-1,2)</f>
        <v>-1</v>
      </c>
    </row>
    <row r="44" spans="1:10" x14ac:dyDescent="0.25">
      <c r="A44" s="21" t="s">
        <v>12</v>
      </c>
      <c r="B44" s="21"/>
      <c r="C44" s="12">
        <f t="shared" ref="C44:H44" si="3">SUM(C8:C43)</f>
        <v>440220</v>
      </c>
      <c r="D44" s="12">
        <f t="shared" si="3"/>
        <v>138</v>
      </c>
      <c r="E44" s="12">
        <f t="shared" si="3"/>
        <v>270768</v>
      </c>
      <c r="F44" s="12">
        <f t="shared" si="3"/>
        <v>37230</v>
      </c>
      <c r="G44" s="12">
        <f t="shared" si="3"/>
        <v>748356</v>
      </c>
      <c r="H44" s="15">
        <f t="shared" si="3"/>
        <v>155.88000000000002</v>
      </c>
      <c r="I44" s="18"/>
      <c r="J44" s="18"/>
    </row>
    <row r="45" spans="1:10" x14ac:dyDescent="0.25">
      <c r="A45" s="21" t="s">
        <v>14</v>
      </c>
      <c r="B45" s="21"/>
      <c r="C45" s="13">
        <f>ROUND(C44/G44,2)</f>
        <v>0.59</v>
      </c>
      <c r="D45" s="13">
        <f>ROUND(D44/G44,2)</f>
        <v>0</v>
      </c>
      <c r="E45" s="13">
        <f>ROUND(E44/G44,2)</f>
        <v>0.36</v>
      </c>
      <c r="F45" s="13">
        <f>ROUND(F44/G44,2)</f>
        <v>0.05</v>
      </c>
      <c r="G45" s="14"/>
      <c r="H45" s="14"/>
      <c r="I45" s="18"/>
      <c r="J45" s="18"/>
    </row>
    <row r="46" spans="1:10" x14ac:dyDescent="0.25">
      <c r="A46" s="2" t="s">
        <v>52</v>
      </c>
      <c r="B46" s="2"/>
      <c r="C46" s="14"/>
      <c r="D46" s="14"/>
      <c r="E46" s="14"/>
      <c r="F46" s="14"/>
      <c r="G46" s="14"/>
      <c r="H46" s="14"/>
      <c r="I46" s="18"/>
      <c r="J46" s="18"/>
    </row>
    <row r="47" spans="1:10" x14ac:dyDescent="0.25">
      <c r="C47" s="9"/>
      <c r="D47" s="9"/>
      <c r="E47" s="9"/>
      <c r="F47" s="9"/>
      <c r="G47" s="9"/>
      <c r="H47" s="9"/>
      <c r="I47" s="10"/>
      <c r="J47" s="10"/>
    </row>
    <row r="48" spans="1:10" x14ac:dyDescent="0.25">
      <c r="C48" s="9"/>
      <c r="D48" s="9"/>
      <c r="E48" s="9"/>
      <c r="F48" s="9"/>
      <c r="G48" s="9"/>
      <c r="H48" s="9"/>
      <c r="I48" s="10"/>
      <c r="J48" s="10"/>
    </row>
    <row r="49" spans="1:10" x14ac:dyDescent="0.25">
      <c r="C49" s="9"/>
      <c r="D49" s="9"/>
      <c r="E49" s="9"/>
      <c r="F49" s="9"/>
      <c r="G49" s="9"/>
      <c r="H49" s="9"/>
      <c r="I49" s="10"/>
      <c r="J49" s="10"/>
    </row>
    <row r="50" spans="1:10" x14ac:dyDescent="0.25">
      <c r="A50" s="21" t="s">
        <v>53</v>
      </c>
      <c r="B50" s="21"/>
      <c r="C50" s="12" t="s">
        <v>8</v>
      </c>
      <c r="D50" s="12" t="s">
        <v>9</v>
      </c>
      <c r="E50" s="12" t="s">
        <v>10</v>
      </c>
      <c r="F50" s="12" t="s">
        <v>11</v>
      </c>
      <c r="G50" s="12" t="s">
        <v>12</v>
      </c>
      <c r="H50" s="15" t="s">
        <v>13</v>
      </c>
      <c r="I50" s="18"/>
      <c r="J50" s="18"/>
    </row>
    <row r="51" spans="1:10" x14ac:dyDescent="0.25">
      <c r="A51" s="20" t="s">
        <v>54</v>
      </c>
      <c r="B51" s="20"/>
      <c r="C51" s="11">
        <v>305640</v>
      </c>
      <c r="D51" s="11">
        <v>138</v>
      </c>
      <c r="E51" s="11">
        <v>234248</v>
      </c>
      <c r="F51" s="11">
        <v>10600</v>
      </c>
      <c r="G51" s="11">
        <f>SUM(C51:F51)</f>
        <v>550626</v>
      </c>
      <c r="H51" s="17">
        <f>ROUND(G51/4801,2)</f>
        <v>114.69</v>
      </c>
      <c r="I51" s="10"/>
      <c r="J51" s="10"/>
    </row>
    <row r="52" spans="1:10" x14ac:dyDescent="0.25">
      <c r="A52" s="20" t="s">
        <v>55</v>
      </c>
      <c r="B52" s="20"/>
      <c r="C52" s="11">
        <v>134580</v>
      </c>
      <c r="D52" s="11">
        <v>0</v>
      </c>
      <c r="E52" s="11">
        <v>36520</v>
      </c>
      <c r="F52" s="11">
        <v>26630</v>
      </c>
      <c r="G52" s="11">
        <f>SUM(C52:F52)</f>
        <v>197730</v>
      </c>
      <c r="H52" s="17">
        <f>ROUND(G52/4801,2)</f>
        <v>41.19</v>
      </c>
      <c r="I52" s="10"/>
      <c r="J52" s="10"/>
    </row>
    <row r="53" spans="1:10" x14ac:dyDescent="0.25">
      <c r="A53" s="20" t="s">
        <v>56</v>
      </c>
      <c r="B53" s="20"/>
      <c r="C53" s="11">
        <v>0</v>
      </c>
      <c r="D53" s="11">
        <v>0</v>
      </c>
      <c r="E53" s="11">
        <v>0</v>
      </c>
      <c r="F53" s="11">
        <v>0</v>
      </c>
      <c r="G53" s="11">
        <f>SUM(C53:F53)</f>
        <v>0</v>
      </c>
      <c r="H53" s="17">
        <f>ROUND(G53/4801,2)</f>
        <v>0</v>
      </c>
      <c r="I53" s="10"/>
      <c r="J53" s="10"/>
    </row>
    <row r="54" spans="1:10" x14ac:dyDescent="0.25">
      <c r="C54" s="9"/>
      <c r="D54" s="9"/>
      <c r="E54" s="9"/>
      <c r="F54" s="9"/>
      <c r="G54" s="9"/>
      <c r="H54" s="9"/>
      <c r="I54" s="10"/>
      <c r="J54" s="10"/>
    </row>
    <row r="55" spans="1:10" x14ac:dyDescent="0.25">
      <c r="C55" s="9"/>
      <c r="D55" s="9"/>
      <c r="E55" s="9"/>
      <c r="F55" s="9"/>
      <c r="G55" s="9"/>
      <c r="H55" s="9"/>
      <c r="I55" s="10"/>
      <c r="J55" s="10"/>
    </row>
    <row r="56" spans="1:10" x14ac:dyDescent="0.25">
      <c r="C56" s="9"/>
      <c r="D56" s="9"/>
      <c r="E56" s="9"/>
      <c r="F56" s="9"/>
      <c r="G56" s="9"/>
      <c r="H56" s="9"/>
      <c r="I56" s="10"/>
      <c r="J56" s="10"/>
    </row>
    <row r="57" spans="1:10" x14ac:dyDescent="0.25">
      <c r="C57" s="9"/>
      <c r="D57" s="9"/>
      <c r="E57" s="9"/>
      <c r="F57" s="9"/>
      <c r="G57" s="9"/>
      <c r="H57" s="9"/>
      <c r="I57" s="10"/>
      <c r="J57" s="10"/>
    </row>
    <row r="58" spans="1:10" x14ac:dyDescent="0.25">
      <c r="A58" s="21" t="s">
        <v>57</v>
      </c>
      <c r="B58" s="21"/>
      <c r="C58" s="15" t="s">
        <v>2</v>
      </c>
      <c r="D58" s="15">
        <v>2023</v>
      </c>
      <c r="E58" s="15" t="s">
        <v>59</v>
      </c>
      <c r="F58" s="14"/>
      <c r="G58" s="15" t="s">
        <v>60</v>
      </c>
      <c r="H58" s="15" t="s">
        <v>2</v>
      </c>
      <c r="I58" s="13" t="s">
        <v>61</v>
      </c>
      <c r="J58" s="13" t="s">
        <v>59</v>
      </c>
    </row>
    <row r="59" spans="1:10" x14ac:dyDescent="0.25">
      <c r="A59" s="20" t="s">
        <v>58</v>
      </c>
      <c r="B59" s="20"/>
      <c r="C59" s="16">
        <f>ROUND(0.783, 4)</f>
        <v>0.78300000000000003</v>
      </c>
      <c r="D59" s="16">
        <f>ROUND(0.7907, 4)</f>
        <v>0.79069999999999996</v>
      </c>
      <c r="E59" s="16">
        <f>ROUND(0.777, 4)</f>
        <v>0.77700000000000002</v>
      </c>
      <c r="F59" s="9"/>
      <c r="G59" s="15" t="s">
        <v>62</v>
      </c>
      <c r="H59" s="22" t="s">
        <v>63</v>
      </c>
      <c r="I59" s="24" t="s">
        <v>64</v>
      </c>
      <c r="J59" s="24" t="s">
        <v>65</v>
      </c>
    </row>
    <row r="60" spans="1:10" x14ac:dyDescent="0.25">
      <c r="A60" s="20" t="s">
        <v>66</v>
      </c>
      <c r="B60" s="20"/>
      <c r="C60" s="16">
        <f>ROUND(0.7733, 4)</f>
        <v>0.77329999999999999</v>
      </c>
      <c r="D60" s="16">
        <f>ROUND(0.7819, 4)</f>
        <v>0.78190000000000004</v>
      </c>
      <c r="E60" s="16">
        <f>ROUND(0.7608, 4)</f>
        <v>0.76080000000000003</v>
      </c>
      <c r="F60" s="9"/>
      <c r="G60" s="15" t="s">
        <v>67</v>
      </c>
      <c r="H60" s="23"/>
      <c r="I60" s="25"/>
      <c r="J60" s="25"/>
    </row>
    <row r="61" spans="1:10" x14ac:dyDescent="0.25">
      <c r="C61" s="9"/>
      <c r="D61" s="9"/>
      <c r="E61" s="9"/>
      <c r="F61" s="9"/>
      <c r="G61" s="9"/>
      <c r="H61" s="9"/>
      <c r="I61" s="10"/>
      <c r="J61" s="10"/>
    </row>
    <row r="62" spans="1:10" x14ac:dyDescent="0.25">
      <c r="C62" s="9"/>
      <c r="D62" s="9"/>
      <c r="E62" s="9"/>
      <c r="F62" s="9"/>
      <c r="G62" s="9"/>
      <c r="H62" s="9"/>
      <c r="I62" s="10"/>
      <c r="J62" s="10"/>
    </row>
    <row r="63" spans="1:10" x14ac:dyDescent="0.25">
      <c r="C63" s="9"/>
      <c r="D63" s="9"/>
      <c r="E63" s="9"/>
      <c r="F63" s="9"/>
      <c r="G63" s="9"/>
      <c r="H63" s="9"/>
      <c r="I63" s="10"/>
      <c r="J63" s="10"/>
    </row>
    <row r="64" spans="1:10" x14ac:dyDescent="0.25">
      <c r="A64" s="21" t="s">
        <v>68</v>
      </c>
      <c r="B64" s="21"/>
      <c r="C64" s="15" t="s">
        <v>2</v>
      </c>
      <c r="D64" s="15" t="s">
        <v>218</v>
      </c>
      <c r="E64" s="15" t="s">
        <v>70</v>
      </c>
      <c r="F64" s="15" t="s">
        <v>71</v>
      </c>
      <c r="G64" s="15" t="s">
        <v>72</v>
      </c>
      <c r="H64" s="14"/>
      <c r="I64" s="18"/>
      <c r="J64" s="18"/>
    </row>
    <row r="65" spans="1:10" x14ac:dyDescent="0.25">
      <c r="A65" s="20" t="s">
        <v>73</v>
      </c>
      <c r="B65" s="20"/>
      <c r="C65" s="17">
        <v>28.71</v>
      </c>
      <c r="D65" s="17">
        <v>80.650000000000006</v>
      </c>
      <c r="E65" s="17">
        <v>81.84</v>
      </c>
      <c r="F65" s="17">
        <v>48</v>
      </c>
      <c r="G65" s="17">
        <f>12/4*C65</f>
        <v>86.13</v>
      </c>
      <c r="H65" s="9"/>
      <c r="I65" s="10"/>
      <c r="J65" s="10"/>
    </row>
    <row r="66" spans="1:10" x14ac:dyDescent="0.25">
      <c r="A66" s="20" t="s">
        <v>74</v>
      </c>
      <c r="B66" s="20"/>
      <c r="C66" s="17">
        <v>21.56</v>
      </c>
      <c r="D66" s="17">
        <v>62.34</v>
      </c>
      <c r="E66" s="17">
        <v>55.63</v>
      </c>
      <c r="F66" s="17">
        <v>55.33</v>
      </c>
      <c r="G66" s="17">
        <f>12/4*C66</f>
        <v>64.679999999999993</v>
      </c>
      <c r="H66" s="9"/>
      <c r="I66" s="10"/>
      <c r="J66" s="10"/>
    </row>
    <row r="67" spans="1:10" x14ac:dyDescent="0.25">
      <c r="A67" s="20" t="s">
        <v>75</v>
      </c>
      <c r="B67" s="20"/>
      <c r="C67" s="17">
        <v>143.18</v>
      </c>
      <c r="D67" s="17">
        <v>370.62</v>
      </c>
      <c r="E67" s="17">
        <v>257.88</v>
      </c>
      <c r="F67" s="17">
        <v>242.78</v>
      </c>
      <c r="G67" s="17">
        <f>12/4*C67</f>
        <v>429.54</v>
      </c>
      <c r="H67" s="9"/>
      <c r="I67" s="10"/>
      <c r="J67" s="10"/>
    </row>
    <row r="68" spans="1:10" x14ac:dyDescent="0.25">
      <c r="A68" s="20" t="s">
        <v>76</v>
      </c>
      <c r="B68" s="20"/>
      <c r="C68" s="17">
        <v>41.19</v>
      </c>
      <c r="D68" s="17">
        <v>108.94</v>
      </c>
      <c r="E68" s="17">
        <v>103.14</v>
      </c>
      <c r="F68" s="17">
        <v>68.31</v>
      </c>
      <c r="G68" s="17">
        <f>12/4*C68</f>
        <v>123.57</v>
      </c>
      <c r="H68" s="9"/>
      <c r="I68" s="10"/>
      <c r="J68" s="10"/>
    </row>
    <row r="69" spans="1:10" x14ac:dyDescent="0.25">
      <c r="C69" s="9"/>
      <c r="D69" s="9"/>
      <c r="E69" s="9"/>
      <c r="F69" s="9"/>
      <c r="G69" s="9"/>
      <c r="H69" s="9"/>
      <c r="I69" s="10"/>
      <c r="J69" s="10"/>
    </row>
    <row r="70" spans="1:10" x14ac:dyDescent="0.25">
      <c r="C70" s="9"/>
      <c r="D70" s="9"/>
      <c r="E70" s="9"/>
      <c r="F70" s="9"/>
      <c r="G70" s="9"/>
      <c r="H70" s="9"/>
      <c r="I70" s="10"/>
      <c r="J70" s="10"/>
    </row>
    <row r="71" spans="1:10" x14ac:dyDescent="0.25">
      <c r="A71" s="19" t="s">
        <v>60</v>
      </c>
      <c r="B71" s="26"/>
      <c r="C71" s="9"/>
      <c r="D71" s="9"/>
      <c r="E71" s="9"/>
      <c r="F71" s="9"/>
      <c r="G71" s="9"/>
      <c r="H71" s="9"/>
      <c r="I71" s="10"/>
      <c r="J71" s="10"/>
    </row>
    <row r="72" spans="1:10" x14ac:dyDescent="0.25">
      <c r="A72" s="3" t="s">
        <v>77</v>
      </c>
      <c r="B72" s="1" t="s">
        <v>219</v>
      </c>
      <c r="C72" s="9"/>
      <c r="D72" s="9"/>
      <c r="E72" s="9"/>
      <c r="F72" s="9"/>
      <c r="G72" s="9"/>
      <c r="H72" s="9"/>
      <c r="I72" s="10"/>
      <c r="J72" s="10"/>
    </row>
    <row r="73" spans="1:10" x14ac:dyDescent="0.25">
      <c r="A73" s="3" t="s">
        <v>70</v>
      </c>
      <c r="B73" s="1" t="s">
        <v>79</v>
      </c>
      <c r="C73" s="9"/>
      <c r="D73" s="9"/>
      <c r="E73" s="9"/>
      <c r="F73" s="9"/>
      <c r="G73" s="9"/>
      <c r="H73" s="9"/>
      <c r="I73" s="10"/>
      <c r="J73" s="10"/>
    </row>
    <row r="74" spans="1:10" x14ac:dyDescent="0.25">
      <c r="A74" s="3" t="s">
        <v>71</v>
      </c>
      <c r="B74" s="1" t="s">
        <v>80</v>
      </c>
      <c r="C74" s="9"/>
      <c r="D74" s="9"/>
      <c r="E74" s="9"/>
      <c r="F74" s="9"/>
      <c r="G74" s="9"/>
      <c r="H74" s="9"/>
      <c r="I74" s="10"/>
      <c r="J74" s="10"/>
    </row>
    <row r="75" spans="1:10" x14ac:dyDescent="0.25">
      <c r="A75" s="3" t="s">
        <v>72</v>
      </c>
      <c r="B75" s="1" t="s">
        <v>81</v>
      </c>
      <c r="C75" s="9"/>
      <c r="D75" s="9"/>
      <c r="E75" s="9"/>
      <c r="F75" s="9"/>
      <c r="G75" s="9"/>
      <c r="H75" s="9"/>
      <c r="I75" s="10"/>
      <c r="J75" s="10"/>
    </row>
  </sheetData>
  <mergeCells count="19">
    <mergeCell ref="A66:B66"/>
    <mergeCell ref="A67:B67"/>
    <mergeCell ref="A68:B68"/>
    <mergeCell ref="A71:B71"/>
    <mergeCell ref="I59:I60"/>
    <mergeCell ref="J59:J60"/>
    <mergeCell ref="A60:B60"/>
    <mergeCell ref="A64:B64"/>
    <mergeCell ref="A65:B65"/>
    <mergeCell ref="A52:B52"/>
    <mergeCell ref="A53:B53"/>
    <mergeCell ref="A58:B58"/>
    <mergeCell ref="A59:B59"/>
    <mergeCell ref="H59:H60"/>
    <mergeCell ref="C7:G7"/>
    <mergeCell ref="A44:B44"/>
    <mergeCell ref="A45:B45"/>
    <mergeCell ref="A50:B50"/>
    <mergeCell ref="A51:B51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2:J75"/>
  <sheetViews>
    <sheetView workbookViewId="0">
      <selection activeCell="C9" sqref="C9:J73"/>
    </sheetView>
  </sheetViews>
  <sheetFormatPr defaultRowHeight="15" x14ac:dyDescent="0.25"/>
  <cols>
    <col min="1" max="1" width="38.85546875" bestFit="1" customWidth="1"/>
    <col min="2" max="2" width="151" bestFit="1" customWidth="1"/>
    <col min="3" max="3" width="14" bestFit="1" customWidth="1"/>
    <col min="4" max="4" width="23.42578125" bestFit="1" customWidth="1"/>
    <col min="5" max="5" width="16.42578125" bestFit="1" customWidth="1"/>
    <col min="6" max="6" width="10.5703125" bestFit="1" customWidth="1"/>
    <col min="7" max="7" width="68.28515625" bestFit="1" customWidth="1"/>
    <col min="8" max="9" width="20" bestFit="1" customWidth="1"/>
    <col min="10" max="10" width="30.5703125" bestFit="1" customWidth="1"/>
  </cols>
  <sheetData>
    <row r="2" spans="1:10" ht="18.75" x14ac:dyDescent="0.3">
      <c r="A2" s="3" t="s">
        <v>0</v>
      </c>
      <c r="B2" s="4" t="s">
        <v>220</v>
      </c>
    </row>
    <row r="3" spans="1:10" x14ac:dyDescent="0.25">
      <c r="A3" s="3" t="s">
        <v>2</v>
      </c>
      <c r="B3" s="1" t="s">
        <v>3</v>
      </c>
    </row>
    <row r="4" spans="1:10" x14ac:dyDescent="0.25">
      <c r="A4" s="3" t="s">
        <v>4</v>
      </c>
      <c r="B4" s="1">
        <v>2406</v>
      </c>
    </row>
    <row r="7" spans="1:10" x14ac:dyDescent="0.25">
      <c r="C7" s="19" t="s">
        <v>5</v>
      </c>
      <c r="D7" s="20"/>
      <c r="E7" s="20"/>
      <c r="F7" s="20"/>
      <c r="G7" s="20"/>
    </row>
    <row r="8" spans="1:10" x14ac:dyDescent="0.25">
      <c r="A8" s="3" t="s">
        <v>6</v>
      </c>
      <c r="B8" s="3" t="s">
        <v>7</v>
      </c>
      <c r="C8" s="3" t="s">
        <v>8</v>
      </c>
      <c r="D8" s="3" t="s">
        <v>9</v>
      </c>
      <c r="E8" s="3" t="s">
        <v>10</v>
      </c>
      <c r="F8" s="3" t="s">
        <v>11</v>
      </c>
      <c r="G8" s="3" t="s">
        <v>12</v>
      </c>
      <c r="H8" s="3" t="s">
        <v>13</v>
      </c>
      <c r="I8" s="3" t="s">
        <v>14</v>
      </c>
      <c r="J8" s="3" t="s">
        <v>15</v>
      </c>
    </row>
    <row r="9" spans="1:10" x14ac:dyDescent="0.25">
      <c r="A9" s="1" t="s">
        <v>16</v>
      </c>
      <c r="B9" s="1" t="s">
        <v>17</v>
      </c>
      <c r="C9" s="11"/>
      <c r="D9" s="11"/>
      <c r="E9" s="11">
        <v>30</v>
      </c>
      <c r="F9" s="11"/>
      <c r="G9" s="11">
        <f t="shared" ref="G9:G43" si="0">SUM(C9:F9)</f>
        <v>30</v>
      </c>
      <c r="H9" s="17">
        <f t="shared" ref="H9:H43" si="1">ROUND(G9/2406,2)</f>
        <v>0.01</v>
      </c>
      <c r="I9" s="16">
        <f t="shared" ref="I9:I43" si="2">ROUND(G9/$G$44,3)</f>
        <v>0</v>
      </c>
      <c r="J9" s="16">
        <f>ROUND(G9/56-1,2)</f>
        <v>-0.46</v>
      </c>
    </row>
    <row r="10" spans="1:10" x14ac:dyDescent="0.25">
      <c r="A10" s="1" t="s">
        <v>16</v>
      </c>
      <c r="B10" s="1" t="s">
        <v>19</v>
      </c>
      <c r="C10" s="11">
        <v>22400</v>
      </c>
      <c r="D10" s="11"/>
      <c r="E10" s="11"/>
      <c r="F10" s="11"/>
      <c r="G10" s="11">
        <f t="shared" si="0"/>
        <v>22400</v>
      </c>
      <c r="H10" s="17">
        <f t="shared" si="1"/>
        <v>9.31</v>
      </c>
      <c r="I10" s="16">
        <f t="shared" si="2"/>
        <v>0.08</v>
      </c>
      <c r="J10" s="16">
        <f>ROUND(G10/19440-1,2)</f>
        <v>0.15</v>
      </c>
    </row>
    <row r="11" spans="1:10" x14ac:dyDescent="0.25">
      <c r="A11" s="1" t="s">
        <v>16</v>
      </c>
      <c r="B11" s="1" t="s">
        <v>20</v>
      </c>
      <c r="C11" s="11">
        <v>36480</v>
      </c>
      <c r="D11" s="11"/>
      <c r="E11" s="11"/>
      <c r="F11" s="11"/>
      <c r="G11" s="11">
        <f t="shared" si="0"/>
        <v>36480</v>
      </c>
      <c r="H11" s="17">
        <f t="shared" si="1"/>
        <v>15.16</v>
      </c>
      <c r="I11" s="16">
        <f t="shared" si="2"/>
        <v>0.13</v>
      </c>
      <c r="J11" s="16">
        <f>ROUND(G11/35640-1,2)</f>
        <v>0.02</v>
      </c>
    </row>
    <row r="12" spans="1:10" x14ac:dyDescent="0.25">
      <c r="A12" s="1" t="s">
        <v>16</v>
      </c>
      <c r="B12" s="1" t="s">
        <v>94</v>
      </c>
      <c r="C12" s="11"/>
      <c r="D12" s="11"/>
      <c r="E12" s="11">
        <v>35</v>
      </c>
      <c r="F12" s="11"/>
      <c r="G12" s="11">
        <f t="shared" si="0"/>
        <v>35</v>
      </c>
      <c r="H12" s="17">
        <f t="shared" si="1"/>
        <v>0.01</v>
      </c>
      <c r="I12" s="16">
        <f t="shared" si="2"/>
        <v>0</v>
      </c>
      <c r="J12" s="16">
        <f>ROUND(G12/33-1,2)</f>
        <v>0.06</v>
      </c>
    </row>
    <row r="13" spans="1:10" x14ac:dyDescent="0.25">
      <c r="A13" s="1" t="s">
        <v>16</v>
      </c>
      <c r="B13" s="1" t="s">
        <v>21</v>
      </c>
      <c r="C13" s="11"/>
      <c r="D13" s="11"/>
      <c r="E13" s="11">
        <v>82</v>
      </c>
      <c r="F13" s="11"/>
      <c r="G13" s="11">
        <f t="shared" si="0"/>
        <v>82</v>
      </c>
      <c r="H13" s="17">
        <f t="shared" si="1"/>
        <v>0.03</v>
      </c>
      <c r="I13" s="16">
        <f t="shared" si="2"/>
        <v>0</v>
      </c>
      <c r="J13" s="16">
        <f>ROUND(G13/57-1,2)</f>
        <v>0.44</v>
      </c>
    </row>
    <row r="14" spans="1:10" x14ac:dyDescent="0.25">
      <c r="A14" s="1" t="s">
        <v>16</v>
      </c>
      <c r="B14" s="1" t="s">
        <v>22</v>
      </c>
      <c r="C14" s="11"/>
      <c r="D14" s="11"/>
      <c r="E14" s="11">
        <v>900</v>
      </c>
      <c r="F14" s="11"/>
      <c r="G14" s="11">
        <f t="shared" si="0"/>
        <v>900</v>
      </c>
      <c r="H14" s="17">
        <f t="shared" si="1"/>
        <v>0.37</v>
      </c>
      <c r="I14" s="16">
        <f t="shared" si="2"/>
        <v>3.0000000000000001E-3</v>
      </c>
      <c r="J14" s="16"/>
    </row>
    <row r="15" spans="1:10" x14ac:dyDescent="0.25">
      <c r="A15" s="1" t="s">
        <v>16</v>
      </c>
      <c r="B15" s="1" t="s">
        <v>23</v>
      </c>
      <c r="C15" s="11"/>
      <c r="D15" s="11"/>
      <c r="E15" s="11">
        <v>15390</v>
      </c>
      <c r="F15" s="11"/>
      <c r="G15" s="11">
        <f t="shared" si="0"/>
        <v>15390</v>
      </c>
      <c r="H15" s="17">
        <f t="shared" si="1"/>
        <v>6.4</v>
      </c>
      <c r="I15" s="16">
        <f t="shared" si="2"/>
        <v>5.5E-2</v>
      </c>
      <c r="J15" s="16">
        <f>ROUND(G15/14800-1,2)</f>
        <v>0.04</v>
      </c>
    </row>
    <row r="16" spans="1:10" x14ac:dyDescent="0.25">
      <c r="A16" s="1" t="s">
        <v>16</v>
      </c>
      <c r="B16" s="1" t="s">
        <v>24</v>
      </c>
      <c r="C16" s="11">
        <v>33020</v>
      </c>
      <c r="D16" s="11"/>
      <c r="E16" s="11"/>
      <c r="F16" s="11"/>
      <c r="G16" s="11">
        <f t="shared" si="0"/>
        <v>33020</v>
      </c>
      <c r="H16" s="17">
        <f t="shared" si="1"/>
        <v>13.72</v>
      </c>
      <c r="I16" s="16">
        <f t="shared" si="2"/>
        <v>0.11799999999999999</v>
      </c>
      <c r="J16" s="16">
        <f>ROUND(G16/32120-1,2)</f>
        <v>0.03</v>
      </c>
    </row>
    <row r="17" spans="1:10" x14ac:dyDescent="0.25">
      <c r="A17" s="1" t="s">
        <v>16</v>
      </c>
      <c r="B17" s="1" t="s">
        <v>25</v>
      </c>
      <c r="C17" s="11"/>
      <c r="D17" s="11"/>
      <c r="E17" s="11">
        <v>1160</v>
      </c>
      <c r="F17" s="11"/>
      <c r="G17" s="11">
        <f t="shared" si="0"/>
        <v>1160</v>
      </c>
      <c r="H17" s="17">
        <f t="shared" si="1"/>
        <v>0.48</v>
      </c>
      <c r="I17" s="16">
        <f t="shared" si="2"/>
        <v>4.0000000000000001E-3</v>
      </c>
      <c r="J17" s="16">
        <f>ROUND(G17/780-1,2)</f>
        <v>0.49</v>
      </c>
    </row>
    <row r="18" spans="1:10" x14ac:dyDescent="0.25">
      <c r="A18" s="1" t="s">
        <v>16</v>
      </c>
      <c r="B18" s="1" t="s">
        <v>26</v>
      </c>
      <c r="C18" s="11">
        <v>54020</v>
      </c>
      <c r="D18" s="11"/>
      <c r="E18" s="11"/>
      <c r="F18" s="11"/>
      <c r="G18" s="11">
        <f t="shared" si="0"/>
        <v>54020</v>
      </c>
      <c r="H18" s="17">
        <f t="shared" si="1"/>
        <v>22.45</v>
      </c>
      <c r="I18" s="16">
        <f t="shared" si="2"/>
        <v>0.192</v>
      </c>
      <c r="J18" s="16">
        <f>ROUND(G18/41380-1,2)</f>
        <v>0.31</v>
      </c>
    </row>
    <row r="19" spans="1:10" x14ac:dyDescent="0.25">
      <c r="A19" s="1" t="s">
        <v>16</v>
      </c>
      <c r="B19" s="1" t="s">
        <v>27</v>
      </c>
      <c r="C19" s="11"/>
      <c r="D19" s="11"/>
      <c r="E19" s="11">
        <v>175</v>
      </c>
      <c r="F19" s="11"/>
      <c r="G19" s="11">
        <f t="shared" si="0"/>
        <v>175</v>
      </c>
      <c r="H19" s="17">
        <f t="shared" si="1"/>
        <v>7.0000000000000007E-2</v>
      </c>
      <c r="I19" s="16">
        <f t="shared" si="2"/>
        <v>1E-3</v>
      </c>
      <c r="J19" s="16">
        <f>ROUND(G19/243-1,2)</f>
        <v>-0.28000000000000003</v>
      </c>
    </row>
    <row r="20" spans="1:10" x14ac:dyDescent="0.25">
      <c r="A20" s="1" t="s">
        <v>16</v>
      </c>
      <c r="B20" s="1" t="s">
        <v>28</v>
      </c>
      <c r="C20" s="11"/>
      <c r="D20" s="11"/>
      <c r="E20" s="11">
        <v>117</v>
      </c>
      <c r="F20" s="11"/>
      <c r="G20" s="11">
        <f t="shared" si="0"/>
        <v>117</v>
      </c>
      <c r="H20" s="17">
        <f t="shared" si="1"/>
        <v>0.05</v>
      </c>
      <c r="I20" s="16">
        <f t="shared" si="2"/>
        <v>0</v>
      </c>
      <c r="J20" s="16">
        <f>ROUND(G20/84-1,2)</f>
        <v>0.39</v>
      </c>
    </row>
    <row r="21" spans="1:10" x14ac:dyDescent="0.25">
      <c r="A21" s="1" t="s">
        <v>16</v>
      </c>
      <c r="B21" s="1" t="s">
        <v>29</v>
      </c>
      <c r="C21" s="11"/>
      <c r="D21" s="11"/>
      <c r="E21" s="11">
        <v>350</v>
      </c>
      <c r="F21" s="11"/>
      <c r="G21" s="11">
        <f t="shared" si="0"/>
        <v>350</v>
      </c>
      <c r="H21" s="17">
        <f t="shared" si="1"/>
        <v>0.15</v>
      </c>
      <c r="I21" s="16">
        <f t="shared" si="2"/>
        <v>1E-3</v>
      </c>
      <c r="J21" s="16">
        <f>ROUND(G21/370-1,2)</f>
        <v>-0.05</v>
      </c>
    </row>
    <row r="22" spans="1:10" x14ac:dyDescent="0.25">
      <c r="A22" s="1" t="s">
        <v>16</v>
      </c>
      <c r="B22" s="1" t="s">
        <v>31</v>
      </c>
      <c r="C22" s="11"/>
      <c r="D22" s="11"/>
      <c r="E22" s="11">
        <v>430</v>
      </c>
      <c r="F22" s="11"/>
      <c r="G22" s="11">
        <f t="shared" si="0"/>
        <v>430</v>
      </c>
      <c r="H22" s="17">
        <f t="shared" si="1"/>
        <v>0.18</v>
      </c>
      <c r="I22" s="16">
        <f t="shared" si="2"/>
        <v>2E-3</v>
      </c>
      <c r="J22" s="16"/>
    </row>
    <row r="23" spans="1:10" x14ac:dyDescent="0.25">
      <c r="A23" s="1" t="s">
        <v>16</v>
      </c>
      <c r="B23" s="1" t="s">
        <v>32</v>
      </c>
      <c r="C23" s="11"/>
      <c r="D23" s="11">
        <v>93</v>
      </c>
      <c r="E23" s="11"/>
      <c r="F23" s="11"/>
      <c r="G23" s="11">
        <f t="shared" si="0"/>
        <v>93</v>
      </c>
      <c r="H23" s="17">
        <f t="shared" si="1"/>
        <v>0.04</v>
      </c>
      <c r="I23" s="16">
        <f t="shared" si="2"/>
        <v>0</v>
      </c>
      <c r="J23" s="16">
        <f>ROUND(G23/64-1,2)</f>
        <v>0.45</v>
      </c>
    </row>
    <row r="24" spans="1:10" x14ac:dyDescent="0.25">
      <c r="A24" s="1" t="s">
        <v>16</v>
      </c>
      <c r="B24" s="1" t="s">
        <v>33</v>
      </c>
      <c r="C24" s="11"/>
      <c r="D24" s="11"/>
      <c r="E24" s="11">
        <v>580</v>
      </c>
      <c r="F24" s="11"/>
      <c r="G24" s="11">
        <f t="shared" si="0"/>
        <v>580</v>
      </c>
      <c r="H24" s="17">
        <f t="shared" si="1"/>
        <v>0.24</v>
      </c>
      <c r="I24" s="16">
        <f t="shared" si="2"/>
        <v>2E-3</v>
      </c>
      <c r="J24" s="16"/>
    </row>
    <row r="25" spans="1:10" x14ac:dyDescent="0.25">
      <c r="A25" s="1" t="s">
        <v>16</v>
      </c>
      <c r="B25" s="1" t="s">
        <v>34</v>
      </c>
      <c r="C25" s="11"/>
      <c r="D25" s="11">
        <v>100</v>
      </c>
      <c r="E25" s="11"/>
      <c r="F25" s="11"/>
      <c r="G25" s="11">
        <f t="shared" si="0"/>
        <v>100</v>
      </c>
      <c r="H25" s="17">
        <f t="shared" si="1"/>
        <v>0.04</v>
      </c>
      <c r="I25" s="16">
        <f t="shared" si="2"/>
        <v>0</v>
      </c>
      <c r="J25" s="16">
        <f>ROUND(G25/90-1,2)</f>
        <v>0.11</v>
      </c>
    </row>
    <row r="26" spans="1:10" x14ac:dyDescent="0.25">
      <c r="A26" s="1" t="s">
        <v>16</v>
      </c>
      <c r="B26" s="1" t="s">
        <v>35</v>
      </c>
      <c r="C26" s="11"/>
      <c r="D26" s="11"/>
      <c r="E26" s="11">
        <v>14340</v>
      </c>
      <c r="F26" s="11"/>
      <c r="G26" s="11">
        <f t="shared" si="0"/>
        <v>14340</v>
      </c>
      <c r="H26" s="17">
        <f t="shared" si="1"/>
        <v>5.96</v>
      </c>
      <c r="I26" s="16">
        <f t="shared" si="2"/>
        <v>5.0999999999999997E-2</v>
      </c>
      <c r="J26" s="16">
        <f>ROUND(G26/9950-1,2)</f>
        <v>0.44</v>
      </c>
    </row>
    <row r="27" spans="1:10" x14ac:dyDescent="0.25">
      <c r="A27" s="1" t="s">
        <v>16</v>
      </c>
      <c r="B27" s="1" t="s">
        <v>36</v>
      </c>
      <c r="C27" s="11"/>
      <c r="D27" s="11"/>
      <c r="E27" s="11">
        <v>1180</v>
      </c>
      <c r="F27" s="11"/>
      <c r="G27" s="11">
        <f t="shared" si="0"/>
        <v>1180</v>
      </c>
      <c r="H27" s="17">
        <f t="shared" si="1"/>
        <v>0.49</v>
      </c>
      <c r="I27" s="16">
        <f t="shared" si="2"/>
        <v>4.0000000000000001E-3</v>
      </c>
      <c r="J27" s="16">
        <f>ROUND(G27/1180-1,2)</f>
        <v>0</v>
      </c>
    </row>
    <row r="28" spans="1:10" x14ac:dyDescent="0.25">
      <c r="A28" s="1" t="s">
        <v>16</v>
      </c>
      <c r="B28" s="1" t="s">
        <v>37</v>
      </c>
      <c r="C28" s="11"/>
      <c r="D28" s="11"/>
      <c r="E28" s="11">
        <v>4710</v>
      </c>
      <c r="F28" s="11"/>
      <c r="G28" s="11">
        <f t="shared" si="0"/>
        <v>4710</v>
      </c>
      <c r="H28" s="17">
        <f t="shared" si="1"/>
        <v>1.96</v>
      </c>
      <c r="I28" s="16">
        <f t="shared" si="2"/>
        <v>1.7000000000000001E-2</v>
      </c>
      <c r="J28" s="16">
        <f>ROUND(G28/2810-1,2)</f>
        <v>0.68</v>
      </c>
    </row>
    <row r="29" spans="1:10" x14ac:dyDescent="0.25">
      <c r="A29" s="1" t="s">
        <v>16</v>
      </c>
      <c r="B29" s="1" t="s">
        <v>38</v>
      </c>
      <c r="C29" s="11"/>
      <c r="D29" s="11"/>
      <c r="E29" s="11">
        <v>27340</v>
      </c>
      <c r="F29" s="11"/>
      <c r="G29" s="11">
        <f t="shared" si="0"/>
        <v>27340</v>
      </c>
      <c r="H29" s="17">
        <f t="shared" si="1"/>
        <v>11.36</v>
      </c>
      <c r="I29" s="16">
        <f t="shared" si="2"/>
        <v>9.7000000000000003E-2</v>
      </c>
      <c r="J29" s="16">
        <f>ROUND(G29/18760-1,2)</f>
        <v>0.46</v>
      </c>
    </row>
    <row r="30" spans="1:10" x14ac:dyDescent="0.25">
      <c r="A30" s="1" t="s">
        <v>16</v>
      </c>
      <c r="B30" s="1" t="s">
        <v>95</v>
      </c>
      <c r="C30" s="11"/>
      <c r="D30" s="11"/>
      <c r="E30" s="11"/>
      <c r="F30" s="11"/>
      <c r="G30" s="11">
        <f t="shared" si="0"/>
        <v>0</v>
      </c>
      <c r="H30" s="17">
        <f t="shared" si="1"/>
        <v>0</v>
      </c>
      <c r="I30" s="16">
        <f t="shared" si="2"/>
        <v>0</v>
      </c>
      <c r="J30" s="16">
        <f>ROUND(G30/408-1,2)</f>
        <v>-1</v>
      </c>
    </row>
    <row r="31" spans="1:10" x14ac:dyDescent="0.25">
      <c r="A31" s="1" t="s">
        <v>16</v>
      </c>
      <c r="B31" s="1" t="s">
        <v>30</v>
      </c>
      <c r="C31" s="11"/>
      <c r="D31" s="11"/>
      <c r="E31" s="11"/>
      <c r="F31" s="11"/>
      <c r="G31" s="11">
        <f t="shared" si="0"/>
        <v>0</v>
      </c>
      <c r="H31" s="17">
        <f t="shared" si="1"/>
        <v>0</v>
      </c>
      <c r="I31" s="16">
        <f t="shared" si="2"/>
        <v>0</v>
      </c>
      <c r="J31" s="16">
        <f>ROUND(G31/150-1,2)</f>
        <v>-1</v>
      </c>
    </row>
    <row r="32" spans="1:10" x14ac:dyDescent="0.25">
      <c r="A32" s="1" t="s">
        <v>16</v>
      </c>
      <c r="B32" s="1" t="s">
        <v>42</v>
      </c>
      <c r="C32" s="11"/>
      <c r="D32" s="11"/>
      <c r="E32" s="11"/>
      <c r="F32" s="11"/>
      <c r="G32" s="11">
        <f t="shared" si="0"/>
        <v>0</v>
      </c>
      <c r="H32" s="17">
        <f t="shared" si="1"/>
        <v>0</v>
      </c>
      <c r="I32" s="16">
        <f t="shared" si="2"/>
        <v>0</v>
      </c>
      <c r="J32" s="16">
        <f>ROUND(G32/650-1,2)</f>
        <v>-1</v>
      </c>
    </row>
    <row r="33" spans="1:10" x14ac:dyDescent="0.25">
      <c r="A33" s="1" t="s">
        <v>16</v>
      </c>
      <c r="B33" s="1" t="s">
        <v>39</v>
      </c>
      <c r="C33" s="11"/>
      <c r="D33" s="11"/>
      <c r="E33" s="11"/>
      <c r="F33" s="11"/>
      <c r="G33" s="11">
        <f t="shared" si="0"/>
        <v>0</v>
      </c>
      <c r="H33" s="17">
        <f t="shared" si="1"/>
        <v>0</v>
      </c>
      <c r="I33" s="16">
        <f t="shared" si="2"/>
        <v>0</v>
      </c>
      <c r="J33" s="16">
        <f>ROUND(G33/136-1,2)</f>
        <v>-1</v>
      </c>
    </row>
    <row r="34" spans="1:10" x14ac:dyDescent="0.25">
      <c r="A34" s="1" t="s">
        <v>16</v>
      </c>
      <c r="B34" s="1" t="s">
        <v>40</v>
      </c>
      <c r="C34" s="11"/>
      <c r="D34" s="11"/>
      <c r="E34" s="11"/>
      <c r="F34" s="11"/>
      <c r="G34" s="11">
        <f t="shared" si="0"/>
        <v>0</v>
      </c>
      <c r="H34" s="17">
        <f t="shared" si="1"/>
        <v>0</v>
      </c>
      <c r="I34" s="16">
        <f t="shared" si="2"/>
        <v>0</v>
      </c>
      <c r="J34" s="16">
        <f>ROUND(G34/366-1,2)</f>
        <v>-1</v>
      </c>
    </row>
    <row r="35" spans="1:10" x14ac:dyDescent="0.25">
      <c r="A35" s="1" t="s">
        <v>16</v>
      </c>
      <c r="B35" s="1" t="s">
        <v>41</v>
      </c>
      <c r="C35" s="11"/>
      <c r="D35" s="11"/>
      <c r="E35" s="11"/>
      <c r="F35" s="11"/>
      <c r="G35" s="11">
        <f t="shared" si="0"/>
        <v>0</v>
      </c>
      <c r="H35" s="17">
        <f t="shared" si="1"/>
        <v>0</v>
      </c>
      <c r="I35" s="16">
        <f t="shared" si="2"/>
        <v>0</v>
      </c>
      <c r="J35" s="16">
        <f>ROUND(G35/372-1,2)</f>
        <v>-1</v>
      </c>
    </row>
    <row r="36" spans="1:10" x14ac:dyDescent="0.25">
      <c r="A36" s="1" t="s">
        <v>16</v>
      </c>
      <c r="B36" s="1" t="s">
        <v>43</v>
      </c>
      <c r="C36" s="11"/>
      <c r="D36" s="11"/>
      <c r="E36" s="11"/>
      <c r="F36" s="11"/>
      <c r="G36" s="11">
        <f t="shared" si="0"/>
        <v>0</v>
      </c>
      <c r="H36" s="17">
        <f t="shared" si="1"/>
        <v>0</v>
      </c>
      <c r="I36" s="16">
        <f t="shared" si="2"/>
        <v>0</v>
      </c>
      <c r="J36" s="16">
        <f>ROUND(G36/1133-1,2)</f>
        <v>-1</v>
      </c>
    </row>
    <row r="37" spans="1:10" x14ac:dyDescent="0.25">
      <c r="A37" s="1" t="s">
        <v>16</v>
      </c>
      <c r="B37" s="1" t="s">
        <v>196</v>
      </c>
      <c r="C37" s="11"/>
      <c r="D37" s="11"/>
      <c r="E37" s="11"/>
      <c r="F37" s="11"/>
      <c r="G37" s="11">
        <f t="shared" si="0"/>
        <v>0</v>
      </c>
      <c r="H37" s="17">
        <f t="shared" si="1"/>
        <v>0</v>
      </c>
      <c r="I37" s="16">
        <f t="shared" si="2"/>
        <v>0</v>
      </c>
      <c r="J37" s="16"/>
    </row>
    <row r="38" spans="1:10" x14ac:dyDescent="0.25">
      <c r="A38" s="1" t="s">
        <v>16</v>
      </c>
      <c r="B38" s="1" t="s">
        <v>221</v>
      </c>
      <c r="C38" s="11"/>
      <c r="D38" s="11"/>
      <c r="E38" s="11"/>
      <c r="F38" s="11"/>
      <c r="G38" s="11">
        <f t="shared" si="0"/>
        <v>0</v>
      </c>
      <c r="H38" s="17">
        <f t="shared" si="1"/>
        <v>0</v>
      </c>
      <c r="I38" s="16">
        <f t="shared" si="2"/>
        <v>0</v>
      </c>
      <c r="J38" s="16"/>
    </row>
    <row r="39" spans="1:10" x14ac:dyDescent="0.25">
      <c r="A39" s="1" t="s">
        <v>44</v>
      </c>
      <c r="B39" s="1" t="s">
        <v>45</v>
      </c>
      <c r="C39" s="11">
        <v>58780</v>
      </c>
      <c r="D39" s="11"/>
      <c r="E39" s="11"/>
      <c r="F39" s="11"/>
      <c r="G39" s="11">
        <f t="shared" si="0"/>
        <v>58780</v>
      </c>
      <c r="H39" s="17">
        <f t="shared" si="1"/>
        <v>24.43</v>
      </c>
      <c r="I39" s="16">
        <f t="shared" si="2"/>
        <v>0.20899999999999999</v>
      </c>
      <c r="J39" s="16">
        <f>ROUND(G39/54150-1,2)</f>
        <v>0.09</v>
      </c>
    </row>
    <row r="40" spans="1:10" x14ac:dyDescent="0.25">
      <c r="A40" s="1" t="s">
        <v>44</v>
      </c>
      <c r="B40" s="1" t="s">
        <v>46</v>
      </c>
      <c r="C40" s="11"/>
      <c r="D40" s="11"/>
      <c r="E40" s="11">
        <v>9160</v>
      </c>
      <c r="F40" s="11"/>
      <c r="G40" s="11">
        <f t="shared" si="0"/>
        <v>9160</v>
      </c>
      <c r="H40" s="17">
        <f t="shared" si="1"/>
        <v>3.81</v>
      </c>
      <c r="I40" s="16">
        <f t="shared" si="2"/>
        <v>3.3000000000000002E-2</v>
      </c>
      <c r="J40" s="16">
        <f>ROUND(G40/11200-1,2)</f>
        <v>-0.18</v>
      </c>
    </row>
    <row r="41" spans="1:10" x14ac:dyDescent="0.25">
      <c r="A41" s="1" t="s">
        <v>44</v>
      </c>
      <c r="B41" s="1" t="s">
        <v>47</v>
      </c>
      <c r="C41" s="11"/>
      <c r="D41" s="11"/>
      <c r="E41" s="11"/>
      <c r="F41" s="11"/>
      <c r="G41" s="11">
        <f t="shared" si="0"/>
        <v>0</v>
      </c>
      <c r="H41" s="17">
        <f t="shared" si="1"/>
        <v>0</v>
      </c>
      <c r="I41" s="16">
        <f t="shared" si="2"/>
        <v>0</v>
      </c>
      <c r="J41" s="16">
        <f>ROUND(G41/7220-1,2)</f>
        <v>-1</v>
      </c>
    </row>
    <row r="42" spans="1:10" x14ac:dyDescent="0.25">
      <c r="A42" s="1" t="s">
        <v>48</v>
      </c>
      <c r="B42" s="1" t="s">
        <v>51</v>
      </c>
      <c r="C42" s="11"/>
      <c r="D42" s="11"/>
      <c r="E42" s="11"/>
      <c r="F42" s="11"/>
      <c r="G42" s="11">
        <f t="shared" si="0"/>
        <v>0</v>
      </c>
      <c r="H42" s="17">
        <f t="shared" si="1"/>
        <v>0</v>
      </c>
      <c r="I42" s="16">
        <f t="shared" si="2"/>
        <v>0</v>
      </c>
      <c r="J42" s="16"/>
    </row>
    <row r="43" spans="1:10" x14ac:dyDescent="0.25">
      <c r="A43" s="1" t="s">
        <v>48</v>
      </c>
      <c r="B43" s="1" t="s">
        <v>49</v>
      </c>
      <c r="C43" s="11"/>
      <c r="D43" s="11"/>
      <c r="E43" s="11"/>
      <c r="F43" s="11"/>
      <c r="G43" s="11">
        <f t="shared" si="0"/>
        <v>0</v>
      </c>
      <c r="H43" s="17">
        <f t="shared" si="1"/>
        <v>0</v>
      </c>
      <c r="I43" s="16">
        <f t="shared" si="2"/>
        <v>0</v>
      </c>
      <c r="J43" s="16">
        <f>ROUND(G43/37-1,2)</f>
        <v>-1</v>
      </c>
    </row>
    <row r="44" spans="1:10" x14ac:dyDescent="0.25">
      <c r="A44" s="21" t="s">
        <v>12</v>
      </c>
      <c r="B44" s="21"/>
      <c r="C44" s="12">
        <f t="shared" ref="C44:H44" si="3">SUM(C8:C43)</f>
        <v>204700</v>
      </c>
      <c r="D44" s="12">
        <f t="shared" si="3"/>
        <v>193</v>
      </c>
      <c r="E44" s="12">
        <f t="shared" si="3"/>
        <v>75979</v>
      </c>
      <c r="F44" s="12">
        <f t="shared" si="3"/>
        <v>0</v>
      </c>
      <c r="G44" s="12">
        <f t="shared" si="3"/>
        <v>280872</v>
      </c>
      <c r="H44" s="15">
        <f t="shared" si="3"/>
        <v>116.72</v>
      </c>
      <c r="I44" s="18"/>
      <c r="J44" s="18"/>
    </row>
    <row r="45" spans="1:10" x14ac:dyDescent="0.25">
      <c r="A45" s="21" t="s">
        <v>14</v>
      </c>
      <c r="B45" s="21"/>
      <c r="C45" s="13">
        <f>ROUND(C44/G44,2)</f>
        <v>0.73</v>
      </c>
      <c r="D45" s="13">
        <f>ROUND(D44/G44,2)</f>
        <v>0</v>
      </c>
      <c r="E45" s="13">
        <f>ROUND(E44/G44,2)</f>
        <v>0.27</v>
      </c>
      <c r="F45" s="13">
        <f>ROUND(F44/G44,2)</f>
        <v>0</v>
      </c>
      <c r="G45" s="14"/>
      <c r="H45" s="14"/>
      <c r="I45" s="18"/>
      <c r="J45" s="18"/>
    </row>
    <row r="46" spans="1:10" x14ac:dyDescent="0.25">
      <c r="A46" s="2" t="s">
        <v>52</v>
      </c>
      <c r="B46" s="2"/>
      <c r="C46" s="14"/>
      <c r="D46" s="14"/>
      <c r="E46" s="14"/>
      <c r="F46" s="14"/>
      <c r="G46" s="14"/>
      <c r="H46" s="14"/>
      <c r="I46" s="18"/>
      <c r="J46" s="18"/>
    </row>
    <row r="47" spans="1:10" x14ac:dyDescent="0.25">
      <c r="C47" s="9"/>
      <c r="D47" s="9"/>
      <c r="E47" s="9"/>
      <c r="F47" s="9"/>
      <c r="G47" s="9"/>
      <c r="H47" s="9"/>
      <c r="I47" s="10"/>
      <c r="J47" s="10"/>
    </row>
    <row r="48" spans="1:10" x14ac:dyDescent="0.25">
      <c r="C48" s="9"/>
      <c r="D48" s="9"/>
      <c r="E48" s="9"/>
      <c r="F48" s="9"/>
      <c r="G48" s="9"/>
      <c r="H48" s="9"/>
      <c r="I48" s="10"/>
      <c r="J48" s="10"/>
    </row>
    <row r="49" spans="1:10" x14ac:dyDescent="0.25">
      <c r="C49" s="9"/>
      <c r="D49" s="9"/>
      <c r="E49" s="9"/>
      <c r="F49" s="9"/>
      <c r="G49" s="9"/>
      <c r="H49" s="9"/>
      <c r="I49" s="10"/>
      <c r="J49" s="10"/>
    </row>
    <row r="50" spans="1:10" x14ac:dyDescent="0.25">
      <c r="A50" s="21" t="s">
        <v>53</v>
      </c>
      <c r="B50" s="21"/>
      <c r="C50" s="12" t="s">
        <v>8</v>
      </c>
      <c r="D50" s="12" t="s">
        <v>9</v>
      </c>
      <c r="E50" s="12" t="s">
        <v>10</v>
      </c>
      <c r="F50" s="12" t="s">
        <v>11</v>
      </c>
      <c r="G50" s="12" t="s">
        <v>12</v>
      </c>
      <c r="H50" s="15" t="s">
        <v>13</v>
      </c>
      <c r="I50" s="18"/>
      <c r="J50" s="18"/>
    </row>
    <row r="51" spans="1:10" x14ac:dyDescent="0.25">
      <c r="A51" s="20" t="s">
        <v>54</v>
      </c>
      <c r="B51" s="20"/>
      <c r="C51" s="11">
        <v>145920</v>
      </c>
      <c r="D51" s="11">
        <v>193</v>
      </c>
      <c r="E51" s="11">
        <v>66819</v>
      </c>
      <c r="F51" s="11">
        <v>0</v>
      </c>
      <c r="G51" s="11">
        <f>SUM(C51:F51)</f>
        <v>212932</v>
      </c>
      <c r="H51" s="17">
        <f>ROUND(G51/2406,2)</f>
        <v>88.5</v>
      </c>
      <c r="I51" s="10"/>
      <c r="J51" s="10"/>
    </row>
    <row r="52" spans="1:10" x14ac:dyDescent="0.25">
      <c r="A52" s="20" t="s">
        <v>55</v>
      </c>
      <c r="B52" s="20"/>
      <c r="C52" s="11">
        <v>58780</v>
      </c>
      <c r="D52" s="11">
        <v>0</v>
      </c>
      <c r="E52" s="11">
        <v>9160</v>
      </c>
      <c r="F52" s="11">
        <v>0</v>
      </c>
      <c r="G52" s="11">
        <f>SUM(C52:F52)</f>
        <v>67940</v>
      </c>
      <c r="H52" s="17">
        <f>ROUND(G52/2406,2)</f>
        <v>28.24</v>
      </c>
      <c r="I52" s="10"/>
      <c r="J52" s="10"/>
    </row>
    <row r="53" spans="1:10" x14ac:dyDescent="0.25">
      <c r="A53" s="20" t="s">
        <v>56</v>
      </c>
      <c r="B53" s="20"/>
      <c r="C53" s="11">
        <v>0</v>
      </c>
      <c r="D53" s="11">
        <v>0</v>
      </c>
      <c r="E53" s="11">
        <v>0</v>
      </c>
      <c r="F53" s="11">
        <v>0</v>
      </c>
      <c r="G53" s="11">
        <f>SUM(C53:F53)</f>
        <v>0</v>
      </c>
      <c r="H53" s="17">
        <f>ROUND(G53/2406,2)</f>
        <v>0</v>
      </c>
      <c r="I53" s="10"/>
      <c r="J53" s="10"/>
    </row>
    <row r="54" spans="1:10" x14ac:dyDescent="0.25">
      <c r="C54" s="9"/>
      <c r="D54" s="9"/>
      <c r="E54" s="9"/>
      <c r="F54" s="9"/>
      <c r="G54" s="9"/>
      <c r="H54" s="9"/>
      <c r="I54" s="10"/>
      <c r="J54" s="10"/>
    </row>
    <row r="55" spans="1:10" x14ac:dyDescent="0.25">
      <c r="C55" s="9"/>
      <c r="D55" s="9"/>
      <c r="E55" s="9"/>
      <c r="F55" s="9"/>
      <c r="G55" s="9"/>
      <c r="H55" s="9"/>
      <c r="I55" s="10"/>
      <c r="J55" s="10"/>
    </row>
    <row r="56" spans="1:10" x14ac:dyDescent="0.25">
      <c r="C56" s="9"/>
      <c r="D56" s="9"/>
      <c r="E56" s="9"/>
      <c r="F56" s="9"/>
      <c r="G56" s="9"/>
      <c r="H56" s="9"/>
      <c r="I56" s="10"/>
      <c r="J56" s="10"/>
    </row>
    <row r="57" spans="1:10" x14ac:dyDescent="0.25">
      <c r="C57" s="9"/>
      <c r="D57" s="9"/>
      <c r="E57" s="9"/>
      <c r="F57" s="9"/>
      <c r="G57" s="9"/>
      <c r="H57" s="9"/>
      <c r="I57" s="10"/>
      <c r="J57" s="10"/>
    </row>
    <row r="58" spans="1:10" x14ac:dyDescent="0.25">
      <c r="A58" s="21" t="s">
        <v>57</v>
      </c>
      <c r="B58" s="21"/>
      <c r="C58" s="15" t="s">
        <v>2</v>
      </c>
      <c r="D58" s="15">
        <v>2023</v>
      </c>
      <c r="E58" s="15" t="s">
        <v>59</v>
      </c>
      <c r="F58" s="14"/>
      <c r="G58" s="15" t="s">
        <v>60</v>
      </c>
      <c r="H58" s="15" t="s">
        <v>2</v>
      </c>
      <c r="I58" s="13" t="s">
        <v>61</v>
      </c>
      <c r="J58" s="13" t="s">
        <v>59</v>
      </c>
    </row>
    <row r="59" spans="1:10" x14ac:dyDescent="0.25">
      <c r="A59" s="20" t="s">
        <v>58</v>
      </c>
      <c r="B59" s="20"/>
      <c r="C59" s="16">
        <f>ROUND(0.7778, 4)</f>
        <v>0.77780000000000005</v>
      </c>
      <c r="D59" s="16">
        <f>ROUND(0.7864, 4)</f>
        <v>0.78639999999999999</v>
      </c>
      <c r="E59" s="16">
        <f>ROUND(0.777, 4)</f>
        <v>0.77700000000000002</v>
      </c>
      <c r="F59" s="9"/>
      <c r="G59" s="15" t="s">
        <v>62</v>
      </c>
      <c r="H59" s="22" t="s">
        <v>63</v>
      </c>
      <c r="I59" s="24" t="s">
        <v>64</v>
      </c>
      <c r="J59" s="24" t="s">
        <v>65</v>
      </c>
    </row>
    <row r="60" spans="1:10" x14ac:dyDescent="0.25">
      <c r="A60" s="20" t="s">
        <v>66</v>
      </c>
      <c r="B60" s="20"/>
      <c r="C60" s="16">
        <f>ROUND(0.767, 4)</f>
        <v>0.76700000000000002</v>
      </c>
      <c r="D60" s="16">
        <f>ROUND(0.7759, 4)</f>
        <v>0.77590000000000003</v>
      </c>
      <c r="E60" s="16">
        <f>ROUND(0.7608, 4)</f>
        <v>0.76080000000000003</v>
      </c>
      <c r="F60" s="9"/>
      <c r="G60" s="15" t="s">
        <v>67</v>
      </c>
      <c r="H60" s="23"/>
      <c r="I60" s="25"/>
      <c r="J60" s="25"/>
    </row>
    <row r="61" spans="1:10" x14ac:dyDescent="0.25">
      <c r="C61" s="9"/>
      <c r="D61" s="9"/>
      <c r="E61" s="9"/>
      <c r="F61" s="9"/>
      <c r="G61" s="9"/>
      <c r="H61" s="9"/>
      <c r="I61" s="10"/>
      <c r="J61" s="10"/>
    </row>
    <row r="62" spans="1:10" x14ac:dyDescent="0.25">
      <c r="C62" s="9"/>
      <c r="D62" s="9"/>
      <c r="E62" s="9"/>
      <c r="F62" s="9"/>
      <c r="G62" s="9"/>
      <c r="H62" s="9"/>
      <c r="I62" s="10"/>
      <c r="J62" s="10"/>
    </row>
    <row r="63" spans="1:10" x14ac:dyDescent="0.25">
      <c r="C63" s="9"/>
      <c r="D63" s="9"/>
      <c r="E63" s="9"/>
      <c r="F63" s="9"/>
      <c r="G63" s="9"/>
      <c r="H63" s="9"/>
      <c r="I63" s="10"/>
      <c r="J63" s="10"/>
    </row>
    <row r="64" spans="1:10" x14ac:dyDescent="0.25">
      <c r="A64" s="21" t="s">
        <v>68</v>
      </c>
      <c r="B64" s="21"/>
      <c r="C64" s="15" t="s">
        <v>2</v>
      </c>
      <c r="D64" s="15" t="s">
        <v>222</v>
      </c>
      <c r="E64" s="15" t="s">
        <v>70</v>
      </c>
      <c r="F64" s="15" t="s">
        <v>71</v>
      </c>
      <c r="G64" s="15" t="s">
        <v>72</v>
      </c>
      <c r="H64" s="14"/>
      <c r="I64" s="18"/>
      <c r="J64" s="18"/>
    </row>
    <row r="65" spans="1:10" x14ac:dyDescent="0.25">
      <c r="A65" s="20" t="s">
        <v>73</v>
      </c>
      <c r="B65" s="20"/>
      <c r="C65" s="17">
        <v>24.43</v>
      </c>
      <c r="D65" s="17">
        <v>58.36</v>
      </c>
      <c r="E65" s="17">
        <v>81.84</v>
      </c>
      <c r="F65" s="17">
        <v>48</v>
      </c>
      <c r="G65" s="17">
        <f>12/4*C65</f>
        <v>73.289999999999992</v>
      </c>
      <c r="H65" s="9"/>
      <c r="I65" s="10"/>
      <c r="J65" s="10"/>
    </row>
    <row r="66" spans="1:10" x14ac:dyDescent="0.25">
      <c r="A66" s="20" t="s">
        <v>74</v>
      </c>
      <c r="B66" s="20"/>
      <c r="C66" s="17">
        <v>22.45</v>
      </c>
      <c r="D66" s="17">
        <v>55.93</v>
      </c>
      <c r="E66" s="17">
        <v>55.63</v>
      </c>
      <c r="F66" s="17">
        <v>55.33</v>
      </c>
      <c r="G66" s="17">
        <f>12/4*C66</f>
        <v>67.349999999999994</v>
      </c>
      <c r="H66" s="9"/>
      <c r="I66" s="10"/>
      <c r="J66" s="10"/>
    </row>
    <row r="67" spans="1:10" x14ac:dyDescent="0.25">
      <c r="A67" s="20" t="s">
        <v>75</v>
      </c>
      <c r="B67" s="20"/>
      <c r="C67" s="17">
        <v>88.5</v>
      </c>
      <c r="D67" s="17">
        <v>228.56</v>
      </c>
      <c r="E67" s="17">
        <v>257.88</v>
      </c>
      <c r="F67" s="17">
        <v>242.78</v>
      </c>
      <c r="G67" s="17">
        <f>12/4*C67</f>
        <v>265.5</v>
      </c>
      <c r="H67" s="9"/>
      <c r="I67" s="10"/>
      <c r="J67" s="10"/>
    </row>
    <row r="68" spans="1:10" x14ac:dyDescent="0.25">
      <c r="A68" s="20" t="s">
        <v>76</v>
      </c>
      <c r="B68" s="20"/>
      <c r="C68" s="17">
        <v>28.24</v>
      </c>
      <c r="D68" s="17">
        <v>72.64</v>
      </c>
      <c r="E68" s="17">
        <v>103.14</v>
      </c>
      <c r="F68" s="17">
        <v>68.31</v>
      </c>
      <c r="G68" s="17">
        <f>12/4*C68</f>
        <v>84.72</v>
      </c>
      <c r="H68" s="9"/>
      <c r="I68" s="10"/>
      <c r="J68" s="10"/>
    </row>
    <row r="69" spans="1:10" x14ac:dyDescent="0.25">
      <c r="C69" s="9"/>
      <c r="D69" s="9"/>
      <c r="E69" s="9"/>
      <c r="F69" s="9"/>
      <c r="G69" s="9"/>
      <c r="H69" s="9"/>
      <c r="I69" s="10"/>
      <c r="J69" s="10"/>
    </row>
    <row r="70" spans="1:10" x14ac:dyDescent="0.25">
      <c r="C70" s="9"/>
      <c r="D70" s="9"/>
      <c r="E70" s="9"/>
      <c r="F70" s="9"/>
      <c r="G70" s="9"/>
      <c r="H70" s="9"/>
      <c r="I70" s="10"/>
      <c r="J70" s="10"/>
    </row>
    <row r="71" spans="1:10" x14ac:dyDescent="0.25">
      <c r="A71" s="19" t="s">
        <v>60</v>
      </c>
      <c r="B71" s="26"/>
      <c r="C71" s="9"/>
      <c r="D71" s="9"/>
      <c r="E71" s="9"/>
      <c r="F71" s="9"/>
      <c r="G71" s="9"/>
      <c r="H71" s="9"/>
      <c r="I71" s="10"/>
      <c r="J71" s="10"/>
    </row>
    <row r="72" spans="1:10" x14ac:dyDescent="0.25">
      <c r="A72" s="3" t="s">
        <v>77</v>
      </c>
      <c r="B72" s="1" t="s">
        <v>223</v>
      </c>
      <c r="C72" s="9"/>
      <c r="D72" s="9"/>
      <c r="E72" s="9"/>
      <c r="F72" s="9"/>
      <c r="G72" s="9"/>
      <c r="H72" s="9"/>
      <c r="I72" s="10"/>
      <c r="J72" s="10"/>
    </row>
    <row r="73" spans="1:10" x14ac:dyDescent="0.25">
      <c r="A73" s="3" t="s">
        <v>70</v>
      </c>
      <c r="B73" s="1" t="s">
        <v>79</v>
      </c>
      <c r="C73" s="9"/>
      <c r="D73" s="9"/>
      <c r="E73" s="9"/>
      <c r="F73" s="9"/>
      <c r="G73" s="9"/>
      <c r="H73" s="9"/>
      <c r="I73" s="10"/>
      <c r="J73" s="10"/>
    </row>
    <row r="74" spans="1:10" x14ac:dyDescent="0.25">
      <c r="A74" s="3" t="s">
        <v>71</v>
      </c>
      <c r="B74" s="1" t="s">
        <v>80</v>
      </c>
    </row>
    <row r="75" spans="1:10" x14ac:dyDescent="0.25">
      <c r="A75" s="3" t="s">
        <v>72</v>
      </c>
      <c r="B75" s="1" t="s">
        <v>81</v>
      </c>
    </row>
  </sheetData>
  <mergeCells count="19">
    <mergeCell ref="A66:B66"/>
    <mergeCell ref="A67:B67"/>
    <mergeCell ref="A68:B68"/>
    <mergeCell ref="A71:B71"/>
    <mergeCell ref="I59:I60"/>
    <mergeCell ref="J59:J60"/>
    <mergeCell ref="A60:B60"/>
    <mergeCell ref="A64:B64"/>
    <mergeCell ref="A65:B65"/>
    <mergeCell ref="A52:B52"/>
    <mergeCell ref="A53:B53"/>
    <mergeCell ref="A58:B58"/>
    <mergeCell ref="A59:B59"/>
    <mergeCell ref="H59:H60"/>
    <mergeCell ref="C7:G7"/>
    <mergeCell ref="A44:B44"/>
    <mergeCell ref="A45:B45"/>
    <mergeCell ref="A50:B50"/>
    <mergeCell ref="A51:B51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2:J73"/>
  <sheetViews>
    <sheetView workbookViewId="0">
      <selection activeCell="C9" sqref="C9:J70"/>
    </sheetView>
  </sheetViews>
  <sheetFormatPr defaultRowHeight="15" x14ac:dyDescent="0.25"/>
  <cols>
    <col min="1" max="1" width="38.85546875" bestFit="1" customWidth="1"/>
    <col min="2" max="2" width="79" bestFit="1" customWidth="1"/>
    <col min="3" max="3" width="14" bestFit="1" customWidth="1"/>
    <col min="4" max="4" width="21.140625" bestFit="1" customWidth="1"/>
    <col min="5" max="5" width="16.42578125" bestFit="1" customWidth="1"/>
    <col min="6" max="6" width="10.5703125" bestFit="1" customWidth="1"/>
    <col min="7" max="7" width="68.28515625" bestFit="1" customWidth="1"/>
    <col min="8" max="9" width="20" bestFit="1" customWidth="1"/>
    <col min="10" max="10" width="30.5703125" bestFit="1" customWidth="1"/>
  </cols>
  <sheetData>
    <row r="2" spans="1:10" ht="18.75" x14ac:dyDescent="0.3">
      <c r="A2" s="3" t="s">
        <v>0</v>
      </c>
      <c r="B2" s="4" t="s">
        <v>224</v>
      </c>
    </row>
    <row r="3" spans="1:10" x14ac:dyDescent="0.25">
      <c r="A3" s="3" t="s">
        <v>2</v>
      </c>
      <c r="B3" s="1" t="s">
        <v>3</v>
      </c>
    </row>
    <row r="4" spans="1:10" x14ac:dyDescent="0.25">
      <c r="A4" s="3" t="s">
        <v>4</v>
      </c>
      <c r="B4" s="1">
        <v>2614</v>
      </c>
    </row>
    <row r="7" spans="1:10" x14ac:dyDescent="0.25">
      <c r="C7" s="19" t="s">
        <v>5</v>
      </c>
      <c r="D7" s="20"/>
      <c r="E7" s="20"/>
      <c r="F7" s="20"/>
      <c r="G7" s="20"/>
    </row>
    <row r="8" spans="1:10" x14ac:dyDescent="0.25">
      <c r="A8" s="3" t="s">
        <v>6</v>
      </c>
      <c r="B8" s="3" t="s">
        <v>7</v>
      </c>
      <c r="C8" s="3" t="s">
        <v>8</v>
      </c>
      <c r="D8" s="3" t="s">
        <v>9</v>
      </c>
      <c r="E8" s="3" t="s">
        <v>10</v>
      </c>
      <c r="F8" s="3" t="s">
        <v>11</v>
      </c>
      <c r="G8" s="3" t="s">
        <v>12</v>
      </c>
      <c r="H8" s="3" t="s">
        <v>13</v>
      </c>
      <c r="I8" s="3" t="s">
        <v>14</v>
      </c>
      <c r="J8" s="3" t="s">
        <v>15</v>
      </c>
    </row>
    <row r="9" spans="1:10" x14ac:dyDescent="0.25">
      <c r="A9" s="1" t="s">
        <v>16</v>
      </c>
      <c r="B9" s="1" t="s">
        <v>19</v>
      </c>
      <c r="C9" s="11">
        <v>25740</v>
      </c>
      <c r="D9" s="11"/>
      <c r="E9" s="11"/>
      <c r="F9" s="11"/>
      <c r="G9" s="11">
        <f t="shared" ref="G9:G41" si="0">SUM(C9:F9)</f>
        <v>25740</v>
      </c>
      <c r="H9" s="17">
        <f t="shared" ref="H9:H41" si="1">ROUND(G9/2614,2)</f>
        <v>9.85</v>
      </c>
      <c r="I9" s="16">
        <f t="shared" ref="I9:I41" si="2">ROUND(G9/$G$42,3)</f>
        <v>8.1000000000000003E-2</v>
      </c>
      <c r="J9" s="16">
        <f>ROUND(G9/24790-1,2)</f>
        <v>0.04</v>
      </c>
    </row>
    <row r="10" spans="1:10" x14ac:dyDescent="0.25">
      <c r="A10" s="1" t="s">
        <v>16</v>
      </c>
      <c r="B10" s="1" t="s">
        <v>20</v>
      </c>
      <c r="C10" s="11">
        <v>39720</v>
      </c>
      <c r="D10" s="11"/>
      <c r="E10" s="11"/>
      <c r="F10" s="11"/>
      <c r="G10" s="11">
        <f t="shared" si="0"/>
        <v>39720</v>
      </c>
      <c r="H10" s="17">
        <f t="shared" si="1"/>
        <v>15.2</v>
      </c>
      <c r="I10" s="16">
        <f t="shared" si="2"/>
        <v>0.126</v>
      </c>
      <c r="J10" s="16">
        <f>ROUND(G10/37990-1,2)</f>
        <v>0.05</v>
      </c>
    </row>
    <row r="11" spans="1:10" x14ac:dyDescent="0.25">
      <c r="A11" s="1" t="s">
        <v>16</v>
      </c>
      <c r="B11" s="1" t="s">
        <v>21</v>
      </c>
      <c r="C11" s="11"/>
      <c r="D11" s="11"/>
      <c r="E11" s="11">
        <v>8</v>
      </c>
      <c r="F11" s="11"/>
      <c r="G11" s="11">
        <f t="shared" si="0"/>
        <v>8</v>
      </c>
      <c r="H11" s="17">
        <f t="shared" si="1"/>
        <v>0</v>
      </c>
      <c r="I11" s="16">
        <f t="shared" si="2"/>
        <v>0</v>
      </c>
      <c r="J11" s="16"/>
    </row>
    <row r="12" spans="1:10" x14ac:dyDescent="0.25">
      <c r="A12" s="1" t="s">
        <v>16</v>
      </c>
      <c r="B12" s="1" t="s">
        <v>22</v>
      </c>
      <c r="C12" s="11"/>
      <c r="D12" s="11"/>
      <c r="E12" s="11">
        <v>900</v>
      </c>
      <c r="F12" s="11"/>
      <c r="G12" s="11">
        <f t="shared" si="0"/>
        <v>900</v>
      </c>
      <c r="H12" s="17">
        <f t="shared" si="1"/>
        <v>0.34</v>
      </c>
      <c r="I12" s="16">
        <f t="shared" si="2"/>
        <v>3.0000000000000001E-3</v>
      </c>
      <c r="J12" s="16">
        <f>ROUND(G12/800-1,2)</f>
        <v>0.13</v>
      </c>
    </row>
    <row r="13" spans="1:10" x14ac:dyDescent="0.25">
      <c r="A13" s="1" t="s">
        <v>16</v>
      </c>
      <c r="B13" s="1" t="s">
        <v>23</v>
      </c>
      <c r="C13" s="11"/>
      <c r="D13" s="11"/>
      <c r="E13" s="11">
        <v>8040</v>
      </c>
      <c r="F13" s="11"/>
      <c r="G13" s="11">
        <f t="shared" si="0"/>
        <v>8040</v>
      </c>
      <c r="H13" s="17">
        <f t="shared" si="1"/>
        <v>3.08</v>
      </c>
      <c r="I13" s="16">
        <f t="shared" si="2"/>
        <v>2.5000000000000001E-2</v>
      </c>
      <c r="J13" s="16">
        <f>ROUND(G13/7140-1,2)</f>
        <v>0.13</v>
      </c>
    </row>
    <row r="14" spans="1:10" x14ac:dyDescent="0.25">
      <c r="A14" s="1" t="s">
        <v>16</v>
      </c>
      <c r="B14" s="1" t="s">
        <v>24</v>
      </c>
      <c r="C14" s="11">
        <v>43170</v>
      </c>
      <c r="D14" s="11"/>
      <c r="E14" s="11"/>
      <c r="F14" s="11"/>
      <c r="G14" s="11">
        <f t="shared" si="0"/>
        <v>43170</v>
      </c>
      <c r="H14" s="17">
        <f t="shared" si="1"/>
        <v>16.510000000000002</v>
      </c>
      <c r="I14" s="16">
        <f t="shared" si="2"/>
        <v>0.13700000000000001</v>
      </c>
      <c r="J14" s="16">
        <f>ROUND(G14/40520-1,2)</f>
        <v>7.0000000000000007E-2</v>
      </c>
    </row>
    <row r="15" spans="1:10" x14ac:dyDescent="0.25">
      <c r="A15" s="1" t="s">
        <v>16</v>
      </c>
      <c r="B15" s="1" t="s">
        <v>25</v>
      </c>
      <c r="C15" s="11"/>
      <c r="D15" s="11"/>
      <c r="E15" s="11">
        <v>1260</v>
      </c>
      <c r="F15" s="11"/>
      <c r="G15" s="11">
        <f t="shared" si="0"/>
        <v>1260</v>
      </c>
      <c r="H15" s="17">
        <f t="shared" si="1"/>
        <v>0.48</v>
      </c>
      <c r="I15" s="16">
        <f t="shared" si="2"/>
        <v>4.0000000000000001E-3</v>
      </c>
      <c r="J15" s="16"/>
    </row>
    <row r="16" spans="1:10" x14ac:dyDescent="0.25">
      <c r="A16" s="1" t="s">
        <v>16</v>
      </c>
      <c r="B16" s="1" t="s">
        <v>26</v>
      </c>
      <c r="C16" s="11">
        <v>64530</v>
      </c>
      <c r="D16" s="11"/>
      <c r="E16" s="11"/>
      <c r="F16" s="11">
        <v>320</v>
      </c>
      <c r="G16" s="11">
        <f t="shared" si="0"/>
        <v>64850</v>
      </c>
      <c r="H16" s="17">
        <f t="shared" si="1"/>
        <v>24.81</v>
      </c>
      <c r="I16" s="16">
        <f t="shared" si="2"/>
        <v>0.20499999999999999</v>
      </c>
      <c r="J16" s="16">
        <f>ROUND(G16/57300-1,2)</f>
        <v>0.13</v>
      </c>
    </row>
    <row r="17" spans="1:10" x14ac:dyDescent="0.25">
      <c r="A17" s="1" t="s">
        <v>16</v>
      </c>
      <c r="B17" s="1" t="s">
        <v>27</v>
      </c>
      <c r="C17" s="11"/>
      <c r="D17" s="11"/>
      <c r="E17" s="11">
        <v>328</v>
      </c>
      <c r="F17" s="11"/>
      <c r="G17" s="11">
        <f t="shared" si="0"/>
        <v>328</v>
      </c>
      <c r="H17" s="17">
        <f t="shared" si="1"/>
        <v>0.13</v>
      </c>
      <c r="I17" s="16">
        <f t="shared" si="2"/>
        <v>1E-3</v>
      </c>
      <c r="J17" s="16">
        <f>ROUND(G17/111-1,2)</f>
        <v>1.95</v>
      </c>
    </row>
    <row r="18" spans="1:10" x14ac:dyDescent="0.25">
      <c r="A18" s="1" t="s">
        <v>16</v>
      </c>
      <c r="B18" s="1" t="s">
        <v>28</v>
      </c>
      <c r="C18" s="11"/>
      <c r="D18" s="11"/>
      <c r="E18" s="11">
        <v>53</v>
      </c>
      <c r="F18" s="11"/>
      <c r="G18" s="11">
        <f t="shared" si="0"/>
        <v>53</v>
      </c>
      <c r="H18" s="17">
        <f t="shared" si="1"/>
        <v>0.02</v>
      </c>
      <c r="I18" s="16">
        <f t="shared" si="2"/>
        <v>0</v>
      </c>
      <c r="J18" s="16">
        <f>ROUND(G18/285-1,2)</f>
        <v>-0.81</v>
      </c>
    </row>
    <row r="19" spans="1:10" x14ac:dyDescent="0.25">
      <c r="A19" s="1" t="s">
        <v>16</v>
      </c>
      <c r="B19" s="1" t="s">
        <v>29</v>
      </c>
      <c r="C19" s="11"/>
      <c r="D19" s="11"/>
      <c r="E19" s="11">
        <v>160</v>
      </c>
      <c r="F19" s="11"/>
      <c r="G19" s="11">
        <f t="shared" si="0"/>
        <v>160</v>
      </c>
      <c r="H19" s="17">
        <f t="shared" si="1"/>
        <v>0.06</v>
      </c>
      <c r="I19" s="16">
        <f t="shared" si="2"/>
        <v>1E-3</v>
      </c>
      <c r="J19" s="16">
        <f>ROUND(G19/140-1,2)</f>
        <v>0.14000000000000001</v>
      </c>
    </row>
    <row r="20" spans="1:10" x14ac:dyDescent="0.25">
      <c r="A20" s="1" t="s">
        <v>16</v>
      </c>
      <c r="B20" s="1" t="s">
        <v>31</v>
      </c>
      <c r="C20" s="11"/>
      <c r="D20" s="11"/>
      <c r="E20" s="11">
        <v>285</v>
      </c>
      <c r="F20" s="11"/>
      <c r="G20" s="11">
        <f t="shared" si="0"/>
        <v>285</v>
      </c>
      <c r="H20" s="17">
        <f t="shared" si="1"/>
        <v>0.11</v>
      </c>
      <c r="I20" s="16">
        <f t="shared" si="2"/>
        <v>1E-3</v>
      </c>
      <c r="J20" s="16">
        <f>ROUND(G20/625-1,2)</f>
        <v>-0.54</v>
      </c>
    </row>
    <row r="21" spans="1:10" x14ac:dyDescent="0.25">
      <c r="A21" s="1" t="s">
        <v>16</v>
      </c>
      <c r="B21" s="1" t="s">
        <v>32</v>
      </c>
      <c r="C21" s="11"/>
      <c r="D21" s="11">
        <v>204</v>
      </c>
      <c r="E21" s="11"/>
      <c r="F21" s="11"/>
      <c r="G21" s="11">
        <f t="shared" si="0"/>
        <v>204</v>
      </c>
      <c r="H21" s="17">
        <f t="shared" si="1"/>
        <v>0.08</v>
      </c>
      <c r="I21" s="16">
        <f t="shared" si="2"/>
        <v>1E-3</v>
      </c>
      <c r="J21" s="16">
        <f>ROUND(G21/132-1,2)</f>
        <v>0.55000000000000004</v>
      </c>
    </row>
    <row r="22" spans="1:10" x14ac:dyDescent="0.25">
      <c r="A22" s="1" t="s">
        <v>16</v>
      </c>
      <c r="B22" s="1" t="s">
        <v>33</v>
      </c>
      <c r="C22" s="11"/>
      <c r="D22" s="11"/>
      <c r="E22" s="11">
        <v>820</v>
      </c>
      <c r="F22" s="11"/>
      <c r="G22" s="11">
        <f t="shared" si="0"/>
        <v>820</v>
      </c>
      <c r="H22" s="17">
        <f t="shared" si="1"/>
        <v>0.31</v>
      </c>
      <c r="I22" s="16">
        <f t="shared" si="2"/>
        <v>3.0000000000000001E-3</v>
      </c>
      <c r="J22" s="16">
        <f>ROUND(G22/1650-1,2)</f>
        <v>-0.5</v>
      </c>
    </row>
    <row r="23" spans="1:10" x14ac:dyDescent="0.25">
      <c r="A23" s="1" t="s">
        <v>16</v>
      </c>
      <c r="B23" s="1" t="s">
        <v>35</v>
      </c>
      <c r="C23" s="11"/>
      <c r="D23" s="11"/>
      <c r="E23" s="11">
        <v>21820</v>
      </c>
      <c r="F23" s="11"/>
      <c r="G23" s="11">
        <f t="shared" si="0"/>
        <v>21820</v>
      </c>
      <c r="H23" s="17">
        <f t="shared" si="1"/>
        <v>8.35</v>
      </c>
      <c r="I23" s="16">
        <f t="shared" si="2"/>
        <v>6.9000000000000006E-2</v>
      </c>
      <c r="J23" s="16">
        <f>ROUND(G23/23040-1,2)</f>
        <v>-0.05</v>
      </c>
    </row>
    <row r="24" spans="1:10" x14ac:dyDescent="0.25">
      <c r="A24" s="1" t="s">
        <v>16</v>
      </c>
      <c r="B24" s="1" t="s">
        <v>36</v>
      </c>
      <c r="C24" s="11"/>
      <c r="D24" s="11"/>
      <c r="E24" s="11">
        <v>2150</v>
      </c>
      <c r="F24" s="11"/>
      <c r="G24" s="11">
        <f t="shared" si="0"/>
        <v>2150</v>
      </c>
      <c r="H24" s="17">
        <f t="shared" si="1"/>
        <v>0.82</v>
      </c>
      <c r="I24" s="16">
        <f t="shared" si="2"/>
        <v>7.0000000000000001E-3</v>
      </c>
      <c r="J24" s="16">
        <f>ROUND(G24/1300-1,2)</f>
        <v>0.65</v>
      </c>
    </row>
    <row r="25" spans="1:10" x14ac:dyDescent="0.25">
      <c r="A25" s="1" t="s">
        <v>16</v>
      </c>
      <c r="B25" s="1" t="s">
        <v>37</v>
      </c>
      <c r="C25" s="11"/>
      <c r="D25" s="11"/>
      <c r="E25" s="11">
        <v>5730</v>
      </c>
      <c r="F25" s="11"/>
      <c r="G25" s="11">
        <f t="shared" si="0"/>
        <v>5730</v>
      </c>
      <c r="H25" s="17">
        <f t="shared" si="1"/>
        <v>2.19</v>
      </c>
      <c r="I25" s="16">
        <f t="shared" si="2"/>
        <v>1.7999999999999999E-2</v>
      </c>
      <c r="J25" s="16">
        <f>ROUND(G25/4870-1,2)</f>
        <v>0.18</v>
      </c>
    </row>
    <row r="26" spans="1:10" x14ac:dyDescent="0.25">
      <c r="A26" s="1" t="s">
        <v>16</v>
      </c>
      <c r="B26" s="1" t="s">
        <v>38</v>
      </c>
      <c r="C26" s="11"/>
      <c r="D26" s="11"/>
      <c r="E26" s="11"/>
      <c r="F26" s="11">
        <v>25940</v>
      </c>
      <c r="G26" s="11">
        <f t="shared" si="0"/>
        <v>25940</v>
      </c>
      <c r="H26" s="17">
        <f t="shared" si="1"/>
        <v>9.92</v>
      </c>
      <c r="I26" s="16">
        <f t="shared" si="2"/>
        <v>8.2000000000000003E-2</v>
      </c>
      <c r="J26" s="16">
        <f>ROUND(G26/5220-1,2)</f>
        <v>3.97</v>
      </c>
    </row>
    <row r="27" spans="1:10" x14ac:dyDescent="0.25">
      <c r="A27" s="1" t="s">
        <v>16</v>
      </c>
      <c r="B27" s="1" t="s">
        <v>225</v>
      </c>
      <c r="C27" s="11"/>
      <c r="D27" s="11"/>
      <c r="E27" s="11"/>
      <c r="F27" s="11"/>
      <c r="G27" s="11">
        <f t="shared" si="0"/>
        <v>0</v>
      </c>
      <c r="H27" s="17">
        <f t="shared" si="1"/>
        <v>0</v>
      </c>
      <c r="I27" s="16">
        <f t="shared" si="2"/>
        <v>0</v>
      </c>
      <c r="J27" s="16"/>
    </row>
    <row r="28" spans="1:10" x14ac:dyDescent="0.25">
      <c r="A28" s="1" t="s">
        <v>16</v>
      </c>
      <c r="B28" s="1" t="s">
        <v>94</v>
      </c>
      <c r="C28" s="11"/>
      <c r="D28" s="11"/>
      <c r="E28" s="11"/>
      <c r="F28" s="11"/>
      <c r="G28" s="11">
        <f t="shared" si="0"/>
        <v>0</v>
      </c>
      <c r="H28" s="17">
        <f t="shared" si="1"/>
        <v>0</v>
      </c>
      <c r="I28" s="16">
        <f t="shared" si="2"/>
        <v>0</v>
      </c>
      <c r="J28" s="16">
        <f>ROUND(G28/19-1,2)</f>
        <v>-1</v>
      </c>
    </row>
    <row r="29" spans="1:10" x14ac:dyDescent="0.25">
      <c r="A29" s="1" t="s">
        <v>16</v>
      </c>
      <c r="B29" s="1" t="s">
        <v>40</v>
      </c>
      <c r="C29" s="11"/>
      <c r="D29" s="11"/>
      <c r="E29" s="11"/>
      <c r="F29" s="11"/>
      <c r="G29" s="11">
        <f t="shared" si="0"/>
        <v>0</v>
      </c>
      <c r="H29" s="17">
        <f t="shared" si="1"/>
        <v>0</v>
      </c>
      <c r="I29" s="16">
        <f t="shared" si="2"/>
        <v>0</v>
      </c>
      <c r="J29" s="16">
        <f>ROUND(G29/1420-1,2)</f>
        <v>-1</v>
      </c>
    </row>
    <row r="30" spans="1:10" x14ac:dyDescent="0.25">
      <c r="A30" s="1" t="s">
        <v>16</v>
      </c>
      <c r="B30" s="1" t="s">
        <v>30</v>
      </c>
      <c r="C30" s="11"/>
      <c r="D30" s="11"/>
      <c r="E30" s="11"/>
      <c r="F30" s="11"/>
      <c r="G30" s="11">
        <f t="shared" si="0"/>
        <v>0</v>
      </c>
      <c r="H30" s="17">
        <f t="shared" si="1"/>
        <v>0</v>
      </c>
      <c r="I30" s="16">
        <f t="shared" si="2"/>
        <v>0</v>
      </c>
      <c r="J30" s="16"/>
    </row>
    <row r="31" spans="1:10" x14ac:dyDescent="0.25">
      <c r="A31" s="1" t="s">
        <v>16</v>
      </c>
      <c r="B31" s="1" t="s">
        <v>34</v>
      </c>
      <c r="C31" s="11"/>
      <c r="D31" s="11"/>
      <c r="E31" s="11"/>
      <c r="F31" s="11"/>
      <c r="G31" s="11">
        <f t="shared" si="0"/>
        <v>0</v>
      </c>
      <c r="H31" s="17">
        <f t="shared" si="1"/>
        <v>0</v>
      </c>
      <c r="I31" s="16">
        <f t="shared" si="2"/>
        <v>0</v>
      </c>
      <c r="J31" s="16"/>
    </row>
    <row r="32" spans="1:10" x14ac:dyDescent="0.25">
      <c r="A32" s="1" t="s">
        <v>16</v>
      </c>
      <c r="B32" s="1" t="s">
        <v>41</v>
      </c>
      <c r="C32" s="11"/>
      <c r="D32" s="11"/>
      <c r="E32" s="11"/>
      <c r="F32" s="11"/>
      <c r="G32" s="11">
        <f t="shared" si="0"/>
        <v>0</v>
      </c>
      <c r="H32" s="17">
        <f t="shared" si="1"/>
        <v>0</v>
      </c>
      <c r="I32" s="16">
        <f t="shared" si="2"/>
        <v>0</v>
      </c>
      <c r="J32" s="16">
        <f>ROUND(G32/1850-1,2)</f>
        <v>-1</v>
      </c>
    </row>
    <row r="33" spans="1:10" x14ac:dyDescent="0.25">
      <c r="A33" s="1" t="s">
        <v>16</v>
      </c>
      <c r="B33" s="1" t="s">
        <v>42</v>
      </c>
      <c r="C33" s="11"/>
      <c r="D33" s="11"/>
      <c r="E33" s="11"/>
      <c r="F33" s="11"/>
      <c r="G33" s="11">
        <f t="shared" si="0"/>
        <v>0</v>
      </c>
      <c r="H33" s="17">
        <f t="shared" si="1"/>
        <v>0</v>
      </c>
      <c r="I33" s="16">
        <f t="shared" si="2"/>
        <v>0</v>
      </c>
      <c r="J33" s="16">
        <f>ROUND(G33/1980-1,2)</f>
        <v>-1</v>
      </c>
    </row>
    <row r="34" spans="1:10" x14ac:dyDescent="0.25">
      <c r="A34" s="1" t="s">
        <v>16</v>
      </c>
      <c r="B34" s="1" t="s">
        <v>43</v>
      </c>
      <c r="C34" s="11"/>
      <c r="D34" s="11"/>
      <c r="E34" s="11"/>
      <c r="F34" s="11"/>
      <c r="G34" s="11">
        <f t="shared" si="0"/>
        <v>0</v>
      </c>
      <c r="H34" s="17">
        <f t="shared" si="1"/>
        <v>0</v>
      </c>
      <c r="I34" s="16">
        <f t="shared" si="2"/>
        <v>0</v>
      </c>
      <c r="J34" s="16">
        <f>ROUND(G34/2800-1,2)</f>
        <v>-1</v>
      </c>
    </row>
    <row r="35" spans="1:10" x14ac:dyDescent="0.25">
      <c r="A35" s="1" t="s">
        <v>16</v>
      </c>
      <c r="B35" s="1" t="s">
        <v>17</v>
      </c>
      <c r="C35" s="11"/>
      <c r="D35" s="11"/>
      <c r="E35" s="11"/>
      <c r="F35" s="11"/>
      <c r="G35" s="11">
        <f t="shared" si="0"/>
        <v>0</v>
      </c>
      <c r="H35" s="17">
        <f t="shared" si="1"/>
        <v>0</v>
      </c>
      <c r="I35" s="16">
        <f t="shared" si="2"/>
        <v>0</v>
      </c>
      <c r="J35" s="16"/>
    </row>
    <row r="36" spans="1:10" x14ac:dyDescent="0.25">
      <c r="A36" s="1" t="s">
        <v>16</v>
      </c>
      <c r="B36" s="1" t="s">
        <v>39</v>
      </c>
      <c r="C36" s="11"/>
      <c r="D36" s="11"/>
      <c r="E36" s="11"/>
      <c r="F36" s="11"/>
      <c r="G36" s="11">
        <f t="shared" si="0"/>
        <v>0</v>
      </c>
      <c r="H36" s="17">
        <f t="shared" si="1"/>
        <v>0</v>
      </c>
      <c r="I36" s="16">
        <f t="shared" si="2"/>
        <v>0</v>
      </c>
      <c r="J36" s="16">
        <f>ROUND(G36/87-1,2)</f>
        <v>-1</v>
      </c>
    </row>
    <row r="37" spans="1:10" x14ac:dyDescent="0.25">
      <c r="A37" s="1" t="s">
        <v>44</v>
      </c>
      <c r="B37" s="1" t="s">
        <v>45</v>
      </c>
      <c r="C37" s="11">
        <v>61340</v>
      </c>
      <c r="D37" s="11"/>
      <c r="E37" s="11"/>
      <c r="F37" s="11"/>
      <c r="G37" s="11">
        <f t="shared" si="0"/>
        <v>61340</v>
      </c>
      <c r="H37" s="17">
        <f t="shared" si="1"/>
        <v>23.47</v>
      </c>
      <c r="I37" s="16">
        <f t="shared" si="2"/>
        <v>0.19400000000000001</v>
      </c>
      <c r="J37" s="16">
        <f>ROUND(G37/87530-1,2)</f>
        <v>-0.3</v>
      </c>
    </row>
    <row r="38" spans="1:10" x14ac:dyDescent="0.25">
      <c r="A38" s="1" t="s">
        <v>44</v>
      </c>
      <c r="B38" s="1" t="s">
        <v>46</v>
      </c>
      <c r="C38" s="11"/>
      <c r="D38" s="11"/>
      <c r="E38" s="11">
        <v>13700</v>
      </c>
      <c r="F38" s="11"/>
      <c r="G38" s="11">
        <f t="shared" si="0"/>
        <v>13700</v>
      </c>
      <c r="H38" s="17">
        <f t="shared" si="1"/>
        <v>5.24</v>
      </c>
      <c r="I38" s="16">
        <f t="shared" si="2"/>
        <v>4.2999999999999997E-2</v>
      </c>
      <c r="J38" s="16">
        <f>ROUND(G38/13180-1,2)</f>
        <v>0.04</v>
      </c>
    </row>
    <row r="39" spans="1:10" x14ac:dyDescent="0.25">
      <c r="A39" s="1" t="s">
        <v>44</v>
      </c>
      <c r="B39" s="1" t="s">
        <v>47</v>
      </c>
      <c r="C39" s="11"/>
      <c r="D39" s="11"/>
      <c r="E39" s="11"/>
      <c r="F39" s="11"/>
      <c r="G39" s="11">
        <f t="shared" si="0"/>
        <v>0</v>
      </c>
      <c r="H39" s="17">
        <f t="shared" si="1"/>
        <v>0</v>
      </c>
      <c r="I39" s="16">
        <f t="shared" si="2"/>
        <v>0</v>
      </c>
      <c r="J39" s="16"/>
    </row>
    <row r="40" spans="1:10" x14ac:dyDescent="0.25">
      <c r="A40" s="1" t="s">
        <v>48</v>
      </c>
      <c r="B40" s="1" t="s">
        <v>51</v>
      </c>
      <c r="C40" s="11"/>
      <c r="D40" s="11"/>
      <c r="E40" s="11"/>
      <c r="F40" s="11"/>
      <c r="G40" s="11">
        <f t="shared" si="0"/>
        <v>0</v>
      </c>
      <c r="H40" s="17">
        <f t="shared" si="1"/>
        <v>0</v>
      </c>
      <c r="I40" s="16">
        <f t="shared" si="2"/>
        <v>0</v>
      </c>
      <c r="J40" s="16"/>
    </row>
    <row r="41" spans="1:10" x14ac:dyDescent="0.25">
      <c r="A41" s="1" t="s">
        <v>48</v>
      </c>
      <c r="B41" s="1" t="s">
        <v>86</v>
      </c>
      <c r="C41" s="11"/>
      <c r="D41" s="11"/>
      <c r="E41" s="11"/>
      <c r="F41" s="11"/>
      <c r="G41" s="11">
        <f t="shared" si="0"/>
        <v>0</v>
      </c>
      <c r="H41" s="17">
        <f t="shared" si="1"/>
        <v>0</v>
      </c>
      <c r="I41" s="16">
        <f t="shared" si="2"/>
        <v>0</v>
      </c>
      <c r="J41" s="16"/>
    </row>
    <row r="42" spans="1:10" x14ac:dyDescent="0.25">
      <c r="A42" s="21" t="s">
        <v>12</v>
      </c>
      <c r="B42" s="21"/>
      <c r="C42" s="12">
        <f t="shared" ref="C42:H42" si="3">SUM(C8:C41)</f>
        <v>234500</v>
      </c>
      <c r="D42" s="12">
        <f t="shared" si="3"/>
        <v>204</v>
      </c>
      <c r="E42" s="12">
        <f t="shared" si="3"/>
        <v>55254</v>
      </c>
      <c r="F42" s="12">
        <f t="shared" si="3"/>
        <v>26260</v>
      </c>
      <c r="G42" s="12">
        <f t="shared" si="3"/>
        <v>316218</v>
      </c>
      <c r="H42" s="15">
        <f t="shared" si="3"/>
        <v>120.96999999999997</v>
      </c>
      <c r="I42" s="18"/>
      <c r="J42" s="18"/>
    </row>
    <row r="43" spans="1:10" x14ac:dyDescent="0.25">
      <c r="A43" s="21" t="s">
        <v>14</v>
      </c>
      <c r="B43" s="21"/>
      <c r="C43" s="13">
        <f>ROUND(C42/G42,2)</f>
        <v>0.74</v>
      </c>
      <c r="D43" s="13">
        <f>ROUND(D42/G42,2)</f>
        <v>0</v>
      </c>
      <c r="E43" s="13">
        <f>ROUND(E42/G42,2)</f>
        <v>0.17</v>
      </c>
      <c r="F43" s="13">
        <f>ROUND(F42/G42,2)</f>
        <v>0.08</v>
      </c>
      <c r="G43" s="14"/>
      <c r="H43" s="14"/>
      <c r="I43" s="18"/>
      <c r="J43" s="18"/>
    </row>
    <row r="44" spans="1:10" x14ac:dyDescent="0.25">
      <c r="A44" s="2" t="s">
        <v>52</v>
      </c>
      <c r="B44" s="2"/>
      <c r="C44" s="14"/>
      <c r="D44" s="14"/>
      <c r="E44" s="14"/>
      <c r="F44" s="14"/>
      <c r="G44" s="14"/>
      <c r="H44" s="14"/>
      <c r="I44" s="18"/>
      <c r="J44" s="18"/>
    </row>
    <row r="45" spans="1:10" x14ac:dyDescent="0.25">
      <c r="C45" s="9"/>
      <c r="D45" s="9"/>
      <c r="E45" s="9"/>
      <c r="F45" s="9"/>
      <c r="G45" s="9"/>
      <c r="H45" s="9"/>
      <c r="I45" s="10"/>
      <c r="J45" s="10"/>
    </row>
    <row r="46" spans="1:10" x14ac:dyDescent="0.25">
      <c r="C46" s="9"/>
      <c r="D46" s="9"/>
      <c r="E46" s="9"/>
      <c r="F46" s="9"/>
      <c r="G46" s="9"/>
      <c r="H46" s="9"/>
      <c r="I46" s="10"/>
      <c r="J46" s="10"/>
    </row>
    <row r="47" spans="1:10" x14ac:dyDescent="0.25">
      <c r="C47" s="9"/>
      <c r="D47" s="9"/>
      <c r="E47" s="9"/>
      <c r="F47" s="9"/>
      <c r="G47" s="9"/>
      <c r="H47" s="9"/>
      <c r="I47" s="10"/>
      <c r="J47" s="10"/>
    </row>
    <row r="48" spans="1:10" x14ac:dyDescent="0.25">
      <c r="A48" s="21" t="s">
        <v>53</v>
      </c>
      <c r="B48" s="21"/>
      <c r="C48" s="12" t="s">
        <v>8</v>
      </c>
      <c r="D48" s="12" t="s">
        <v>9</v>
      </c>
      <c r="E48" s="12" t="s">
        <v>10</v>
      </c>
      <c r="F48" s="12" t="s">
        <v>11</v>
      </c>
      <c r="G48" s="12" t="s">
        <v>12</v>
      </c>
      <c r="H48" s="15" t="s">
        <v>13</v>
      </c>
      <c r="I48" s="18"/>
      <c r="J48" s="18"/>
    </row>
    <row r="49" spans="1:10" x14ac:dyDescent="0.25">
      <c r="A49" s="20" t="s">
        <v>54</v>
      </c>
      <c r="B49" s="20"/>
      <c r="C49" s="11">
        <v>173160</v>
      </c>
      <c r="D49" s="11">
        <v>204</v>
      </c>
      <c r="E49" s="11">
        <v>41554</v>
      </c>
      <c r="F49" s="11">
        <v>26260</v>
      </c>
      <c r="G49" s="11">
        <f>SUM(C49:F49)</f>
        <v>241178</v>
      </c>
      <c r="H49" s="17">
        <f>ROUND(G49/2614,2)</f>
        <v>92.26</v>
      </c>
      <c r="I49" s="10"/>
      <c r="J49" s="10"/>
    </row>
    <row r="50" spans="1:10" x14ac:dyDescent="0.25">
      <c r="A50" s="20" t="s">
        <v>55</v>
      </c>
      <c r="B50" s="20"/>
      <c r="C50" s="11">
        <v>61340</v>
      </c>
      <c r="D50" s="11">
        <v>0</v>
      </c>
      <c r="E50" s="11">
        <v>13700</v>
      </c>
      <c r="F50" s="11">
        <v>0</v>
      </c>
      <c r="G50" s="11">
        <f>SUM(C50:F50)</f>
        <v>75040</v>
      </c>
      <c r="H50" s="17">
        <f>ROUND(G50/2614,2)</f>
        <v>28.71</v>
      </c>
      <c r="I50" s="10"/>
      <c r="J50" s="10"/>
    </row>
    <row r="51" spans="1:10" x14ac:dyDescent="0.25">
      <c r="A51" s="20" t="s">
        <v>56</v>
      </c>
      <c r="B51" s="20"/>
      <c r="C51" s="11">
        <v>0</v>
      </c>
      <c r="D51" s="11">
        <v>0</v>
      </c>
      <c r="E51" s="11">
        <v>0</v>
      </c>
      <c r="F51" s="11">
        <v>0</v>
      </c>
      <c r="G51" s="11">
        <f>SUM(C51:F51)</f>
        <v>0</v>
      </c>
      <c r="H51" s="17">
        <f>ROUND(G51/2614,2)</f>
        <v>0</v>
      </c>
      <c r="I51" s="10"/>
      <c r="J51" s="10"/>
    </row>
    <row r="52" spans="1:10" x14ac:dyDescent="0.25">
      <c r="C52" s="9"/>
      <c r="D52" s="9"/>
      <c r="E52" s="9"/>
      <c r="F52" s="9"/>
      <c r="G52" s="9"/>
      <c r="H52" s="9"/>
      <c r="I52" s="10"/>
      <c r="J52" s="10"/>
    </row>
    <row r="53" spans="1:10" x14ac:dyDescent="0.25">
      <c r="C53" s="9"/>
      <c r="D53" s="9"/>
      <c r="E53" s="9"/>
      <c r="F53" s="9"/>
      <c r="G53" s="9"/>
      <c r="H53" s="9"/>
      <c r="I53" s="10"/>
      <c r="J53" s="10"/>
    </row>
    <row r="54" spans="1:10" x14ac:dyDescent="0.25">
      <c r="C54" s="9"/>
      <c r="D54" s="9"/>
      <c r="E54" s="9"/>
      <c r="F54" s="9"/>
      <c r="G54" s="9"/>
      <c r="H54" s="9"/>
      <c r="I54" s="10"/>
      <c r="J54" s="10"/>
    </row>
    <row r="55" spans="1:10" x14ac:dyDescent="0.25">
      <c r="C55" s="9"/>
      <c r="D55" s="9"/>
      <c r="E55" s="9"/>
      <c r="F55" s="9"/>
      <c r="G55" s="9"/>
      <c r="H55" s="9"/>
      <c r="I55" s="10"/>
      <c r="J55" s="10"/>
    </row>
    <row r="56" spans="1:10" x14ac:dyDescent="0.25">
      <c r="A56" s="21" t="s">
        <v>57</v>
      </c>
      <c r="B56" s="21"/>
      <c r="C56" s="15" t="s">
        <v>2</v>
      </c>
      <c r="D56" s="15">
        <v>2023</v>
      </c>
      <c r="E56" s="15" t="s">
        <v>59</v>
      </c>
      <c r="F56" s="14"/>
      <c r="G56" s="15" t="s">
        <v>60</v>
      </c>
      <c r="H56" s="15" t="s">
        <v>2</v>
      </c>
      <c r="I56" s="13" t="s">
        <v>61</v>
      </c>
      <c r="J56" s="13" t="s">
        <v>59</v>
      </c>
    </row>
    <row r="57" spans="1:10" x14ac:dyDescent="0.25">
      <c r="A57" s="20" t="s">
        <v>58</v>
      </c>
      <c r="B57" s="20"/>
      <c r="C57" s="16">
        <f>ROUND(0.7956, 4)</f>
        <v>0.79559999999999997</v>
      </c>
      <c r="D57" s="16">
        <f>ROUND(0.7219, 4)</f>
        <v>0.72189999999999999</v>
      </c>
      <c r="E57" s="16">
        <f>ROUND(0.777, 4)</f>
        <v>0.77700000000000002</v>
      </c>
      <c r="F57" s="9"/>
      <c r="G57" s="15" t="s">
        <v>62</v>
      </c>
      <c r="H57" s="22" t="s">
        <v>63</v>
      </c>
      <c r="I57" s="24" t="s">
        <v>64</v>
      </c>
      <c r="J57" s="24" t="s">
        <v>65</v>
      </c>
    </row>
    <row r="58" spans="1:10" x14ac:dyDescent="0.25">
      <c r="A58" s="20" t="s">
        <v>66</v>
      </c>
      <c r="B58" s="20"/>
      <c r="C58" s="16">
        <f>ROUND(0.7848, 4)</f>
        <v>0.78480000000000005</v>
      </c>
      <c r="D58" s="16">
        <f>ROUND(0.7112, 4)</f>
        <v>0.71120000000000005</v>
      </c>
      <c r="E58" s="16">
        <f>ROUND(0.7608, 4)</f>
        <v>0.76080000000000003</v>
      </c>
      <c r="F58" s="9"/>
      <c r="G58" s="15" t="s">
        <v>67</v>
      </c>
      <c r="H58" s="23"/>
      <c r="I58" s="25"/>
      <c r="J58" s="25"/>
    </row>
    <row r="59" spans="1:10" x14ac:dyDescent="0.25">
      <c r="C59" s="9"/>
      <c r="D59" s="9"/>
      <c r="E59" s="9"/>
      <c r="F59" s="9"/>
      <c r="G59" s="9"/>
      <c r="H59" s="9"/>
      <c r="I59" s="10"/>
      <c r="J59" s="10"/>
    </row>
    <row r="60" spans="1:10" x14ac:dyDescent="0.25">
      <c r="C60" s="9"/>
      <c r="D60" s="9"/>
      <c r="E60" s="9"/>
      <c r="F60" s="9"/>
      <c r="G60" s="9"/>
      <c r="H60" s="9"/>
      <c r="I60" s="10"/>
      <c r="J60" s="10"/>
    </row>
    <row r="61" spans="1:10" x14ac:dyDescent="0.25">
      <c r="C61" s="9"/>
      <c r="D61" s="9"/>
      <c r="E61" s="9"/>
      <c r="F61" s="9"/>
      <c r="G61" s="9"/>
      <c r="H61" s="9"/>
      <c r="I61" s="10"/>
      <c r="J61" s="10"/>
    </row>
    <row r="62" spans="1:10" x14ac:dyDescent="0.25">
      <c r="A62" s="21" t="s">
        <v>68</v>
      </c>
      <c r="B62" s="21"/>
      <c r="C62" s="15" t="s">
        <v>2</v>
      </c>
      <c r="D62" s="15" t="s">
        <v>226</v>
      </c>
      <c r="E62" s="15" t="s">
        <v>70</v>
      </c>
      <c r="F62" s="15" t="s">
        <v>71</v>
      </c>
      <c r="G62" s="15" t="s">
        <v>72</v>
      </c>
      <c r="H62" s="14"/>
      <c r="I62" s="18"/>
      <c r="J62" s="18"/>
    </row>
    <row r="63" spans="1:10" x14ac:dyDescent="0.25">
      <c r="A63" s="20" t="s">
        <v>73</v>
      </c>
      <c r="B63" s="20"/>
      <c r="C63" s="17">
        <v>23.47</v>
      </c>
      <c r="D63" s="17">
        <v>92.24</v>
      </c>
      <c r="E63" s="17">
        <v>81.84</v>
      </c>
      <c r="F63" s="17">
        <v>48</v>
      </c>
      <c r="G63" s="17">
        <f>12/4*C63</f>
        <v>70.41</v>
      </c>
      <c r="H63" s="9"/>
      <c r="I63" s="10"/>
      <c r="J63" s="10"/>
    </row>
    <row r="64" spans="1:10" x14ac:dyDescent="0.25">
      <c r="A64" s="20" t="s">
        <v>74</v>
      </c>
      <c r="B64" s="20"/>
      <c r="C64" s="17">
        <v>24.81</v>
      </c>
      <c r="D64" s="17">
        <v>64.28</v>
      </c>
      <c r="E64" s="17">
        <v>55.63</v>
      </c>
      <c r="F64" s="17">
        <v>55.33</v>
      </c>
      <c r="G64" s="17">
        <f>12/4*C64</f>
        <v>74.429999999999993</v>
      </c>
      <c r="H64" s="9"/>
      <c r="I64" s="10"/>
      <c r="J64" s="10"/>
    </row>
    <row r="65" spans="1:10" x14ac:dyDescent="0.25">
      <c r="A65" s="20" t="s">
        <v>75</v>
      </c>
      <c r="B65" s="20"/>
      <c r="C65" s="17">
        <v>92.26</v>
      </c>
      <c r="D65" s="17">
        <v>242.26</v>
      </c>
      <c r="E65" s="17">
        <v>257.88</v>
      </c>
      <c r="F65" s="17">
        <v>242.78</v>
      </c>
      <c r="G65" s="17">
        <f>12/4*C65</f>
        <v>276.78000000000003</v>
      </c>
      <c r="H65" s="9"/>
      <c r="I65" s="10"/>
      <c r="J65" s="10"/>
    </row>
    <row r="66" spans="1:10" x14ac:dyDescent="0.25">
      <c r="A66" s="20" t="s">
        <v>76</v>
      </c>
      <c r="B66" s="20"/>
      <c r="C66" s="17">
        <v>28.71</v>
      </c>
      <c r="D66" s="17">
        <v>107.54</v>
      </c>
      <c r="E66" s="17">
        <v>103.14</v>
      </c>
      <c r="F66" s="17">
        <v>68.31</v>
      </c>
      <c r="G66" s="17">
        <f>12/4*C66</f>
        <v>86.13</v>
      </c>
      <c r="H66" s="9"/>
      <c r="I66" s="10"/>
      <c r="J66" s="10"/>
    </row>
    <row r="67" spans="1:10" x14ac:dyDescent="0.25">
      <c r="C67" s="9"/>
      <c r="D67" s="9"/>
      <c r="E67" s="9"/>
      <c r="F67" s="9"/>
      <c r="G67" s="9"/>
      <c r="H67" s="9"/>
      <c r="I67" s="10"/>
      <c r="J67" s="10"/>
    </row>
    <row r="68" spans="1:10" x14ac:dyDescent="0.25">
      <c r="C68" s="9"/>
      <c r="D68" s="9"/>
      <c r="E68" s="9"/>
      <c r="F68" s="9"/>
      <c r="G68" s="9"/>
      <c r="H68" s="9"/>
      <c r="I68" s="10"/>
      <c r="J68" s="10"/>
    </row>
    <row r="69" spans="1:10" x14ac:dyDescent="0.25">
      <c r="A69" s="19" t="s">
        <v>60</v>
      </c>
      <c r="B69" s="26"/>
      <c r="C69" s="9"/>
      <c r="D69" s="9"/>
      <c r="E69" s="9"/>
      <c r="F69" s="9"/>
      <c r="G69" s="9"/>
      <c r="H69" s="9"/>
      <c r="I69" s="10"/>
      <c r="J69" s="10"/>
    </row>
    <row r="70" spans="1:10" x14ac:dyDescent="0.25">
      <c r="A70" s="3" t="s">
        <v>77</v>
      </c>
      <c r="B70" s="1" t="s">
        <v>227</v>
      </c>
      <c r="C70" s="9"/>
      <c r="D70" s="9"/>
      <c r="E70" s="9"/>
      <c r="F70" s="9"/>
      <c r="G70" s="9"/>
      <c r="H70" s="9"/>
      <c r="I70" s="10"/>
      <c r="J70" s="10"/>
    </row>
    <row r="71" spans="1:10" x14ac:dyDescent="0.25">
      <c r="A71" s="3" t="s">
        <v>70</v>
      </c>
      <c r="B71" s="1" t="s">
        <v>79</v>
      </c>
    </row>
    <row r="72" spans="1:10" x14ac:dyDescent="0.25">
      <c r="A72" s="3" t="s">
        <v>71</v>
      </c>
      <c r="B72" s="1" t="s">
        <v>80</v>
      </c>
    </row>
    <row r="73" spans="1:10" x14ac:dyDescent="0.25">
      <c r="A73" s="3" t="s">
        <v>72</v>
      </c>
      <c r="B73" s="1" t="s">
        <v>81</v>
      </c>
    </row>
  </sheetData>
  <mergeCells count="19">
    <mergeCell ref="A64:B64"/>
    <mergeCell ref="A65:B65"/>
    <mergeCell ref="A66:B66"/>
    <mergeCell ref="A69:B69"/>
    <mergeCell ref="I57:I58"/>
    <mergeCell ref="J57:J58"/>
    <mergeCell ref="A58:B58"/>
    <mergeCell ref="A62:B62"/>
    <mergeCell ref="A63:B63"/>
    <mergeCell ref="A50:B50"/>
    <mergeCell ref="A51:B51"/>
    <mergeCell ref="A56:B56"/>
    <mergeCell ref="A57:B57"/>
    <mergeCell ref="H57:H58"/>
    <mergeCell ref="C7:G7"/>
    <mergeCell ref="A42:B42"/>
    <mergeCell ref="A43:B43"/>
    <mergeCell ref="A48:B48"/>
    <mergeCell ref="A49:B4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J77"/>
  <sheetViews>
    <sheetView workbookViewId="0">
      <selection activeCell="C9" sqref="C9:J77"/>
    </sheetView>
  </sheetViews>
  <sheetFormatPr defaultRowHeight="15" x14ac:dyDescent="0.25"/>
  <cols>
    <col min="1" max="1" width="38.85546875" bestFit="1" customWidth="1"/>
    <col min="2" max="2" width="79" bestFit="1" customWidth="1"/>
    <col min="3" max="3" width="14" bestFit="1" customWidth="1"/>
    <col min="4" max="4" width="23.42578125" bestFit="1" customWidth="1"/>
    <col min="5" max="5" width="16.42578125" bestFit="1" customWidth="1"/>
    <col min="6" max="6" width="10.5703125" bestFit="1" customWidth="1"/>
    <col min="7" max="7" width="68.28515625" bestFit="1" customWidth="1"/>
    <col min="8" max="9" width="20" bestFit="1" customWidth="1"/>
    <col min="10" max="10" width="30.5703125" bestFit="1" customWidth="1"/>
  </cols>
  <sheetData>
    <row r="2" spans="1:10" ht="18.75" x14ac:dyDescent="0.3">
      <c r="A2" s="3" t="s">
        <v>0</v>
      </c>
      <c r="B2" s="4" t="s">
        <v>89</v>
      </c>
    </row>
    <row r="3" spans="1:10" x14ac:dyDescent="0.25">
      <c r="A3" s="3" t="s">
        <v>2</v>
      </c>
      <c r="B3" s="1" t="s">
        <v>3</v>
      </c>
    </row>
    <row r="4" spans="1:10" x14ac:dyDescent="0.25">
      <c r="A4" s="3" t="s">
        <v>4</v>
      </c>
      <c r="B4" s="1">
        <v>2880</v>
      </c>
    </row>
    <row r="7" spans="1:10" x14ac:dyDescent="0.25">
      <c r="C7" s="19" t="s">
        <v>5</v>
      </c>
      <c r="D7" s="20"/>
      <c r="E7" s="20"/>
      <c r="F7" s="20"/>
      <c r="G7" s="20"/>
    </row>
    <row r="8" spans="1:10" x14ac:dyDescent="0.25">
      <c r="A8" s="3" t="s">
        <v>6</v>
      </c>
      <c r="B8" s="3" t="s">
        <v>7</v>
      </c>
      <c r="C8" s="3" t="s">
        <v>8</v>
      </c>
      <c r="D8" s="3" t="s">
        <v>9</v>
      </c>
      <c r="E8" s="3" t="s">
        <v>10</v>
      </c>
      <c r="F8" s="3" t="s">
        <v>11</v>
      </c>
      <c r="G8" s="3" t="s">
        <v>12</v>
      </c>
      <c r="H8" s="3" t="s">
        <v>13</v>
      </c>
      <c r="I8" s="3" t="s">
        <v>14</v>
      </c>
      <c r="J8" s="3" t="s">
        <v>15</v>
      </c>
    </row>
    <row r="9" spans="1:10" x14ac:dyDescent="0.25">
      <c r="A9" s="1" t="s">
        <v>16</v>
      </c>
      <c r="B9" s="1" t="s">
        <v>17</v>
      </c>
      <c r="C9" s="11"/>
      <c r="D9" s="11"/>
      <c r="E9" s="11">
        <v>30</v>
      </c>
      <c r="F9" s="11"/>
      <c r="G9" s="11">
        <f t="shared" ref="G9:G41" si="0">SUM(C9:F9)</f>
        <v>30</v>
      </c>
      <c r="H9" s="17">
        <f t="shared" ref="H9:H41" si="1">ROUND(G9/2880,2)</f>
        <v>0.01</v>
      </c>
      <c r="I9" s="16">
        <f t="shared" ref="I9:I41" si="2">ROUND(G9/$G$42,3)</f>
        <v>0</v>
      </c>
      <c r="J9" s="16"/>
    </row>
    <row r="10" spans="1:10" x14ac:dyDescent="0.25">
      <c r="A10" s="1" t="s">
        <v>16</v>
      </c>
      <c r="B10" s="1" t="s">
        <v>19</v>
      </c>
      <c r="C10" s="11">
        <v>23580</v>
      </c>
      <c r="D10" s="11"/>
      <c r="E10" s="11"/>
      <c r="F10" s="11"/>
      <c r="G10" s="11">
        <f t="shared" si="0"/>
        <v>23580</v>
      </c>
      <c r="H10" s="17">
        <f t="shared" si="1"/>
        <v>8.19</v>
      </c>
      <c r="I10" s="16">
        <f t="shared" si="2"/>
        <v>7.3999999999999996E-2</v>
      </c>
      <c r="J10" s="16">
        <f>ROUND(G10/23440-1,2)</f>
        <v>0.01</v>
      </c>
    </row>
    <row r="11" spans="1:10" x14ac:dyDescent="0.25">
      <c r="A11" s="1" t="s">
        <v>16</v>
      </c>
      <c r="B11" s="1" t="s">
        <v>20</v>
      </c>
      <c r="C11" s="11">
        <v>32070</v>
      </c>
      <c r="D11" s="11"/>
      <c r="E11" s="11"/>
      <c r="F11" s="11"/>
      <c r="G11" s="11">
        <f t="shared" si="0"/>
        <v>32070</v>
      </c>
      <c r="H11" s="17">
        <f t="shared" si="1"/>
        <v>11.14</v>
      </c>
      <c r="I11" s="16">
        <f t="shared" si="2"/>
        <v>0.1</v>
      </c>
      <c r="J11" s="16">
        <f>ROUND(G11/31720-1,2)</f>
        <v>0.01</v>
      </c>
    </row>
    <row r="12" spans="1:10" x14ac:dyDescent="0.25">
      <c r="A12" s="1" t="s">
        <v>16</v>
      </c>
      <c r="B12" s="1" t="s">
        <v>21</v>
      </c>
      <c r="C12" s="11"/>
      <c r="D12" s="11"/>
      <c r="E12" s="11">
        <v>131</v>
      </c>
      <c r="F12" s="11"/>
      <c r="G12" s="11">
        <f t="shared" si="0"/>
        <v>131</v>
      </c>
      <c r="H12" s="17">
        <f t="shared" si="1"/>
        <v>0.05</v>
      </c>
      <c r="I12" s="16">
        <f t="shared" si="2"/>
        <v>0</v>
      </c>
      <c r="J12" s="16">
        <f>ROUND(G12/109-1,2)</f>
        <v>0.2</v>
      </c>
    </row>
    <row r="13" spans="1:10" x14ac:dyDescent="0.25">
      <c r="A13" s="1" t="s">
        <v>16</v>
      </c>
      <c r="B13" s="1" t="s">
        <v>22</v>
      </c>
      <c r="C13" s="11"/>
      <c r="D13" s="11"/>
      <c r="E13" s="11">
        <v>800</v>
      </c>
      <c r="F13" s="11"/>
      <c r="G13" s="11">
        <f t="shared" si="0"/>
        <v>800</v>
      </c>
      <c r="H13" s="17">
        <f t="shared" si="1"/>
        <v>0.28000000000000003</v>
      </c>
      <c r="I13" s="16">
        <f t="shared" si="2"/>
        <v>2E-3</v>
      </c>
      <c r="J13" s="16"/>
    </row>
    <row r="14" spans="1:10" x14ac:dyDescent="0.25">
      <c r="A14" s="1" t="s">
        <v>16</v>
      </c>
      <c r="B14" s="1" t="s">
        <v>23</v>
      </c>
      <c r="C14" s="11"/>
      <c r="D14" s="11"/>
      <c r="E14" s="11">
        <v>8420</v>
      </c>
      <c r="F14" s="11"/>
      <c r="G14" s="11">
        <f t="shared" si="0"/>
        <v>8420</v>
      </c>
      <c r="H14" s="17">
        <f t="shared" si="1"/>
        <v>2.92</v>
      </c>
      <c r="I14" s="16">
        <f t="shared" si="2"/>
        <v>2.5999999999999999E-2</v>
      </c>
      <c r="J14" s="16">
        <f>ROUND(G14/15580-1,2)</f>
        <v>-0.46</v>
      </c>
    </row>
    <row r="15" spans="1:10" x14ac:dyDescent="0.25">
      <c r="A15" s="1" t="s">
        <v>16</v>
      </c>
      <c r="B15" s="1" t="s">
        <v>24</v>
      </c>
      <c r="C15" s="11">
        <v>41960</v>
      </c>
      <c r="D15" s="11"/>
      <c r="E15" s="11">
        <v>1190</v>
      </c>
      <c r="F15" s="11"/>
      <c r="G15" s="11">
        <f t="shared" si="0"/>
        <v>43150</v>
      </c>
      <c r="H15" s="17">
        <f t="shared" si="1"/>
        <v>14.98</v>
      </c>
      <c r="I15" s="16">
        <f t="shared" si="2"/>
        <v>0.13500000000000001</v>
      </c>
      <c r="J15" s="16">
        <f>ROUND(G15/48600-1,2)</f>
        <v>-0.11</v>
      </c>
    </row>
    <row r="16" spans="1:10" x14ac:dyDescent="0.25">
      <c r="A16" s="1" t="s">
        <v>16</v>
      </c>
      <c r="B16" s="1" t="s">
        <v>25</v>
      </c>
      <c r="C16" s="11"/>
      <c r="D16" s="11"/>
      <c r="E16" s="11">
        <v>2190</v>
      </c>
      <c r="F16" s="11"/>
      <c r="G16" s="11">
        <f t="shared" si="0"/>
        <v>2190</v>
      </c>
      <c r="H16" s="17">
        <f t="shared" si="1"/>
        <v>0.76</v>
      </c>
      <c r="I16" s="16">
        <f t="shared" si="2"/>
        <v>7.0000000000000001E-3</v>
      </c>
      <c r="J16" s="16">
        <f>ROUND(G16/820-1,2)</f>
        <v>1.67</v>
      </c>
    </row>
    <row r="17" spans="1:10" x14ac:dyDescent="0.25">
      <c r="A17" s="1" t="s">
        <v>16</v>
      </c>
      <c r="B17" s="1" t="s">
        <v>26</v>
      </c>
      <c r="C17" s="11">
        <v>49730</v>
      </c>
      <c r="D17" s="11"/>
      <c r="E17" s="11"/>
      <c r="F17" s="11"/>
      <c r="G17" s="11">
        <f t="shared" si="0"/>
        <v>49730</v>
      </c>
      <c r="H17" s="17">
        <f t="shared" si="1"/>
        <v>17.27</v>
      </c>
      <c r="I17" s="16">
        <f t="shared" si="2"/>
        <v>0.155</v>
      </c>
      <c r="J17" s="16">
        <f>ROUND(G17/49730-1,2)</f>
        <v>0</v>
      </c>
    </row>
    <row r="18" spans="1:10" x14ac:dyDescent="0.25">
      <c r="A18" s="1" t="s">
        <v>16</v>
      </c>
      <c r="B18" s="1" t="s">
        <v>27</v>
      </c>
      <c r="C18" s="11"/>
      <c r="D18" s="11"/>
      <c r="E18" s="11">
        <v>92</v>
      </c>
      <c r="F18" s="11"/>
      <c r="G18" s="11">
        <f t="shared" si="0"/>
        <v>92</v>
      </c>
      <c r="H18" s="17">
        <f t="shared" si="1"/>
        <v>0.03</v>
      </c>
      <c r="I18" s="16">
        <f t="shared" si="2"/>
        <v>0</v>
      </c>
      <c r="J18" s="16">
        <f>ROUND(G18/203-1,2)</f>
        <v>-0.55000000000000004</v>
      </c>
    </row>
    <row r="19" spans="1:10" x14ac:dyDescent="0.25">
      <c r="A19" s="1" t="s">
        <v>16</v>
      </c>
      <c r="B19" s="1" t="s">
        <v>28</v>
      </c>
      <c r="C19" s="11"/>
      <c r="D19" s="11"/>
      <c r="E19" s="11">
        <v>68</v>
      </c>
      <c r="F19" s="11"/>
      <c r="G19" s="11">
        <f t="shared" si="0"/>
        <v>68</v>
      </c>
      <c r="H19" s="17">
        <f t="shared" si="1"/>
        <v>0.02</v>
      </c>
      <c r="I19" s="16">
        <f t="shared" si="2"/>
        <v>0</v>
      </c>
      <c r="J19" s="16">
        <f>ROUND(G19/73-1,2)</f>
        <v>-7.0000000000000007E-2</v>
      </c>
    </row>
    <row r="20" spans="1:10" x14ac:dyDescent="0.25">
      <c r="A20" s="1" t="s">
        <v>16</v>
      </c>
      <c r="B20" s="1" t="s">
        <v>29</v>
      </c>
      <c r="C20" s="11"/>
      <c r="D20" s="11"/>
      <c r="E20" s="11">
        <v>310</v>
      </c>
      <c r="F20" s="11"/>
      <c r="G20" s="11">
        <f t="shared" si="0"/>
        <v>310</v>
      </c>
      <c r="H20" s="17">
        <f t="shared" si="1"/>
        <v>0.11</v>
      </c>
      <c r="I20" s="16">
        <f t="shared" si="2"/>
        <v>1E-3</v>
      </c>
      <c r="J20" s="16">
        <f>ROUND(G20/210-1,2)</f>
        <v>0.48</v>
      </c>
    </row>
    <row r="21" spans="1:10" x14ac:dyDescent="0.25">
      <c r="A21" s="1" t="s">
        <v>16</v>
      </c>
      <c r="B21" s="1" t="s">
        <v>30</v>
      </c>
      <c r="C21" s="11"/>
      <c r="D21" s="11"/>
      <c r="E21" s="11">
        <v>180</v>
      </c>
      <c r="F21" s="11"/>
      <c r="G21" s="11">
        <f t="shared" si="0"/>
        <v>180</v>
      </c>
      <c r="H21" s="17">
        <f t="shared" si="1"/>
        <v>0.06</v>
      </c>
      <c r="I21" s="16">
        <f t="shared" si="2"/>
        <v>1E-3</v>
      </c>
      <c r="J21" s="16"/>
    </row>
    <row r="22" spans="1:10" x14ac:dyDescent="0.25">
      <c r="A22" s="1" t="s">
        <v>16</v>
      </c>
      <c r="B22" s="1" t="s">
        <v>31</v>
      </c>
      <c r="C22" s="11"/>
      <c r="D22" s="11"/>
      <c r="E22" s="11">
        <v>305</v>
      </c>
      <c r="F22" s="11"/>
      <c r="G22" s="11">
        <f t="shared" si="0"/>
        <v>305</v>
      </c>
      <c r="H22" s="17">
        <f t="shared" si="1"/>
        <v>0.11</v>
      </c>
      <c r="I22" s="16">
        <f t="shared" si="2"/>
        <v>1E-3</v>
      </c>
      <c r="J22" s="16">
        <f>ROUND(G22/690-1,2)</f>
        <v>-0.56000000000000005</v>
      </c>
    </row>
    <row r="23" spans="1:10" x14ac:dyDescent="0.25">
      <c r="A23" s="1" t="s">
        <v>16</v>
      </c>
      <c r="B23" s="1" t="s">
        <v>32</v>
      </c>
      <c r="C23" s="11"/>
      <c r="D23" s="11">
        <v>127</v>
      </c>
      <c r="E23" s="11"/>
      <c r="F23" s="11"/>
      <c r="G23" s="11">
        <f t="shared" si="0"/>
        <v>127</v>
      </c>
      <c r="H23" s="17">
        <f t="shared" si="1"/>
        <v>0.04</v>
      </c>
      <c r="I23" s="16">
        <f t="shared" si="2"/>
        <v>0</v>
      </c>
      <c r="J23" s="16">
        <f>ROUND(G23/108-1,2)</f>
        <v>0.18</v>
      </c>
    </row>
    <row r="24" spans="1:10" x14ac:dyDescent="0.25">
      <c r="A24" s="1" t="s">
        <v>16</v>
      </c>
      <c r="B24" s="1" t="s">
        <v>33</v>
      </c>
      <c r="C24" s="11"/>
      <c r="D24" s="11"/>
      <c r="E24" s="11">
        <v>570</v>
      </c>
      <c r="F24" s="11"/>
      <c r="G24" s="11">
        <f t="shared" si="0"/>
        <v>570</v>
      </c>
      <c r="H24" s="17">
        <f t="shared" si="1"/>
        <v>0.2</v>
      </c>
      <c r="I24" s="16">
        <f t="shared" si="2"/>
        <v>2E-3</v>
      </c>
      <c r="J24" s="16"/>
    </row>
    <row r="25" spans="1:10" x14ac:dyDescent="0.25">
      <c r="A25" s="1" t="s">
        <v>16</v>
      </c>
      <c r="B25" s="1" t="s">
        <v>35</v>
      </c>
      <c r="C25" s="11"/>
      <c r="D25" s="11"/>
      <c r="E25" s="11">
        <v>18480</v>
      </c>
      <c r="F25" s="11"/>
      <c r="G25" s="11">
        <f t="shared" si="0"/>
        <v>18480</v>
      </c>
      <c r="H25" s="17">
        <f t="shared" si="1"/>
        <v>6.42</v>
      </c>
      <c r="I25" s="16">
        <f t="shared" si="2"/>
        <v>5.8000000000000003E-2</v>
      </c>
      <c r="J25" s="16">
        <f>ROUND(G25/15520-1,2)</f>
        <v>0.19</v>
      </c>
    </row>
    <row r="26" spans="1:10" x14ac:dyDescent="0.25">
      <c r="A26" s="1" t="s">
        <v>16</v>
      </c>
      <c r="B26" s="1" t="s">
        <v>36</v>
      </c>
      <c r="C26" s="11"/>
      <c r="D26" s="11"/>
      <c r="E26" s="11">
        <v>1320</v>
      </c>
      <c r="F26" s="11"/>
      <c r="G26" s="11">
        <f t="shared" si="0"/>
        <v>1320</v>
      </c>
      <c r="H26" s="17">
        <f t="shared" si="1"/>
        <v>0.46</v>
      </c>
      <c r="I26" s="16">
        <f t="shared" si="2"/>
        <v>4.0000000000000001E-3</v>
      </c>
      <c r="J26" s="16">
        <f>ROUND(G26/1240-1,2)</f>
        <v>0.06</v>
      </c>
    </row>
    <row r="27" spans="1:10" x14ac:dyDescent="0.25">
      <c r="A27" s="1" t="s">
        <v>16</v>
      </c>
      <c r="B27" s="1" t="s">
        <v>37</v>
      </c>
      <c r="C27" s="11"/>
      <c r="D27" s="11"/>
      <c r="E27" s="11">
        <v>5590</v>
      </c>
      <c r="F27" s="11"/>
      <c r="G27" s="11">
        <f t="shared" si="0"/>
        <v>5590</v>
      </c>
      <c r="H27" s="17">
        <f t="shared" si="1"/>
        <v>1.94</v>
      </c>
      <c r="I27" s="16">
        <f t="shared" si="2"/>
        <v>1.7000000000000001E-2</v>
      </c>
      <c r="J27" s="16">
        <f>ROUND(G27/4610-1,2)</f>
        <v>0.21</v>
      </c>
    </row>
    <row r="28" spans="1:10" x14ac:dyDescent="0.25">
      <c r="A28" s="1" t="s">
        <v>16</v>
      </c>
      <c r="B28" s="1" t="s">
        <v>38</v>
      </c>
      <c r="C28" s="11"/>
      <c r="D28" s="11"/>
      <c r="E28" s="11">
        <v>36220</v>
      </c>
      <c r="F28" s="11"/>
      <c r="G28" s="11">
        <f t="shared" si="0"/>
        <v>36220</v>
      </c>
      <c r="H28" s="17">
        <f t="shared" si="1"/>
        <v>12.58</v>
      </c>
      <c r="I28" s="16">
        <f t="shared" si="2"/>
        <v>0.113</v>
      </c>
      <c r="J28" s="16">
        <f>ROUND(G28/23770-1,2)</f>
        <v>0.52</v>
      </c>
    </row>
    <row r="29" spans="1:10" x14ac:dyDescent="0.25">
      <c r="A29" s="1" t="s">
        <v>16</v>
      </c>
      <c r="B29" s="1" t="s">
        <v>18</v>
      </c>
      <c r="C29" s="11"/>
      <c r="D29" s="11"/>
      <c r="E29" s="11"/>
      <c r="F29" s="11"/>
      <c r="G29" s="11">
        <f t="shared" si="0"/>
        <v>0</v>
      </c>
      <c r="H29" s="17">
        <f t="shared" si="1"/>
        <v>0</v>
      </c>
      <c r="I29" s="16">
        <f t="shared" si="2"/>
        <v>0</v>
      </c>
      <c r="J29" s="16"/>
    </row>
    <row r="30" spans="1:10" x14ac:dyDescent="0.25">
      <c r="A30" s="1" t="s">
        <v>16</v>
      </c>
      <c r="B30" s="1" t="s">
        <v>90</v>
      </c>
      <c r="C30" s="11"/>
      <c r="D30" s="11"/>
      <c r="E30" s="11"/>
      <c r="F30" s="11"/>
      <c r="G30" s="11">
        <f t="shared" si="0"/>
        <v>0</v>
      </c>
      <c r="H30" s="17">
        <f t="shared" si="1"/>
        <v>0</v>
      </c>
      <c r="I30" s="16">
        <f t="shared" si="2"/>
        <v>0</v>
      </c>
      <c r="J30" s="16"/>
    </row>
    <row r="31" spans="1:10" x14ac:dyDescent="0.25">
      <c r="A31" s="1" t="s">
        <v>16</v>
      </c>
      <c r="B31" s="1" t="s">
        <v>40</v>
      </c>
      <c r="C31" s="11"/>
      <c r="D31" s="11"/>
      <c r="E31" s="11"/>
      <c r="F31" s="11"/>
      <c r="G31" s="11">
        <f t="shared" si="0"/>
        <v>0</v>
      </c>
      <c r="H31" s="17">
        <f t="shared" si="1"/>
        <v>0</v>
      </c>
      <c r="I31" s="16">
        <f t="shared" si="2"/>
        <v>0</v>
      </c>
      <c r="J31" s="16">
        <f>ROUND(G31/1670-1,2)</f>
        <v>-1</v>
      </c>
    </row>
    <row r="32" spans="1:10" x14ac:dyDescent="0.25">
      <c r="A32" s="1" t="s">
        <v>16</v>
      </c>
      <c r="B32" s="1" t="s">
        <v>34</v>
      </c>
      <c r="C32" s="11"/>
      <c r="D32" s="11"/>
      <c r="E32" s="11"/>
      <c r="F32" s="11"/>
      <c r="G32" s="11">
        <f t="shared" si="0"/>
        <v>0</v>
      </c>
      <c r="H32" s="17">
        <f t="shared" si="1"/>
        <v>0</v>
      </c>
      <c r="I32" s="16">
        <f t="shared" si="2"/>
        <v>0</v>
      </c>
      <c r="J32" s="16">
        <f>ROUND(G32/553-1,2)</f>
        <v>-1</v>
      </c>
    </row>
    <row r="33" spans="1:10" x14ac:dyDescent="0.25">
      <c r="A33" s="1" t="s">
        <v>16</v>
      </c>
      <c r="B33" s="1" t="s">
        <v>41</v>
      </c>
      <c r="C33" s="11"/>
      <c r="D33" s="11"/>
      <c r="E33" s="11"/>
      <c r="F33" s="11"/>
      <c r="G33" s="11">
        <f t="shared" si="0"/>
        <v>0</v>
      </c>
      <c r="H33" s="17">
        <f t="shared" si="1"/>
        <v>0</v>
      </c>
      <c r="I33" s="16">
        <f t="shared" si="2"/>
        <v>0</v>
      </c>
      <c r="J33" s="16">
        <f>ROUND(G33/490-1,2)</f>
        <v>-1</v>
      </c>
    </row>
    <row r="34" spans="1:10" x14ac:dyDescent="0.25">
      <c r="A34" s="1" t="s">
        <v>16</v>
      </c>
      <c r="B34" s="1" t="s">
        <v>42</v>
      </c>
      <c r="C34" s="11"/>
      <c r="D34" s="11"/>
      <c r="E34" s="11"/>
      <c r="F34" s="11"/>
      <c r="G34" s="11">
        <f t="shared" si="0"/>
        <v>0</v>
      </c>
      <c r="H34" s="17">
        <f t="shared" si="1"/>
        <v>0</v>
      </c>
      <c r="I34" s="16">
        <f t="shared" si="2"/>
        <v>0</v>
      </c>
      <c r="J34" s="16">
        <f>ROUND(G34/580-1,2)</f>
        <v>-1</v>
      </c>
    </row>
    <row r="35" spans="1:10" x14ac:dyDescent="0.25">
      <c r="A35" s="1" t="s">
        <v>16</v>
      </c>
      <c r="B35" s="1" t="s">
        <v>43</v>
      </c>
      <c r="C35" s="11"/>
      <c r="D35" s="11"/>
      <c r="E35" s="11"/>
      <c r="F35" s="11"/>
      <c r="G35" s="11">
        <f t="shared" si="0"/>
        <v>0</v>
      </c>
      <c r="H35" s="17">
        <f t="shared" si="1"/>
        <v>0</v>
      </c>
      <c r="I35" s="16">
        <f t="shared" si="2"/>
        <v>0</v>
      </c>
      <c r="J35" s="16">
        <f>ROUND(G35/2427-1,2)</f>
        <v>-1</v>
      </c>
    </row>
    <row r="36" spans="1:10" x14ac:dyDescent="0.25">
      <c r="A36" s="1" t="s">
        <v>16</v>
      </c>
      <c r="B36" s="1" t="s">
        <v>39</v>
      </c>
      <c r="C36" s="11"/>
      <c r="D36" s="11"/>
      <c r="E36" s="11"/>
      <c r="F36" s="11"/>
      <c r="G36" s="11">
        <f t="shared" si="0"/>
        <v>0</v>
      </c>
      <c r="H36" s="17">
        <f t="shared" si="1"/>
        <v>0</v>
      </c>
      <c r="I36" s="16">
        <f t="shared" si="2"/>
        <v>0</v>
      </c>
      <c r="J36" s="16"/>
    </row>
    <row r="37" spans="1:10" x14ac:dyDescent="0.25">
      <c r="A37" s="1" t="s">
        <v>44</v>
      </c>
      <c r="B37" s="1" t="s">
        <v>45</v>
      </c>
      <c r="C37" s="11">
        <v>78160</v>
      </c>
      <c r="D37" s="11"/>
      <c r="E37" s="11"/>
      <c r="F37" s="11"/>
      <c r="G37" s="11">
        <f t="shared" si="0"/>
        <v>78160</v>
      </c>
      <c r="H37" s="17">
        <f t="shared" si="1"/>
        <v>27.14</v>
      </c>
      <c r="I37" s="16">
        <f t="shared" si="2"/>
        <v>0.24399999999999999</v>
      </c>
      <c r="J37" s="16">
        <f>ROUND(G37/70280-1,2)</f>
        <v>0.11</v>
      </c>
    </row>
    <row r="38" spans="1:10" x14ac:dyDescent="0.25">
      <c r="A38" s="1" t="s">
        <v>44</v>
      </c>
      <c r="B38" s="1" t="s">
        <v>47</v>
      </c>
      <c r="C38" s="11"/>
      <c r="D38" s="11"/>
      <c r="E38" s="11"/>
      <c r="F38" s="11">
        <v>5700</v>
      </c>
      <c r="G38" s="11">
        <f t="shared" si="0"/>
        <v>5700</v>
      </c>
      <c r="H38" s="17">
        <f t="shared" si="1"/>
        <v>1.98</v>
      </c>
      <c r="I38" s="16">
        <f t="shared" si="2"/>
        <v>1.7999999999999999E-2</v>
      </c>
      <c r="J38" s="16"/>
    </row>
    <row r="39" spans="1:10" x14ac:dyDescent="0.25">
      <c r="A39" s="1" t="s">
        <v>44</v>
      </c>
      <c r="B39" s="1" t="s">
        <v>46</v>
      </c>
      <c r="C39" s="11"/>
      <c r="D39" s="11"/>
      <c r="E39" s="11">
        <v>12970</v>
      </c>
      <c r="F39" s="11"/>
      <c r="G39" s="11">
        <f t="shared" si="0"/>
        <v>12970</v>
      </c>
      <c r="H39" s="17">
        <f t="shared" si="1"/>
        <v>4.5</v>
      </c>
      <c r="I39" s="16">
        <f t="shared" si="2"/>
        <v>4.1000000000000002E-2</v>
      </c>
      <c r="J39" s="16">
        <f>ROUND(G39/12960-1,2)</f>
        <v>0</v>
      </c>
    </row>
    <row r="40" spans="1:10" x14ac:dyDescent="0.25">
      <c r="A40" s="1" t="s">
        <v>48</v>
      </c>
      <c r="B40" s="1" t="s">
        <v>50</v>
      </c>
      <c r="C40" s="11"/>
      <c r="D40" s="11"/>
      <c r="E40" s="11"/>
      <c r="F40" s="11"/>
      <c r="G40" s="11">
        <f t="shared" si="0"/>
        <v>0</v>
      </c>
      <c r="H40" s="17">
        <f t="shared" si="1"/>
        <v>0</v>
      </c>
      <c r="I40" s="16">
        <f t="shared" si="2"/>
        <v>0</v>
      </c>
      <c r="J40" s="16">
        <f>ROUND(G40/470-1,2)</f>
        <v>-1</v>
      </c>
    </row>
    <row r="41" spans="1:10" x14ac:dyDescent="0.25">
      <c r="A41" s="1" t="s">
        <v>48</v>
      </c>
      <c r="B41" s="1" t="s">
        <v>51</v>
      </c>
      <c r="C41" s="11"/>
      <c r="D41" s="11"/>
      <c r="E41" s="11"/>
      <c r="F41" s="11"/>
      <c r="G41" s="11">
        <f t="shared" si="0"/>
        <v>0</v>
      </c>
      <c r="H41" s="17">
        <f t="shared" si="1"/>
        <v>0</v>
      </c>
      <c r="I41" s="16">
        <f t="shared" si="2"/>
        <v>0</v>
      </c>
      <c r="J41" s="16"/>
    </row>
    <row r="42" spans="1:10" x14ac:dyDescent="0.25">
      <c r="A42" s="21" t="s">
        <v>12</v>
      </c>
      <c r="B42" s="21"/>
      <c r="C42" s="12">
        <f t="shared" ref="C42:H42" si="3">SUM(C8:C41)</f>
        <v>225500</v>
      </c>
      <c r="D42" s="12">
        <f t="shared" si="3"/>
        <v>127</v>
      </c>
      <c r="E42" s="12">
        <f t="shared" si="3"/>
        <v>88866</v>
      </c>
      <c r="F42" s="12">
        <f t="shared" si="3"/>
        <v>5700</v>
      </c>
      <c r="G42" s="12">
        <f t="shared" si="3"/>
        <v>320193</v>
      </c>
      <c r="H42" s="15">
        <f t="shared" si="3"/>
        <v>111.19000000000003</v>
      </c>
      <c r="I42" s="18"/>
      <c r="J42" s="18"/>
    </row>
    <row r="43" spans="1:10" x14ac:dyDescent="0.25">
      <c r="A43" s="21" t="s">
        <v>14</v>
      </c>
      <c r="B43" s="21"/>
      <c r="C43" s="13">
        <f>ROUND(C42/G42,2)</f>
        <v>0.7</v>
      </c>
      <c r="D43" s="13">
        <f>ROUND(D42/G42,2)</f>
        <v>0</v>
      </c>
      <c r="E43" s="13">
        <f>ROUND(E42/G42,2)</f>
        <v>0.28000000000000003</v>
      </c>
      <c r="F43" s="13">
        <f>ROUND(F42/G42,2)</f>
        <v>0.02</v>
      </c>
      <c r="G43" s="14"/>
      <c r="H43" s="14"/>
      <c r="I43" s="18"/>
      <c r="J43" s="18"/>
    </row>
    <row r="44" spans="1:10" x14ac:dyDescent="0.25">
      <c r="A44" s="2" t="s">
        <v>52</v>
      </c>
      <c r="B44" s="2"/>
      <c r="C44" s="14"/>
      <c r="D44" s="14"/>
      <c r="E44" s="14"/>
      <c r="F44" s="14"/>
      <c r="G44" s="14"/>
      <c r="H44" s="14"/>
      <c r="I44" s="18"/>
      <c r="J44" s="18"/>
    </row>
    <row r="45" spans="1:10" x14ac:dyDescent="0.25">
      <c r="C45" s="9"/>
      <c r="D45" s="9"/>
      <c r="E45" s="9"/>
      <c r="F45" s="9"/>
      <c r="G45" s="9"/>
      <c r="H45" s="9"/>
      <c r="I45" s="10"/>
      <c r="J45" s="10"/>
    </row>
    <row r="46" spans="1:10" x14ac:dyDescent="0.25">
      <c r="C46" s="9"/>
      <c r="D46" s="9"/>
      <c r="E46" s="9"/>
      <c r="F46" s="9"/>
      <c r="G46" s="9"/>
      <c r="H46" s="9"/>
      <c r="I46" s="10"/>
      <c r="J46" s="10"/>
    </row>
    <row r="47" spans="1:10" x14ac:dyDescent="0.25">
      <c r="C47" s="9"/>
      <c r="D47" s="9"/>
      <c r="E47" s="9"/>
      <c r="F47" s="9"/>
      <c r="G47" s="9"/>
      <c r="H47" s="9"/>
      <c r="I47" s="10"/>
      <c r="J47" s="10"/>
    </row>
    <row r="48" spans="1:10" x14ac:dyDescent="0.25">
      <c r="A48" s="21" t="s">
        <v>53</v>
      </c>
      <c r="B48" s="21"/>
      <c r="C48" s="12" t="s">
        <v>8</v>
      </c>
      <c r="D48" s="12" t="s">
        <v>9</v>
      </c>
      <c r="E48" s="12" t="s">
        <v>10</v>
      </c>
      <c r="F48" s="12" t="s">
        <v>11</v>
      </c>
      <c r="G48" s="12" t="s">
        <v>12</v>
      </c>
      <c r="H48" s="15" t="s">
        <v>13</v>
      </c>
      <c r="I48" s="18"/>
      <c r="J48" s="18"/>
    </row>
    <row r="49" spans="1:10" x14ac:dyDescent="0.25">
      <c r="A49" s="20" t="s">
        <v>54</v>
      </c>
      <c r="B49" s="20"/>
      <c r="C49" s="11">
        <v>147340</v>
      </c>
      <c r="D49" s="11">
        <v>127</v>
      </c>
      <c r="E49" s="11">
        <v>75896</v>
      </c>
      <c r="F49" s="11">
        <v>0</v>
      </c>
      <c r="G49" s="11">
        <f>SUM(C49:F49)</f>
        <v>223363</v>
      </c>
      <c r="H49" s="17">
        <f>ROUND(G49/2880,2)</f>
        <v>77.56</v>
      </c>
      <c r="I49" s="10"/>
      <c r="J49" s="10"/>
    </row>
    <row r="50" spans="1:10" x14ac:dyDescent="0.25">
      <c r="A50" s="20" t="s">
        <v>55</v>
      </c>
      <c r="B50" s="20"/>
      <c r="C50" s="11">
        <v>78160</v>
      </c>
      <c r="D50" s="11">
        <v>0</v>
      </c>
      <c r="E50" s="11">
        <v>12970</v>
      </c>
      <c r="F50" s="11">
        <v>5700</v>
      </c>
      <c r="G50" s="11">
        <f>SUM(C50:F50)</f>
        <v>96830</v>
      </c>
      <c r="H50" s="17">
        <f>ROUND(G50/2880,2)</f>
        <v>33.619999999999997</v>
      </c>
      <c r="I50" s="10"/>
      <c r="J50" s="10"/>
    </row>
    <row r="51" spans="1:10" x14ac:dyDescent="0.25">
      <c r="A51" s="20" t="s">
        <v>56</v>
      </c>
      <c r="B51" s="20"/>
      <c r="C51" s="11">
        <v>0</v>
      </c>
      <c r="D51" s="11">
        <v>0</v>
      </c>
      <c r="E51" s="11">
        <v>0</v>
      </c>
      <c r="F51" s="11">
        <v>0</v>
      </c>
      <c r="G51" s="11">
        <f>SUM(C51:F51)</f>
        <v>0</v>
      </c>
      <c r="H51" s="17">
        <f>ROUND(G51/2880,2)</f>
        <v>0</v>
      </c>
      <c r="I51" s="10"/>
      <c r="J51" s="10"/>
    </row>
    <row r="52" spans="1:10" x14ac:dyDescent="0.25">
      <c r="C52" s="9"/>
      <c r="D52" s="9"/>
      <c r="E52" s="9"/>
      <c r="F52" s="9"/>
      <c r="G52" s="9"/>
      <c r="H52" s="9"/>
      <c r="I52" s="10"/>
      <c r="J52" s="10"/>
    </row>
    <row r="53" spans="1:10" x14ac:dyDescent="0.25">
      <c r="C53" s="9"/>
      <c r="D53" s="9"/>
      <c r="E53" s="9"/>
      <c r="F53" s="9"/>
      <c r="G53" s="9"/>
      <c r="H53" s="9"/>
      <c r="I53" s="10"/>
      <c r="J53" s="10"/>
    </row>
    <row r="54" spans="1:10" x14ac:dyDescent="0.25">
      <c r="C54" s="9"/>
      <c r="D54" s="9"/>
      <c r="E54" s="9"/>
      <c r="F54" s="9"/>
      <c r="G54" s="9"/>
      <c r="H54" s="9"/>
      <c r="I54" s="10"/>
      <c r="J54" s="10"/>
    </row>
    <row r="55" spans="1:10" x14ac:dyDescent="0.25">
      <c r="C55" s="9"/>
      <c r="D55" s="9"/>
      <c r="E55" s="9"/>
      <c r="F55" s="9"/>
      <c r="G55" s="9"/>
      <c r="H55" s="9"/>
      <c r="I55" s="10"/>
      <c r="J55" s="10"/>
    </row>
    <row r="56" spans="1:10" x14ac:dyDescent="0.25">
      <c r="A56" s="21" t="s">
        <v>57</v>
      </c>
      <c r="B56" s="21"/>
      <c r="C56" s="15" t="s">
        <v>2</v>
      </c>
      <c r="D56" s="15">
        <v>2023</v>
      </c>
      <c r="E56" s="15" t="s">
        <v>59</v>
      </c>
      <c r="F56" s="14"/>
      <c r="G56" s="15" t="s">
        <v>60</v>
      </c>
      <c r="H56" s="15" t="s">
        <v>2</v>
      </c>
      <c r="I56" s="13" t="s">
        <v>61</v>
      </c>
      <c r="J56" s="13" t="s">
        <v>59</v>
      </c>
    </row>
    <row r="57" spans="1:10" x14ac:dyDescent="0.25">
      <c r="A57" s="20" t="s">
        <v>58</v>
      </c>
      <c r="B57" s="20"/>
      <c r="C57" s="16">
        <f>ROUND(0.7422, 4)</f>
        <v>0.74219999999999997</v>
      </c>
      <c r="D57" s="16">
        <f>ROUND(0.7477, 4)</f>
        <v>0.74770000000000003</v>
      </c>
      <c r="E57" s="16">
        <f>ROUND(0.777, 4)</f>
        <v>0.77700000000000002</v>
      </c>
      <c r="F57" s="9"/>
      <c r="G57" s="15" t="s">
        <v>62</v>
      </c>
      <c r="H57" s="22" t="s">
        <v>63</v>
      </c>
      <c r="I57" s="24" t="s">
        <v>64</v>
      </c>
      <c r="J57" s="24" t="s">
        <v>65</v>
      </c>
    </row>
    <row r="58" spans="1:10" x14ac:dyDescent="0.25">
      <c r="A58" s="20" t="s">
        <v>66</v>
      </c>
      <c r="B58" s="20"/>
      <c r="C58" s="16">
        <f>ROUND(0.7324, 4)</f>
        <v>0.73240000000000005</v>
      </c>
      <c r="D58" s="16">
        <f>ROUND(0.7374, 4)</f>
        <v>0.73740000000000006</v>
      </c>
      <c r="E58" s="16">
        <f>ROUND(0.7608, 4)</f>
        <v>0.76080000000000003</v>
      </c>
      <c r="F58" s="9"/>
      <c r="G58" s="15" t="s">
        <v>67</v>
      </c>
      <c r="H58" s="23"/>
      <c r="I58" s="25"/>
      <c r="J58" s="25"/>
    </row>
    <row r="59" spans="1:10" x14ac:dyDescent="0.25">
      <c r="C59" s="9"/>
      <c r="D59" s="9"/>
      <c r="E59" s="9"/>
      <c r="F59" s="9"/>
      <c r="G59" s="9"/>
      <c r="H59" s="9"/>
      <c r="I59" s="10"/>
      <c r="J59" s="10"/>
    </row>
    <row r="60" spans="1:10" x14ac:dyDescent="0.25">
      <c r="C60" s="9"/>
      <c r="D60" s="9"/>
      <c r="E60" s="9"/>
      <c r="F60" s="9"/>
      <c r="G60" s="9"/>
      <c r="H60" s="9"/>
      <c r="I60" s="10"/>
      <c r="J60" s="10"/>
    </row>
    <row r="61" spans="1:10" x14ac:dyDescent="0.25">
      <c r="C61" s="9"/>
      <c r="D61" s="9"/>
      <c r="E61" s="9"/>
      <c r="F61" s="9"/>
      <c r="G61" s="9"/>
      <c r="H61" s="9"/>
      <c r="I61" s="10"/>
      <c r="J61" s="10"/>
    </row>
    <row r="62" spans="1:10" x14ac:dyDescent="0.25">
      <c r="A62" s="21" t="s">
        <v>68</v>
      </c>
      <c r="B62" s="21"/>
      <c r="C62" s="15" t="s">
        <v>2</v>
      </c>
      <c r="D62" s="15" t="s">
        <v>91</v>
      </c>
      <c r="E62" s="15" t="s">
        <v>70</v>
      </c>
      <c r="F62" s="15" t="s">
        <v>71</v>
      </c>
      <c r="G62" s="15" t="s">
        <v>72</v>
      </c>
      <c r="H62" s="14"/>
      <c r="I62" s="18"/>
      <c r="J62" s="18"/>
    </row>
    <row r="63" spans="1:10" x14ac:dyDescent="0.25">
      <c r="A63" s="20" t="s">
        <v>73</v>
      </c>
      <c r="B63" s="20"/>
      <c r="C63" s="17">
        <v>27.14</v>
      </c>
      <c r="D63" s="17">
        <v>73.12</v>
      </c>
      <c r="E63" s="17">
        <v>81.84</v>
      </c>
      <c r="F63" s="17">
        <v>48</v>
      </c>
      <c r="G63" s="17">
        <f>12/4*C63</f>
        <v>81.42</v>
      </c>
      <c r="H63" s="9"/>
      <c r="I63" s="10"/>
      <c r="J63" s="10"/>
    </row>
    <row r="64" spans="1:10" x14ac:dyDescent="0.25">
      <c r="A64" s="20" t="s">
        <v>74</v>
      </c>
      <c r="B64" s="20"/>
      <c r="C64" s="17">
        <v>17.27</v>
      </c>
      <c r="D64" s="17">
        <v>50.28</v>
      </c>
      <c r="E64" s="17">
        <v>55.63</v>
      </c>
      <c r="F64" s="17">
        <v>55.33</v>
      </c>
      <c r="G64" s="17">
        <f>12/4*C64</f>
        <v>51.81</v>
      </c>
      <c r="H64" s="9"/>
      <c r="I64" s="10"/>
      <c r="J64" s="10"/>
    </row>
    <row r="65" spans="1:10" x14ac:dyDescent="0.25">
      <c r="A65" s="20" t="s">
        <v>75</v>
      </c>
      <c r="B65" s="20"/>
      <c r="C65" s="17">
        <v>77.56</v>
      </c>
      <c r="D65" s="17">
        <v>244.45</v>
      </c>
      <c r="E65" s="17">
        <v>257.88</v>
      </c>
      <c r="F65" s="17">
        <v>242.78</v>
      </c>
      <c r="G65" s="17">
        <f>12/4*C65</f>
        <v>232.68</v>
      </c>
      <c r="H65" s="9"/>
      <c r="I65" s="10"/>
      <c r="J65" s="10"/>
    </row>
    <row r="66" spans="1:10" x14ac:dyDescent="0.25">
      <c r="A66" s="20" t="s">
        <v>76</v>
      </c>
      <c r="B66" s="20"/>
      <c r="C66" s="17">
        <v>33.619999999999997</v>
      </c>
      <c r="D66" s="17">
        <v>92.76</v>
      </c>
      <c r="E66" s="17">
        <v>103.14</v>
      </c>
      <c r="F66" s="17">
        <v>68.31</v>
      </c>
      <c r="G66" s="17">
        <f>12/4*C66</f>
        <v>100.85999999999999</v>
      </c>
      <c r="H66" s="9"/>
      <c r="I66" s="10"/>
      <c r="J66" s="10"/>
    </row>
    <row r="67" spans="1:10" x14ac:dyDescent="0.25">
      <c r="C67" s="9"/>
      <c r="D67" s="9"/>
      <c r="E67" s="9"/>
      <c r="F67" s="9"/>
      <c r="G67" s="9"/>
      <c r="H67" s="9"/>
      <c r="I67" s="10"/>
      <c r="J67" s="10"/>
    </row>
    <row r="68" spans="1:10" x14ac:dyDescent="0.25">
      <c r="C68" s="9"/>
      <c r="D68" s="9"/>
      <c r="E68" s="9"/>
      <c r="F68" s="9"/>
      <c r="G68" s="9"/>
      <c r="H68" s="9"/>
      <c r="I68" s="10"/>
      <c r="J68" s="10"/>
    </row>
    <row r="69" spans="1:10" x14ac:dyDescent="0.25">
      <c r="A69" s="19" t="s">
        <v>60</v>
      </c>
      <c r="B69" s="26"/>
      <c r="C69" s="9"/>
      <c r="D69" s="9"/>
      <c r="E69" s="9"/>
      <c r="F69" s="9"/>
      <c r="G69" s="9"/>
      <c r="H69" s="9"/>
      <c r="I69" s="10"/>
      <c r="J69" s="10"/>
    </row>
    <row r="70" spans="1:10" x14ac:dyDescent="0.25">
      <c r="A70" s="3" t="s">
        <v>77</v>
      </c>
      <c r="B70" s="1" t="s">
        <v>92</v>
      </c>
      <c r="C70" s="9"/>
      <c r="D70" s="9"/>
      <c r="E70" s="9"/>
      <c r="F70" s="9"/>
      <c r="G70" s="9"/>
      <c r="H70" s="9"/>
      <c r="I70" s="10"/>
      <c r="J70" s="10"/>
    </row>
    <row r="71" spans="1:10" x14ac:dyDescent="0.25">
      <c r="A71" s="3" t="s">
        <v>70</v>
      </c>
      <c r="B71" s="1" t="s">
        <v>79</v>
      </c>
      <c r="C71" s="9"/>
      <c r="D71" s="9"/>
      <c r="E71" s="9"/>
      <c r="F71" s="9"/>
      <c r="G71" s="9"/>
      <c r="H71" s="9"/>
      <c r="I71" s="10"/>
      <c r="J71" s="10"/>
    </row>
    <row r="72" spans="1:10" x14ac:dyDescent="0.25">
      <c r="A72" s="3" t="s">
        <v>71</v>
      </c>
      <c r="B72" s="1" t="s">
        <v>80</v>
      </c>
      <c r="C72" s="9"/>
      <c r="D72" s="9"/>
      <c r="E72" s="9"/>
      <c r="F72" s="9"/>
      <c r="G72" s="9"/>
      <c r="H72" s="9"/>
      <c r="I72" s="10"/>
      <c r="J72" s="10"/>
    </row>
    <row r="73" spans="1:10" x14ac:dyDescent="0.25">
      <c r="A73" s="3" t="s">
        <v>72</v>
      </c>
      <c r="B73" s="1" t="s">
        <v>81</v>
      </c>
      <c r="C73" s="9"/>
      <c r="D73" s="9"/>
      <c r="E73" s="9"/>
      <c r="F73" s="9"/>
      <c r="G73" s="9"/>
      <c r="H73" s="9"/>
      <c r="I73" s="10"/>
      <c r="J73" s="10"/>
    </row>
    <row r="74" spans="1:10" x14ac:dyDescent="0.25">
      <c r="C74" s="9"/>
      <c r="D74" s="9"/>
      <c r="E74" s="9"/>
      <c r="F74" s="9"/>
      <c r="G74" s="9"/>
      <c r="H74" s="9"/>
      <c r="I74" s="10"/>
      <c r="J74" s="10"/>
    </row>
    <row r="75" spans="1:10" x14ac:dyDescent="0.25">
      <c r="C75" s="9"/>
      <c r="D75" s="9"/>
      <c r="E75" s="9"/>
      <c r="F75" s="9"/>
      <c r="G75" s="9"/>
      <c r="H75" s="9"/>
      <c r="I75" s="10"/>
      <c r="J75" s="10"/>
    </row>
    <row r="76" spans="1:10" x14ac:dyDescent="0.25">
      <c r="C76" s="9"/>
      <c r="D76" s="9"/>
      <c r="E76" s="9"/>
      <c r="F76" s="9"/>
      <c r="G76" s="9"/>
      <c r="H76" s="9"/>
      <c r="I76" s="10"/>
      <c r="J76" s="10"/>
    </row>
    <row r="77" spans="1:10" x14ac:dyDescent="0.25">
      <c r="C77" s="9"/>
      <c r="D77" s="9"/>
      <c r="E77" s="9"/>
      <c r="F77" s="9"/>
      <c r="G77" s="9"/>
      <c r="H77" s="9"/>
      <c r="I77" s="10"/>
      <c r="J77" s="10"/>
    </row>
  </sheetData>
  <mergeCells count="19">
    <mergeCell ref="A64:B64"/>
    <mergeCell ref="A65:B65"/>
    <mergeCell ref="A66:B66"/>
    <mergeCell ref="A69:B69"/>
    <mergeCell ref="I57:I58"/>
    <mergeCell ref="J57:J58"/>
    <mergeCell ref="A58:B58"/>
    <mergeCell ref="A62:B62"/>
    <mergeCell ref="A63:B63"/>
    <mergeCell ref="A50:B50"/>
    <mergeCell ref="A51:B51"/>
    <mergeCell ref="A56:B56"/>
    <mergeCell ref="A57:B57"/>
    <mergeCell ref="H57:H58"/>
    <mergeCell ref="C7:G7"/>
    <mergeCell ref="A42:B42"/>
    <mergeCell ref="A43:B43"/>
    <mergeCell ref="A48:B48"/>
    <mergeCell ref="A49:B49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2:J74"/>
  <sheetViews>
    <sheetView workbookViewId="0">
      <selection activeCell="C9" sqref="C9:J74"/>
    </sheetView>
  </sheetViews>
  <sheetFormatPr defaultRowHeight="15" x14ac:dyDescent="0.25"/>
  <cols>
    <col min="1" max="1" width="38.85546875" bestFit="1" customWidth="1"/>
    <col min="2" max="2" width="79" bestFit="1" customWidth="1"/>
    <col min="3" max="3" width="14" bestFit="1" customWidth="1"/>
    <col min="4" max="4" width="22.28515625" bestFit="1" customWidth="1"/>
    <col min="5" max="5" width="16.42578125" bestFit="1" customWidth="1"/>
    <col min="6" max="6" width="10.5703125" bestFit="1" customWidth="1"/>
    <col min="7" max="7" width="68.28515625" bestFit="1" customWidth="1"/>
    <col min="8" max="9" width="20" bestFit="1" customWidth="1"/>
    <col min="10" max="10" width="30.5703125" bestFit="1" customWidth="1"/>
  </cols>
  <sheetData>
    <row r="2" spans="1:10" ht="18.75" x14ac:dyDescent="0.3">
      <c r="A2" s="3" t="s">
        <v>0</v>
      </c>
      <c r="B2" s="4" t="s">
        <v>228</v>
      </c>
    </row>
    <row r="3" spans="1:10" x14ac:dyDescent="0.25">
      <c r="A3" s="3" t="s">
        <v>2</v>
      </c>
      <c r="B3" s="1" t="s">
        <v>3</v>
      </c>
    </row>
    <row r="4" spans="1:10" x14ac:dyDescent="0.25">
      <c r="A4" s="3" t="s">
        <v>4</v>
      </c>
      <c r="B4" s="1">
        <v>2781</v>
      </c>
    </row>
    <row r="7" spans="1:10" x14ac:dyDescent="0.25">
      <c r="C7" s="19" t="s">
        <v>5</v>
      </c>
      <c r="D7" s="20"/>
      <c r="E7" s="20"/>
      <c r="F7" s="20"/>
      <c r="G7" s="20"/>
    </row>
    <row r="8" spans="1:10" x14ac:dyDescent="0.25">
      <c r="A8" s="3" t="s">
        <v>6</v>
      </c>
      <c r="B8" s="3" t="s">
        <v>7</v>
      </c>
      <c r="C8" s="3" t="s">
        <v>8</v>
      </c>
      <c r="D8" s="3" t="s">
        <v>9</v>
      </c>
      <c r="E8" s="3" t="s">
        <v>10</v>
      </c>
      <c r="F8" s="3" t="s">
        <v>11</v>
      </c>
      <c r="G8" s="3" t="s">
        <v>12</v>
      </c>
      <c r="H8" s="3" t="s">
        <v>13</v>
      </c>
      <c r="I8" s="3" t="s">
        <v>14</v>
      </c>
      <c r="J8" s="3" t="s">
        <v>15</v>
      </c>
    </row>
    <row r="9" spans="1:10" x14ac:dyDescent="0.25">
      <c r="A9" s="1" t="s">
        <v>16</v>
      </c>
      <c r="B9" s="1" t="s">
        <v>19</v>
      </c>
      <c r="C9" s="11">
        <v>26500</v>
      </c>
      <c r="D9" s="11"/>
      <c r="E9" s="11"/>
      <c r="F9" s="11"/>
      <c r="G9" s="11">
        <f t="shared" ref="G9:G38" si="0">SUM(C9:F9)</f>
        <v>26500</v>
      </c>
      <c r="H9" s="17">
        <f t="shared" ref="H9:H38" si="1">ROUND(G9/2781,2)</f>
        <v>9.5299999999999994</v>
      </c>
      <c r="I9" s="16">
        <f t="shared" ref="I9:I38" si="2">ROUND(G9/$G$39,3)</f>
        <v>0.08</v>
      </c>
      <c r="J9" s="16">
        <f>ROUND(G9/24780-1,2)</f>
        <v>7.0000000000000007E-2</v>
      </c>
    </row>
    <row r="10" spans="1:10" x14ac:dyDescent="0.25">
      <c r="A10" s="1" t="s">
        <v>16</v>
      </c>
      <c r="B10" s="1" t="s">
        <v>20</v>
      </c>
      <c r="C10" s="11">
        <v>33610</v>
      </c>
      <c r="D10" s="11"/>
      <c r="E10" s="11"/>
      <c r="F10" s="11"/>
      <c r="G10" s="11">
        <f t="shared" si="0"/>
        <v>33610</v>
      </c>
      <c r="H10" s="17">
        <f t="shared" si="1"/>
        <v>12.09</v>
      </c>
      <c r="I10" s="16">
        <f t="shared" si="2"/>
        <v>0.10100000000000001</v>
      </c>
      <c r="J10" s="16">
        <f>ROUND(G10/34180-1,2)</f>
        <v>-0.02</v>
      </c>
    </row>
    <row r="11" spans="1:10" x14ac:dyDescent="0.25">
      <c r="A11" s="1" t="s">
        <v>16</v>
      </c>
      <c r="B11" s="1" t="s">
        <v>21</v>
      </c>
      <c r="C11" s="11"/>
      <c r="D11" s="11"/>
      <c r="E11" s="11">
        <v>70</v>
      </c>
      <c r="F11" s="11"/>
      <c r="G11" s="11">
        <f t="shared" si="0"/>
        <v>70</v>
      </c>
      <c r="H11" s="17">
        <f t="shared" si="1"/>
        <v>0.03</v>
      </c>
      <c r="I11" s="16">
        <f t="shared" si="2"/>
        <v>0</v>
      </c>
      <c r="J11" s="16">
        <f>ROUND(G11/54-1,2)</f>
        <v>0.3</v>
      </c>
    </row>
    <row r="12" spans="1:10" x14ac:dyDescent="0.25">
      <c r="A12" s="1" t="s">
        <v>16</v>
      </c>
      <c r="B12" s="1" t="s">
        <v>23</v>
      </c>
      <c r="C12" s="11"/>
      <c r="D12" s="11"/>
      <c r="E12" s="11">
        <v>7120</v>
      </c>
      <c r="F12" s="11"/>
      <c r="G12" s="11">
        <f t="shared" si="0"/>
        <v>7120</v>
      </c>
      <c r="H12" s="17">
        <f t="shared" si="1"/>
        <v>2.56</v>
      </c>
      <c r="I12" s="16">
        <f t="shared" si="2"/>
        <v>2.1000000000000001E-2</v>
      </c>
      <c r="J12" s="16">
        <f>ROUND(G12/8140-1,2)</f>
        <v>-0.13</v>
      </c>
    </row>
    <row r="13" spans="1:10" x14ac:dyDescent="0.25">
      <c r="A13" s="1" t="s">
        <v>16</v>
      </c>
      <c r="B13" s="1" t="s">
        <v>24</v>
      </c>
      <c r="C13" s="11">
        <v>37500</v>
      </c>
      <c r="D13" s="11"/>
      <c r="E13" s="11"/>
      <c r="F13" s="11"/>
      <c r="G13" s="11">
        <f t="shared" si="0"/>
        <v>37500</v>
      </c>
      <c r="H13" s="17">
        <f t="shared" si="1"/>
        <v>13.48</v>
      </c>
      <c r="I13" s="16">
        <f t="shared" si="2"/>
        <v>0.113</v>
      </c>
      <c r="J13" s="16">
        <f>ROUND(G13/40640-1,2)</f>
        <v>-0.08</v>
      </c>
    </row>
    <row r="14" spans="1:10" x14ac:dyDescent="0.25">
      <c r="A14" s="1" t="s">
        <v>16</v>
      </c>
      <c r="B14" s="1" t="s">
        <v>25</v>
      </c>
      <c r="C14" s="11"/>
      <c r="D14" s="11"/>
      <c r="E14" s="11">
        <v>1100</v>
      </c>
      <c r="F14" s="11"/>
      <c r="G14" s="11">
        <f t="shared" si="0"/>
        <v>1100</v>
      </c>
      <c r="H14" s="17">
        <f t="shared" si="1"/>
        <v>0.4</v>
      </c>
      <c r="I14" s="16">
        <f t="shared" si="2"/>
        <v>3.0000000000000001E-3</v>
      </c>
      <c r="J14" s="16">
        <f>ROUND(G14/1960-1,2)</f>
        <v>-0.44</v>
      </c>
    </row>
    <row r="15" spans="1:10" x14ac:dyDescent="0.25">
      <c r="A15" s="1" t="s">
        <v>16</v>
      </c>
      <c r="B15" s="1" t="s">
        <v>26</v>
      </c>
      <c r="C15" s="11">
        <v>67100</v>
      </c>
      <c r="D15" s="11"/>
      <c r="E15" s="11"/>
      <c r="F15" s="11">
        <v>80</v>
      </c>
      <c r="G15" s="11">
        <f t="shared" si="0"/>
        <v>67180</v>
      </c>
      <c r="H15" s="17">
        <f t="shared" si="1"/>
        <v>24.16</v>
      </c>
      <c r="I15" s="16">
        <f t="shared" si="2"/>
        <v>0.20200000000000001</v>
      </c>
      <c r="J15" s="16">
        <f>ROUND(G15/61820-1,2)</f>
        <v>0.09</v>
      </c>
    </row>
    <row r="16" spans="1:10" x14ac:dyDescent="0.25">
      <c r="A16" s="1" t="s">
        <v>16</v>
      </c>
      <c r="B16" s="1" t="s">
        <v>29</v>
      </c>
      <c r="C16" s="11"/>
      <c r="D16" s="11"/>
      <c r="E16" s="11">
        <v>120</v>
      </c>
      <c r="F16" s="11"/>
      <c r="G16" s="11">
        <f t="shared" si="0"/>
        <v>120</v>
      </c>
      <c r="H16" s="17">
        <f t="shared" si="1"/>
        <v>0.04</v>
      </c>
      <c r="I16" s="16">
        <f t="shared" si="2"/>
        <v>0</v>
      </c>
      <c r="J16" s="16">
        <f>ROUND(G16/170-1,2)</f>
        <v>-0.28999999999999998</v>
      </c>
    </row>
    <row r="17" spans="1:10" x14ac:dyDescent="0.25">
      <c r="A17" s="1" t="s">
        <v>16</v>
      </c>
      <c r="B17" s="1" t="s">
        <v>31</v>
      </c>
      <c r="C17" s="11"/>
      <c r="D17" s="11"/>
      <c r="E17" s="11">
        <v>795</v>
      </c>
      <c r="F17" s="11"/>
      <c r="G17" s="11">
        <f t="shared" si="0"/>
        <v>795</v>
      </c>
      <c r="H17" s="17">
        <f t="shared" si="1"/>
        <v>0.28999999999999998</v>
      </c>
      <c r="I17" s="16">
        <f t="shared" si="2"/>
        <v>2E-3</v>
      </c>
      <c r="J17" s="16">
        <f>ROUND(G17/425-1,2)</f>
        <v>0.87</v>
      </c>
    </row>
    <row r="18" spans="1:10" x14ac:dyDescent="0.25">
      <c r="A18" s="1" t="s">
        <v>16</v>
      </c>
      <c r="B18" s="1" t="s">
        <v>32</v>
      </c>
      <c r="C18" s="11"/>
      <c r="D18" s="11">
        <v>69</v>
      </c>
      <c r="E18" s="11"/>
      <c r="F18" s="11"/>
      <c r="G18" s="11">
        <f t="shared" si="0"/>
        <v>69</v>
      </c>
      <c r="H18" s="17">
        <f t="shared" si="1"/>
        <v>0.02</v>
      </c>
      <c r="I18" s="16">
        <f t="shared" si="2"/>
        <v>0</v>
      </c>
      <c r="J18" s="16">
        <f>ROUND(G18/62-1,2)</f>
        <v>0.11</v>
      </c>
    </row>
    <row r="19" spans="1:10" x14ac:dyDescent="0.25">
      <c r="A19" s="1" t="s">
        <v>16</v>
      </c>
      <c r="B19" s="1" t="s">
        <v>34</v>
      </c>
      <c r="C19" s="11"/>
      <c r="D19" s="11">
        <v>100</v>
      </c>
      <c r="E19" s="11"/>
      <c r="F19" s="11"/>
      <c r="G19" s="11">
        <f t="shared" si="0"/>
        <v>100</v>
      </c>
      <c r="H19" s="17">
        <f t="shared" si="1"/>
        <v>0.04</v>
      </c>
      <c r="I19" s="16">
        <f t="shared" si="2"/>
        <v>0</v>
      </c>
      <c r="J19" s="16">
        <f>ROUND(G19/100-1,2)</f>
        <v>0</v>
      </c>
    </row>
    <row r="20" spans="1:10" x14ac:dyDescent="0.25">
      <c r="A20" s="1" t="s">
        <v>16</v>
      </c>
      <c r="B20" s="1" t="s">
        <v>35</v>
      </c>
      <c r="C20" s="11"/>
      <c r="D20" s="11"/>
      <c r="E20" s="11">
        <v>20600</v>
      </c>
      <c r="F20" s="11"/>
      <c r="G20" s="11">
        <f t="shared" si="0"/>
        <v>20600</v>
      </c>
      <c r="H20" s="17">
        <f t="shared" si="1"/>
        <v>7.41</v>
      </c>
      <c r="I20" s="16">
        <f t="shared" si="2"/>
        <v>6.2E-2</v>
      </c>
      <c r="J20" s="16">
        <f>ROUND(G20/12580-1,2)</f>
        <v>0.64</v>
      </c>
    </row>
    <row r="21" spans="1:10" x14ac:dyDescent="0.25">
      <c r="A21" s="1" t="s">
        <v>16</v>
      </c>
      <c r="B21" s="1" t="s">
        <v>37</v>
      </c>
      <c r="C21" s="11"/>
      <c r="D21" s="11"/>
      <c r="E21" s="11">
        <v>6250</v>
      </c>
      <c r="F21" s="11"/>
      <c r="G21" s="11">
        <f t="shared" si="0"/>
        <v>6250</v>
      </c>
      <c r="H21" s="17">
        <f t="shared" si="1"/>
        <v>2.25</v>
      </c>
      <c r="I21" s="16">
        <f t="shared" si="2"/>
        <v>1.9E-2</v>
      </c>
      <c r="J21" s="16">
        <f>ROUND(G21/4960-1,2)</f>
        <v>0.26</v>
      </c>
    </row>
    <row r="22" spans="1:10" x14ac:dyDescent="0.25">
      <c r="A22" s="1" t="s">
        <v>16</v>
      </c>
      <c r="B22" s="1" t="s">
        <v>38</v>
      </c>
      <c r="C22" s="11"/>
      <c r="D22" s="11"/>
      <c r="E22" s="11">
        <v>18000</v>
      </c>
      <c r="F22" s="11"/>
      <c r="G22" s="11">
        <f t="shared" si="0"/>
        <v>18000</v>
      </c>
      <c r="H22" s="17">
        <f t="shared" si="1"/>
        <v>6.47</v>
      </c>
      <c r="I22" s="16">
        <f t="shared" si="2"/>
        <v>5.3999999999999999E-2</v>
      </c>
      <c r="J22" s="16">
        <f>ROUND(G22/19700-1,2)</f>
        <v>-0.09</v>
      </c>
    </row>
    <row r="23" spans="1:10" x14ac:dyDescent="0.25">
      <c r="A23" s="1" t="s">
        <v>16</v>
      </c>
      <c r="B23" s="1" t="s">
        <v>40</v>
      </c>
      <c r="C23" s="11"/>
      <c r="D23" s="11"/>
      <c r="E23" s="11"/>
      <c r="F23" s="11"/>
      <c r="G23" s="11">
        <f t="shared" si="0"/>
        <v>0</v>
      </c>
      <c r="H23" s="17">
        <f t="shared" si="1"/>
        <v>0</v>
      </c>
      <c r="I23" s="16">
        <f t="shared" si="2"/>
        <v>0</v>
      </c>
      <c r="J23" s="16">
        <f>ROUND(G23/580-1,2)</f>
        <v>-1</v>
      </c>
    </row>
    <row r="24" spans="1:10" x14ac:dyDescent="0.25">
      <c r="A24" s="1" t="s">
        <v>16</v>
      </c>
      <c r="B24" s="1" t="s">
        <v>41</v>
      </c>
      <c r="C24" s="11"/>
      <c r="D24" s="11"/>
      <c r="E24" s="11"/>
      <c r="F24" s="11"/>
      <c r="G24" s="11">
        <f t="shared" si="0"/>
        <v>0</v>
      </c>
      <c r="H24" s="17">
        <f t="shared" si="1"/>
        <v>0</v>
      </c>
      <c r="I24" s="16">
        <f t="shared" si="2"/>
        <v>0</v>
      </c>
      <c r="J24" s="16">
        <f>ROUND(G24/1330-1,2)</f>
        <v>-1</v>
      </c>
    </row>
    <row r="25" spans="1:10" x14ac:dyDescent="0.25">
      <c r="A25" s="1" t="s">
        <v>16</v>
      </c>
      <c r="B25" s="1" t="s">
        <v>42</v>
      </c>
      <c r="C25" s="11"/>
      <c r="D25" s="11"/>
      <c r="E25" s="11"/>
      <c r="F25" s="11"/>
      <c r="G25" s="11">
        <f t="shared" si="0"/>
        <v>0</v>
      </c>
      <c r="H25" s="17">
        <f t="shared" si="1"/>
        <v>0</v>
      </c>
      <c r="I25" s="16">
        <f t="shared" si="2"/>
        <v>0</v>
      </c>
      <c r="J25" s="16">
        <f>ROUND(G25/540-1,2)</f>
        <v>-1</v>
      </c>
    </row>
    <row r="26" spans="1:10" x14ac:dyDescent="0.25">
      <c r="A26" s="1" t="s">
        <v>16</v>
      </c>
      <c r="B26" s="1" t="s">
        <v>43</v>
      </c>
      <c r="C26" s="11"/>
      <c r="D26" s="11"/>
      <c r="E26" s="11"/>
      <c r="F26" s="11"/>
      <c r="G26" s="11">
        <f t="shared" si="0"/>
        <v>0</v>
      </c>
      <c r="H26" s="17">
        <f t="shared" si="1"/>
        <v>0</v>
      </c>
      <c r="I26" s="16">
        <f t="shared" si="2"/>
        <v>0</v>
      </c>
      <c r="J26" s="16">
        <f>ROUND(G26/2000-1,2)</f>
        <v>-1</v>
      </c>
    </row>
    <row r="27" spans="1:10" x14ac:dyDescent="0.25">
      <c r="A27" s="1" t="s">
        <v>16</v>
      </c>
      <c r="B27" s="1" t="s">
        <v>39</v>
      </c>
      <c r="C27" s="11"/>
      <c r="D27" s="11"/>
      <c r="E27" s="11"/>
      <c r="F27" s="11"/>
      <c r="G27" s="11">
        <f t="shared" si="0"/>
        <v>0</v>
      </c>
      <c r="H27" s="17">
        <f t="shared" si="1"/>
        <v>0</v>
      </c>
      <c r="I27" s="16">
        <f t="shared" si="2"/>
        <v>0</v>
      </c>
      <c r="J27" s="16"/>
    </row>
    <row r="28" spans="1:10" x14ac:dyDescent="0.25">
      <c r="A28" s="1" t="s">
        <v>16</v>
      </c>
      <c r="B28" s="1" t="s">
        <v>36</v>
      </c>
      <c r="C28" s="11"/>
      <c r="D28" s="11"/>
      <c r="E28" s="11"/>
      <c r="F28" s="11"/>
      <c r="G28" s="11">
        <f t="shared" si="0"/>
        <v>0</v>
      </c>
      <c r="H28" s="17">
        <f t="shared" si="1"/>
        <v>0</v>
      </c>
      <c r="I28" s="16">
        <f t="shared" si="2"/>
        <v>0</v>
      </c>
      <c r="J28" s="16"/>
    </row>
    <row r="29" spans="1:10" x14ac:dyDescent="0.25">
      <c r="A29" s="1" t="s">
        <v>16</v>
      </c>
      <c r="B29" s="1" t="s">
        <v>30</v>
      </c>
      <c r="C29" s="11"/>
      <c r="D29" s="11"/>
      <c r="E29" s="11"/>
      <c r="F29" s="11"/>
      <c r="G29" s="11">
        <f t="shared" si="0"/>
        <v>0</v>
      </c>
      <c r="H29" s="17">
        <f t="shared" si="1"/>
        <v>0</v>
      </c>
      <c r="I29" s="16">
        <f t="shared" si="2"/>
        <v>0</v>
      </c>
      <c r="J29" s="16"/>
    </row>
    <row r="30" spans="1:10" x14ac:dyDescent="0.25">
      <c r="A30" s="1" t="s">
        <v>16</v>
      </c>
      <c r="B30" s="1" t="s">
        <v>33</v>
      </c>
      <c r="C30" s="11"/>
      <c r="D30" s="11"/>
      <c r="E30" s="11"/>
      <c r="F30" s="11"/>
      <c r="G30" s="11">
        <f t="shared" si="0"/>
        <v>0</v>
      </c>
      <c r="H30" s="17">
        <f t="shared" si="1"/>
        <v>0</v>
      </c>
      <c r="I30" s="16">
        <f t="shared" si="2"/>
        <v>0</v>
      </c>
      <c r="J30" s="16"/>
    </row>
    <row r="31" spans="1:10" x14ac:dyDescent="0.25">
      <c r="A31" s="1" t="s">
        <v>16</v>
      </c>
      <c r="B31" s="1" t="s">
        <v>17</v>
      </c>
      <c r="C31" s="11"/>
      <c r="D31" s="11"/>
      <c r="E31" s="11"/>
      <c r="F31" s="11"/>
      <c r="G31" s="11">
        <f t="shared" si="0"/>
        <v>0</v>
      </c>
      <c r="H31" s="17">
        <f t="shared" si="1"/>
        <v>0</v>
      </c>
      <c r="I31" s="16">
        <f t="shared" si="2"/>
        <v>0</v>
      </c>
      <c r="J31" s="16"/>
    </row>
    <row r="32" spans="1:10" x14ac:dyDescent="0.25">
      <c r="A32" s="1" t="s">
        <v>16</v>
      </c>
      <c r="B32" s="1" t="s">
        <v>22</v>
      </c>
      <c r="C32" s="11"/>
      <c r="D32" s="11"/>
      <c r="E32" s="11"/>
      <c r="F32" s="11"/>
      <c r="G32" s="11">
        <f t="shared" si="0"/>
        <v>0</v>
      </c>
      <c r="H32" s="17">
        <f t="shared" si="1"/>
        <v>0</v>
      </c>
      <c r="I32" s="16">
        <f t="shared" si="2"/>
        <v>0</v>
      </c>
      <c r="J32" s="16"/>
    </row>
    <row r="33" spans="1:10" x14ac:dyDescent="0.25">
      <c r="A33" s="1" t="s">
        <v>44</v>
      </c>
      <c r="B33" s="1" t="s">
        <v>45</v>
      </c>
      <c r="C33" s="11">
        <v>93560</v>
      </c>
      <c r="D33" s="11"/>
      <c r="E33" s="11"/>
      <c r="F33" s="11"/>
      <c r="G33" s="11">
        <f t="shared" si="0"/>
        <v>93560</v>
      </c>
      <c r="H33" s="17">
        <f t="shared" si="1"/>
        <v>33.64</v>
      </c>
      <c r="I33" s="16">
        <f t="shared" si="2"/>
        <v>0.28199999999999997</v>
      </c>
      <c r="J33" s="16">
        <f>ROUND(G33/86520-1,2)</f>
        <v>0.08</v>
      </c>
    </row>
    <row r="34" spans="1:10" x14ac:dyDescent="0.25">
      <c r="A34" s="1" t="s">
        <v>44</v>
      </c>
      <c r="B34" s="1" t="s">
        <v>47</v>
      </c>
      <c r="C34" s="11"/>
      <c r="D34" s="11"/>
      <c r="E34" s="11"/>
      <c r="F34" s="11">
        <v>7130</v>
      </c>
      <c r="G34" s="11">
        <f t="shared" si="0"/>
        <v>7130</v>
      </c>
      <c r="H34" s="17">
        <f t="shared" si="1"/>
        <v>2.56</v>
      </c>
      <c r="I34" s="16">
        <f t="shared" si="2"/>
        <v>2.1000000000000001E-2</v>
      </c>
      <c r="J34" s="16">
        <f>ROUND(G34/11100-1,2)</f>
        <v>-0.36</v>
      </c>
    </row>
    <row r="35" spans="1:10" x14ac:dyDescent="0.25">
      <c r="A35" s="1" t="s">
        <v>44</v>
      </c>
      <c r="B35" s="1" t="s">
        <v>46</v>
      </c>
      <c r="C35" s="11"/>
      <c r="D35" s="11"/>
      <c r="E35" s="11">
        <v>12180</v>
      </c>
      <c r="F35" s="11"/>
      <c r="G35" s="11">
        <f t="shared" si="0"/>
        <v>12180</v>
      </c>
      <c r="H35" s="17">
        <f t="shared" si="1"/>
        <v>4.38</v>
      </c>
      <c r="I35" s="16">
        <f t="shared" si="2"/>
        <v>3.6999999999999998E-2</v>
      </c>
      <c r="J35" s="16">
        <f>ROUND(G35/11520-1,2)</f>
        <v>0.06</v>
      </c>
    </row>
    <row r="36" spans="1:10" x14ac:dyDescent="0.25">
      <c r="A36" s="1" t="s">
        <v>48</v>
      </c>
      <c r="B36" s="1" t="s">
        <v>51</v>
      </c>
      <c r="C36" s="11"/>
      <c r="D36" s="11"/>
      <c r="E36" s="11"/>
      <c r="F36" s="11"/>
      <c r="G36" s="11">
        <f t="shared" si="0"/>
        <v>0</v>
      </c>
      <c r="H36" s="17">
        <f t="shared" si="1"/>
        <v>0</v>
      </c>
      <c r="I36" s="16">
        <f t="shared" si="2"/>
        <v>0</v>
      </c>
      <c r="J36" s="16"/>
    </row>
    <row r="37" spans="1:10" x14ac:dyDescent="0.25">
      <c r="A37" s="1" t="s">
        <v>48</v>
      </c>
      <c r="B37" s="1" t="s">
        <v>97</v>
      </c>
      <c r="C37" s="11"/>
      <c r="D37" s="11"/>
      <c r="E37" s="11"/>
      <c r="F37" s="11"/>
      <c r="G37" s="11">
        <f t="shared" si="0"/>
        <v>0</v>
      </c>
      <c r="H37" s="17">
        <f t="shared" si="1"/>
        <v>0</v>
      </c>
      <c r="I37" s="16">
        <f t="shared" si="2"/>
        <v>0</v>
      </c>
      <c r="J37" s="16"/>
    </row>
    <row r="38" spans="1:10" x14ac:dyDescent="0.25">
      <c r="A38" s="1" t="s">
        <v>48</v>
      </c>
      <c r="B38" s="1" t="s">
        <v>50</v>
      </c>
      <c r="C38" s="11"/>
      <c r="D38" s="11"/>
      <c r="E38" s="11"/>
      <c r="F38" s="11"/>
      <c r="G38" s="11">
        <f t="shared" si="0"/>
        <v>0</v>
      </c>
      <c r="H38" s="17">
        <f t="shared" si="1"/>
        <v>0</v>
      </c>
      <c r="I38" s="16">
        <f t="shared" si="2"/>
        <v>0</v>
      </c>
      <c r="J38" s="16"/>
    </row>
    <row r="39" spans="1:10" x14ac:dyDescent="0.25">
      <c r="A39" s="21" t="s">
        <v>12</v>
      </c>
      <c r="B39" s="21"/>
      <c r="C39" s="12">
        <f t="shared" ref="C39:H39" si="3">SUM(C8:C38)</f>
        <v>258270</v>
      </c>
      <c r="D39" s="12">
        <f t="shared" si="3"/>
        <v>169</v>
      </c>
      <c r="E39" s="12">
        <f t="shared" si="3"/>
        <v>66235</v>
      </c>
      <c r="F39" s="12">
        <f t="shared" si="3"/>
        <v>7210</v>
      </c>
      <c r="G39" s="12">
        <f t="shared" si="3"/>
        <v>331884</v>
      </c>
      <c r="H39" s="15">
        <f t="shared" si="3"/>
        <v>119.35</v>
      </c>
      <c r="I39" s="18"/>
      <c r="J39" s="18"/>
    </row>
    <row r="40" spans="1:10" x14ac:dyDescent="0.25">
      <c r="A40" s="21" t="s">
        <v>14</v>
      </c>
      <c r="B40" s="21"/>
      <c r="C40" s="13">
        <f>ROUND(C39/G39,2)</f>
        <v>0.78</v>
      </c>
      <c r="D40" s="13">
        <f>ROUND(D39/G39,2)</f>
        <v>0</v>
      </c>
      <c r="E40" s="13">
        <f>ROUND(E39/G39,2)</f>
        <v>0.2</v>
      </c>
      <c r="F40" s="13">
        <f>ROUND(F39/G39,2)</f>
        <v>0.02</v>
      </c>
      <c r="G40" s="14"/>
      <c r="H40" s="14"/>
      <c r="I40" s="18"/>
      <c r="J40" s="18"/>
    </row>
    <row r="41" spans="1:10" x14ac:dyDescent="0.25">
      <c r="A41" s="2" t="s">
        <v>52</v>
      </c>
      <c r="B41" s="2"/>
      <c r="C41" s="14"/>
      <c r="D41" s="14"/>
      <c r="E41" s="14"/>
      <c r="F41" s="14"/>
      <c r="G41" s="14"/>
      <c r="H41" s="14"/>
      <c r="I41" s="18"/>
      <c r="J41" s="18"/>
    </row>
    <row r="42" spans="1:10" x14ac:dyDescent="0.25">
      <c r="C42" s="9"/>
      <c r="D42" s="9"/>
      <c r="E42" s="9"/>
      <c r="F42" s="9"/>
      <c r="G42" s="9"/>
      <c r="H42" s="9"/>
      <c r="I42" s="10"/>
      <c r="J42" s="10"/>
    </row>
    <row r="43" spans="1:10" x14ac:dyDescent="0.25">
      <c r="C43" s="9"/>
      <c r="D43" s="9"/>
      <c r="E43" s="9"/>
      <c r="F43" s="9"/>
      <c r="G43" s="9"/>
      <c r="H43" s="9"/>
      <c r="I43" s="10"/>
      <c r="J43" s="10"/>
    </row>
    <row r="44" spans="1:10" x14ac:dyDescent="0.25">
      <c r="C44" s="9"/>
      <c r="D44" s="9"/>
      <c r="E44" s="9"/>
      <c r="F44" s="9"/>
      <c r="G44" s="9"/>
      <c r="H44" s="9"/>
      <c r="I44" s="10"/>
      <c r="J44" s="10"/>
    </row>
    <row r="45" spans="1:10" x14ac:dyDescent="0.25">
      <c r="A45" s="21" t="s">
        <v>53</v>
      </c>
      <c r="B45" s="21"/>
      <c r="C45" s="12" t="s">
        <v>8</v>
      </c>
      <c r="D45" s="12" t="s">
        <v>9</v>
      </c>
      <c r="E45" s="12" t="s">
        <v>10</v>
      </c>
      <c r="F45" s="12" t="s">
        <v>11</v>
      </c>
      <c r="G45" s="12" t="s">
        <v>12</v>
      </c>
      <c r="H45" s="15" t="s">
        <v>13</v>
      </c>
      <c r="I45" s="18"/>
      <c r="J45" s="18"/>
    </row>
    <row r="46" spans="1:10" x14ac:dyDescent="0.25">
      <c r="A46" s="20" t="s">
        <v>54</v>
      </c>
      <c r="B46" s="20"/>
      <c r="C46" s="11">
        <v>164710</v>
      </c>
      <c r="D46" s="11">
        <v>169</v>
      </c>
      <c r="E46" s="11">
        <v>54055</v>
      </c>
      <c r="F46" s="11">
        <v>80</v>
      </c>
      <c r="G46" s="11">
        <f>SUM(C46:F46)</f>
        <v>219014</v>
      </c>
      <c r="H46" s="17">
        <f>ROUND(G46/2781,2)</f>
        <v>78.75</v>
      </c>
      <c r="I46" s="10"/>
      <c r="J46" s="10"/>
    </row>
    <row r="47" spans="1:10" x14ac:dyDescent="0.25">
      <c r="A47" s="20" t="s">
        <v>55</v>
      </c>
      <c r="B47" s="20"/>
      <c r="C47" s="11">
        <v>93560</v>
      </c>
      <c r="D47" s="11">
        <v>0</v>
      </c>
      <c r="E47" s="11">
        <v>12180</v>
      </c>
      <c r="F47" s="11">
        <v>7130</v>
      </c>
      <c r="G47" s="11">
        <f>SUM(C47:F47)</f>
        <v>112870</v>
      </c>
      <c r="H47" s="17">
        <f>ROUND(G47/2781,2)</f>
        <v>40.590000000000003</v>
      </c>
      <c r="I47" s="10"/>
      <c r="J47" s="10"/>
    </row>
    <row r="48" spans="1:10" x14ac:dyDescent="0.25">
      <c r="A48" s="20" t="s">
        <v>56</v>
      </c>
      <c r="B48" s="20"/>
      <c r="C48" s="11">
        <v>0</v>
      </c>
      <c r="D48" s="11">
        <v>0</v>
      </c>
      <c r="E48" s="11">
        <v>0</v>
      </c>
      <c r="F48" s="11">
        <v>0</v>
      </c>
      <c r="G48" s="11">
        <f>SUM(C48:F48)</f>
        <v>0</v>
      </c>
      <c r="H48" s="17">
        <f>ROUND(G48/2781,2)</f>
        <v>0</v>
      </c>
      <c r="I48" s="10"/>
      <c r="J48" s="10"/>
    </row>
    <row r="49" spans="1:10" x14ac:dyDescent="0.25">
      <c r="C49" s="9"/>
      <c r="D49" s="9"/>
      <c r="E49" s="9"/>
      <c r="F49" s="9"/>
      <c r="G49" s="9"/>
      <c r="H49" s="9"/>
      <c r="I49" s="10"/>
      <c r="J49" s="10"/>
    </row>
    <row r="50" spans="1:10" x14ac:dyDescent="0.25">
      <c r="C50" s="9"/>
      <c r="D50" s="9"/>
      <c r="E50" s="9"/>
      <c r="F50" s="9"/>
      <c r="G50" s="9"/>
      <c r="H50" s="9"/>
      <c r="I50" s="10"/>
      <c r="J50" s="10"/>
    </row>
    <row r="51" spans="1:10" x14ac:dyDescent="0.25">
      <c r="C51" s="9"/>
      <c r="D51" s="9"/>
      <c r="E51" s="9"/>
      <c r="F51" s="9"/>
      <c r="G51" s="9"/>
      <c r="H51" s="9"/>
      <c r="I51" s="10"/>
      <c r="J51" s="10"/>
    </row>
    <row r="52" spans="1:10" x14ac:dyDescent="0.25">
      <c r="C52" s="9"/>
      <c r="D52" s="9"/>
      <c r="E52" s="9"/>
      <c r="F52" s="9"/>
      <c r="G52" s="9"/>
      <c r="H52" s="9"/>
      <c r="I52" s="10"/>
      <c r="J52" s="10"/>
    </row>
    <row r="53" spans="1:10" x14ac:dyDescent="0.25">
      <c r="A53" s="21" t="s">
        <v>57</v>
      </c>
      <c r="B53" s="21"/>
      <c r="C53" s="15" t="s">
        <v>2</v>
      </c>
      <c r="D53" s="15">
        <v>2023</v>
      </c>
      <c r="E53" s="15" t="s">
        <v>59</v>
      </c>
      <c r="F53" s="14"/>
      <c r="G53" s="15" t="s">
        <v>60</v>
      </c>
      <c r="H53" s="15" t="s">
        <v>2</v>
      </c>
      <c r="I53" s="13" t="s">
        <v>61</v>
      </c>
      <c r="J53" s="13" t="s">
        <v>59</v>
      </c>
    </row>
    <row r="54" spans="1:10" x14ac:dyDescent="0.25">
      <c r="A54" s="20" t="s">
        <v>58</v>
      </c>
      <c r="B54" s="20"/>
      <c r="C54" s="16">
        <f>ROUND(0.7088, 4)</f>
        <v>0.70879999999999999</v>
      </c>
      <c r="D54" s="16">
        <f>ROUND(0.7269, 4)</f>
        <v>0.72689999999999999</v>
      </c>
      <c r="E54" s="16">
        <f>ROUND(0.777, 4)</f>
        <v>0.77700000000000002</v>
      </c>
      <c r="F54" s="9"/>
      <c r="G54" s="15" t="s">
        <v>62</v>
      </c>
      <c r="H54" s="22" t="s">
        <v>63</v>
      </c>
      <c r="I54" s="24" t="s">
        <v>64</v>
      </c>
      <c r="J54" s="24" t="s">
        <v>65</v>
      </c>
    </row>
    <row r="55" spans="1:10" x14ac:dyDescent="0.25">
      <c r="A55" s="20" t="s">
        <v>66</v>
      </c>
      <c r="B55" s="20"/>
      <c r="C55" s="16">
        <f>ROUND(0.6983, 4)</f>
        <v>0.69830000000000003</v>
      </c>
      <c r="D55" s="16">
        <f>ROUND(0.7162, 4)</f>
        <v>0.71619999999999995</v>
      </c>
      <c r="E55" s="16">
        <f>ROUND(0.7608, 4)</f>
        <v>0.76080000000000003</v>
      </c>
      <c r="F55" s="9"/>
      <c r="G55" s="15" t="s">
        <v>67</v>
      </c>
      <c r="H55" s="23"/>
      <c r="I55" s="25"/>
      <c r="J55" s="25"/>
    </row>
    <row r="56" spans="1:10" x14ac:dyDescent="0.25">
      <c r="C56" s="9"/>
      <c r="D56" s="9"/>
      <c r="E56" s="9"/>
      <c r="F56" s="9"/>
      <c r="G56" s="9"/>
      <c r="H56" s="9"/>
      <c r="I56" s="10"/>
      <c r="J56" s="10"/>
    </row>
    <row r="57" spans="1:10" x14ac:dyDescent="0.25">
      <c r="C57" s="9"/>
      <c r="D57" s="9"/>
      <c r="E57" s="9"/>
      <c r="F57" s="9"/>
      <c r="G57" s="9"/>
      <c r="H57" s="9"/>
      <c r="I57" s="10"/>
      <c r="J57" s="10"/>
    </row>
    <row r="58" spans="1:10" x14ac:dyDescent="0.25">
      <c r="C58" s="9"/>
      <c r="D58" s="9"/>
      <c r="E58" s="9"/>
      <c r="F58" s="9"/>
      <c r="G58" s="9"/>
      <c r="H58" s="9"/>
      <c r="I58" s="10"/>
      <c r="J58" s="10"/>
    </row>
    <row r="59" spans="1:10" x14ac:dyDescent="0.25">
      <c r="A59" s="21" t="s">
        <v>68</v>
      </c>
      <c r="B59" s="21"/>
      <c r="C59" s="15" t="s">
        <v>2</v>
      </c>
      <c r="D59" s="15" t="s">
        <v>229</v>
      </c>
      <c r="E59" s="15" t="s">
        <v>70</v>
      </c>
      <c r="F59" s="15" t="s">
        <v>71</v>
      </c>
      <c r="G59" s="15" t="s">
        <v>72</v>
      </c>
      <c r="H59" s="14"/>
      <c r="I59" s="18"/>
      <c r="J59" s="18"/>
    </row>
    <row r="60" spans="1:10" x14ac:dyDescent="0.25">
      <c r="A60" s="20" t="s">
        <v>73</v>
      </c>
      <c r="B60" s="20"/>
      <c r="C60" s="17">
        <v>33.64</v>
      </c>
      <c r="D60" s="17">
        <v>84.37</v>
      </c>
      <c r="E60" s="17">
        <v>81.84</v>
      </c>
      <c r="F60" s="17">
        <v>48</v>
      </c>
      <c r="G60" s="17">
        <f>12/4*C60</f>
        <v>100.92</v>
      </c>
      <c r="H60" s="9"/>
      <c r="I60" s="10"/>
      <c r="J60" s="10"/>
    </row>
    <row r="61" spans="1:10" x14ac:dyDescent="0.25">
      <c r="A61" s="20" t="s">
        <v>74</v>
      </c>
      <c r="B61" s="20"/>
      <c r="C61" s="17">
        <v>24.16</v>
      </c>
      <c r="D61" s="17">
        <v>62.77</v>
      </c>
      <c r="E61" s="17">
        <v>55.63</v>
      </c>
      <c r="F61" s="17">
        <v>55.33</v>
      </c>
      <c r="G61" s="17">
        <f>12/4*C61</f>
        <v>72.48</v>
      </c>
      <c r="H61" s="9"/>
      <c r="I61" s="10"/>
      <c r="J61" s="10"/>
    </row>
    <row r="62" spans="1:10" x14ac:dyDescent="0.25">
      <c r="A62" s="20" t="s">
        <v>75</v>
      </c>
      <c r="B62" s="20"/>
      <c r="C62" s="17">
        <v>78.75</v>
      </c>
      <c r="D62" s="17">
        <v>247.92</v>
      </c>
      <c r="E62" s="17">
        <v>257.88</v>
      </c>
      <c r="F62" s="17">
        <v>242.78</v>
      </c>
      <c r="G62" s="17">
        <f>12/4*C62</f>
        <v>236.25</v>
      </c>
      <c r="H62" s="9"/>
      <c r="I62" s="10"/>
      <c r="J62" s="10"/>
    </row>
    <row r="63" spans="1:10" x14ac:dyDescent="0.25">
      <c r="A63" s="20" t="s">
        <v>76</v>
      </c>
      <c r="B63" s="20"/>
      <c r="C63" s="17">
        <v>40.590000000000003</v>
      </c>
      <c r="D63" s="17">
        <v>102.83</v>
      </c>
      <c r="E63" s="17">
        <v>103.14</v>
      </c>
      <c r="F63" s="17">
        <v>68.31</v>
      </c>
      <c r="G63" s="17">
        <f>12/4*C63</f>
        <v>121.77000000000001</v>
      </c>
      <c r="H63" s="9"/>
      <c r="I63" s="10"/>
      <c r="J63" s="10"/>
    </row>
    <row r="64" spans="1:10" x14ac:dyDescent="0.25">
      <c r="C64" s="9"/>
      <c r="D64" s="9"/>
      <c r="E64" s="9"/>
      <c r="F64" s="9"/>
      <c r="G64" s="9"/>
      <c r="H64" s="9"/>
      <c r="I64" s="10"/>
      <c r="J64" s="10"/>
    </row>
    <row r="65" spans="1:10" x14ac:dyDescent="0.25">
      <c r="C65" s="9"/>
      <c r="D65" s="9"/>
      <c r="E65" s="9"/>
      <c r="F65" s="9"/>
      <c r="G65" s="9"/>
      <c r="H65" s="9"/>
      <c r="I65" s="10"/>
      <c r="J65" s="10"/>
    </row>
    <row r="66" spans="1:10" x14ac:dyDescent="0.25">
      <c r="A66" s="19" t="s">
        <v>60</v>
      </c>
      <c r="B66" s="26"/>
      <c r="C66" s="9"/>
      <c r="D66" s="9"/>
      <c r="E66" s="9"/>
      <c r="F66" s="9"/>
      <c r="G66" s="9"/>
      <c r="H66" s="9"/>
      <c r="I66" s="10"/>
      <c r="J66" s="10"/>
    </row>
    <row r="67" spans="1:10" x14ac:dyDescent="0.25">
      <c r="A67" s="3" t="s">
        <v>77</v>
      </c>
      <c r="B67" s="1" t="s">
        <v>230</v>
      </c>
      <c r="C67" s="9"/>
      <c r="D67" s="9"/>
      <c r="E67" s="9"/>
      <c r="F67" s="9"/>
      <c r="G67" s="9"/>
      <c r="H67" s="9"/>
      <c r="I67" s="10"/>
      <c r="J67" s="10"/>
    </row>
    <row r="68" spans="1:10" x14ac:dyDescent="0.25">
      <c r="A68" s="3" t="s">
        <v>70</v>
      </c>
      <c r="B68" s="1" t="s">
        <v>79</v>
      </c>
      <c r="C68" s="9"/>
      <c r="D68" s="9"/>
      <c r="E68" s="9"/>
      <c r="F68" s="9"/>
      <c r="G68" s="9"/>
      <c r="H68" s="9"/>
      <c r="I68" s="10"/>
      <c r="J68" s="10"/>
    </row>
    <row r="69" spans="1:10" x14ac:dyDescent="0.25">
      <c r="A69" s="3" t="s">
        <v>71</v>
      </c>
      <c r="B69" s="1" t="s">
        <v>80</v>
      </c>
      <c r="C69" s="9"/>
      <c r="D69" s="9"/>
      <c r="E69" s="9"/>
      <c r="F69" s="9"/>
      <c r="G69" s="9"/>
      <c r="H69" s="9"/>
      <c r="I69" s="10"/>
      <c r="J69" s="10"/>
    </row>
    <row r="70" spans="1:10" x14ac:dyDescent="0.25">
      <c r="A70" s="3" t="s">
        <v>72</v>
      </c>
      <c r="B70" s="1" t="s">
        <v>81</v>
      </c>
      <c r="C70" s="9"/>
      <c r="D70" s="9"/>
      <c r="E70" s="9"/>
      <c r="F70" s="9"/>
      <c r="G70" s="9"/>
      <c r="H70" s="9"/>
      <c r="I70" s="10"/>
      <c r="J70" s="10"/>
    </row>
    <row r="71" spans="1:10" x14ac:dyDescent="0.25">
      <c r="C71" s="9"/>
      <c r="D71" s="9"/>
      <c r="E71" s="9"/>
      <c r="F71" s="9"/>
      <c r="G71" s="9"/>
      <c r="H71" s="9"/>
      <c r="I71" s="10"/>
      <c r="J71" s="10"/>
    </row>
    <row r="72" spans="1:10" x14ac:dyDescent="0.25">
      <c r="C72" s="9"/>
      <c r="D72" s="9"/>
      <c r="E72" s="9"/>
      <c r="F72" s="9"/>
      <c r="G72" s="9"/>
      <c r="H72" s="9"/>
      <c r="I72" s="10"/>
      <c r="J72" s="10"/>
    </row>
    <row r="73" spans="1:10" x14ac:dyDescent="0.25">
      <c r="C73" s="9"/>
      <c r="D73" s="9"/>
      <c r="E73" s="9"/>
      <c r="F73" s="9"/>
      <c r="G73" s="9"/>
      <c r="H73" s="9"/>
      <c r="I73" s="10"/>
      <c r="J73" s="10"/>
    </row>
    <row r="74" spans="1:10" x14ac:dyDescent="0.25">
      <c r="C74" s="9"/>
      <c r="D74" s="9"/>
      <c r="E74" s="9"/>
      <c r="F74" s="9"/>
      <c r="G74" s="9"/>
      <c r="H74" s="9"/>
      <c r="I74" s="10"/>
      <c r="J74" s="10"/>
    </row>
  </sheetData>
  <mergeCells count="19">
    <mergeCell ref="A61:B61"/>
    <mergeCell ref="A62:B62"/>
    <mergeCell ref="A63:B63"/>
    <mergeCell ref="A66:B66"/>
    <mergeCell ref="I54:I55"/>
    <mergeCell ref="J54:J55"/>
    <mergeCell ref="A55:B55"/>
    <mergeCell ref="A59:B59"/>
    <mergeCell ref="A60:B60"/>
    <mergeCell ref="A47:B47"/>
    <mergeCell ref="A48:B48"/>
    <mergeCell ref="A53:B53"/>
    <mergeCell ref="A54:B54"/>
    <mergeCell ref="H54:H55"/>
    <mergeCell ref="C7:G7"/>
    <mergeCell ref="A39:B39"/>
    <mergeCell ref="A40:B40"/>
    <mergeCell ref="A45:B45"/>
    <mergeCell ref="A46:B46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2:J77"/>
  <sheetViews>
    <sheetView workbookViewId="0">
      <selection activeCell="C9" sqref="C9:J77"/>
    </sheetView>
  </sheetViews>
  <sheetFormatPr defaultRowHeight="15" x14ac:dyDescent="0.25"/>
  <cols>
    <col min="1" max="1" width="38.85546875" bestFit="1" customWidth="1"/>
    <col min="2" max="2" width="79" bestFit="1" customWidth="1"/>
    <col min="3" max="3" width="14" bestFit="1" customWidth="1"/>
    <col min="4" max="4" width="21.140625" bestFit="1" customWidth="1"/>
    <col min="5" max="5" width="16.42578125" bestFit="1" customWidth="1"/>
    <col min="6" max="6" width="10.5703125" bestFit="1" customWidth="1"/>
    <col min="7" max="7" width="68.28515625" bestFit="1" customWidth="1"/>
    <col min="8" max="9" width="20" bestFit="1" customWidth="1"/>
    <col min="10" max="10" width="30.5703125" bestFit="1" customWidth="1"/>
  </cols>
  <sheetData>
    <row r="2" spans="1:10" ht="18.75" x14ac:dyDescent="0.3">
      <c r="A2" s="3" t="s">
        <v>0</v>
      </c>
      <c r="B2" s="4" t="s">
        <v>231</v>
      </c>
    </row>
    <row r="3" spans="1:10" x14ac:dyDescent="0.25">
      <c r="A3" s="3" t="s">
        <v>2</v>
      </c>
      <c r="B3" s="1" t="s">
        <v>3</v>
      </c>
    </row>
    <row r="4" spans="1:10" x14ac:dyDescent="0.25">
      <c r="A4" s="3" t="s">
        <v>4</v>
      </c>
      <c r="B4" s="1">
        <v>1724</v>
      </c>
    </row>
    <row r="7" spans="1:10" x14ac:dyDescent="0.25">
      <c r="C7" s="19" t="s">
        <v>5</v>
      </c>
      <c r="D7" s="20"/>
      <c r="E7" s="20"/>
      <c r="F7" s="20"/>
      <c r="G7" s="20"/>
    </row>
    <row r="8" spans="1:10" x14ac:dyDescent="0.25">
      <c r="A8" s="3" t="s">
        <v>6</v>
      </c>
      <c r="B8" s="3" t="s">
        <v>7</v>
      </c>
      <c r="C8" s="3" t="s">
        <v>8</v>
      </c>
      <c r="D8" s="3" t="s">
        <v>9</v>
      </c>
      <c r="E8" s="3" t="s">
        <v>10</v>
      </c>
      <c r="F8" s="3" t="s">
        <v>11</v>
      </c>
      <c r="G8" s="3" t="s">
        <v>12</v>
      </c>
      <c r="H8" s="3" t="s">
        <v>13</v>
      </c>
      <c r="I8" s="3" t="s">
        <v>14</v>
      </c>
      <c r="J8" s="3" t="s">
        <v>15</v>
      </c>
    </row>
    <row r="9" spans="1:10" x14ac:dyDescent="0.25">
      <c r="A9" s="1" t="s">
        <v>16</v>
      </c>
      <c r="B9" s="1" t="s">
        <v>17</v>
      </c>
      <c r="C9" s="11"/>
      <c r="D9" s="11"/>
      <c r="E9" s="11">
        <v>10</v>
      </c>
      <c r="F9" s="11"/>
      <c r="G9" s="11">
        <f t="shared" ref="G9:G42" si="0">SUM(C9:F9)</f>
        <v>10</v>
      </c>
      <c r="H9" s="17">
        <f t="shared" ref="H9:H42" si="1">ROUND(G9/1724,2)</f>
        <v>0.01</v>
      </c>
      <c r="I9" s="16">
        <f t="shared" ref="I9:I42" si="2">ROUND(G9/$G$43,3)</f>
        <v>0</v>
      </c>
      <c r="J9" s="16">
        <f>ROUND(G9/40-1,2)</f>
        <v>-0.75</v>
      </c>
    </row>
    <row r="10" spans="1:10" x14ac:dyDescent="0.25">
      <c r="A10" s="1" t="s">
        <v>16</v>
      </c>
      <c r="B10" s="1" t="s">
        <v>19</v>
      </c>
      <c r="C10" s="11">
        <v>14260</v>
      </c>
      <c r="D10" s="11"/>
      <c r="E10" s="11">
        <v>1353</v>
      </c>
      <c r="F10" s="11"/>
      <c r="G10" s="11">
        <f t="shared" si="0"/>
        <v>15613</v>
      </c>
      <c r="H10" s="17">
        <f t="shared" si="1"/>
        <v>9.06</v>
      </c>
      <c r="I10" s="16">
        <f t="shared" si="2"/>
        <v>9.7000000000000003E-2</v>
      </c>
      <c r="J10" s="16">
        <f>ROUND(G10/14642.6-1,2)</f>
        <v>7.0000000000000007E-2</v>
      </c>
    </row>
    <row r="11" spans="1:10" x14ac:dyDescent="0.25">
      <c r="A11" s="1" t="s">
        <v>16</v>
      </c>
      <c r="B11" s="1" t="s">
        <v>20</v>
      </c>
      <c r="C11" s="11">
        <v>20100</v>
      </c>
      <c r="D11" s="11"/>
      <c r="E11" s="11"/>
      <c r="F11" s="11"/>
      <c r="G11" s="11">
        <f t="shared" si="0"/>
        <v>20100</v>
      </c>
      <c r="H11" s="17">
        <f t="shared" si="1"/>
        <v>11.66</v>
      </c>
      <c r="I11" s="16">
        <f t="shared" si="2"/>
        <v>0.125</v>
      </c>
      <c r="J11" s="16">
        <f>ROUND(G11/24660-1,2)</f>
        <v>-0.18</v>
      </c>
    </row>
    <row r="12" spans="1:10" x14ac:dyDescent="0.25">
      <c r="A12" s="1" t="s">
        <v>16</v>
      </c>
      <c r="B12" s="1" t="s">
        <v>21</v>
      </c>
      <c r="C12" s="11"/>
      <c r="D12" s="11"/>
      <c r="E12" s="11">
        <v>23</v>
      </c>
      <c r="F12" s="11"/>
      <c r="G12" s="11">
        <f t="shared" si="0"/>
        <v>23</v>
      </c>
      <c r="H12" s="17">
        <f t="shared" si="1"/>
        <v>0.01</v>
      </c>
      <c r="I12" s="16">
        <f t="shared" si="2"/>
        <v>0</v>
      </c>
      <c r="J12" s="16">
        <f>ROUND(G12/321.96-1,2)</f>
        <v>-0.93</v>
      </c>
    </row>
    <row r="13" spans="1:10" x14ac:dyDescent="0.25">
      <c r="A13" s="1" t="s">
        <v>16</v>
      </c>
      <c r="B13" s="1" t="s">
        <v>22</v>
      </c>
      <c r="C13" s="11"/>
      <c r="D13" s="11"/>
      <c r="E13" s="11">
        <v>460</v>
      </c>
      <c r="F13" s="11"/>
      <c r="G13" s="11">
        <f t="shared" si="0"/>
        <v>460</v>
      </c>
      <c r="H13" s="17">
        <f t="shared" si="1"/>
        <v>0.27</v>
      </c>
      <c r="I13" s="16">
        <f t="shared" si="2"/>
        <v>3.0000000000000001E-3</v>
      </c>
      <c r="J13" s="16"/>
    </row>
    <row r="14" spans="1:10" x14ac:dyDescent="0.25">
      <c r="A14" s="1" t="s">
        <v>16</v>
      </c>
      <c r="B14" s="1" t="s">
        <v>23</v>
      </c>
      <c r="C14" s="11"/>
      <c r="D14" s="11"/>
      <c r="E14" s="11">
        <v>17664</v>
      </c>
      <c r="F14" s="11"/>
      <c r="G14" s="11">
        <f t="shared" si="0"/>
        <v>17664</v>
      </c>
      <c r="H14" s="17">
        <f t="shared" si="1"/>
        <v>10.25</v>
      </c>
      <c r="I14" s="16">
        <f t="shared" si="2"/>
        <v>0.11</v>
      </c>
      <c r="J14" s="16">
        <f>ROUND(G14/9233.77-1,2)</f>
        <v>0.91</v>
      </c>
    </row>
    <row r="15" spans="1:10" x14ac:dyDescent="0.25">
      <c r="A15" s="1" t="s">
        <v>16</v>
      </c>
      <c r="B15" s="1" t="s">
        <v>24</v>
      </c>
      <c r="C15" s="11">
        <v>17580</v>
      </c>
      <c r="D15" s="11"/>
      <c r="E15" s="11">
        <v>4728</v>
      </c>
      <c r="F15" s="11"/>
      <c r="G15" s="11">
        <f t="shared" si="0"/>
        <v>22308</v>
      </c>
      <c r="H15" s="17">
        <f t="shared" si="1"/>
        <v>12.94</v>
      </c>
      <c r="I15" s="16">
        <f t="shared" si="2"/>
        <v>0.13900000000000001</v>
      </c>
      <c r="J15" s="16">
        <f>ROUND(G15/19688.73-1,2)</f>
        <v>0.13</v>
      </c>
    </row>
    <row r="16" spans="1:10" x14ac:dyDescent="0.25">
      <c r="A16" s="1" t="s">
        <v>16</v>
      </c>
      <c r="B16" s="1" t="s">
        <v>25</v>
      </c>
      <c r="C16" s="11"/>
      <c r="D16" s="11"/>
      <c r="E16" s="11">
        <v>611</v>
      </c>
      <c r="F16" s="11"/>
      <c r="G16" s="11">
        <f t="shared" si="0"/>
        <v>611</v>
      </c>
      <c r="H16" s="17">
        <f t="shared" si="1"/>
        <v>0.35</v>
      </c>
      <c r="I16" s="16">
        <f t="shared" si="2"/>
        <v>4.0000000000000001E-3</v>
      </c>
      <c r="J16" s="16"/>
    </row>
    <row r="17" spans="1:10" x14ac:dyDescent="0.25">
      <c r="A17" s="1" t="s">
        <v>16</v>
      </c>
      <c r="B17" s="1" t="s">
        <v>26</v>
      </c>
      <c r="C17" s="11">
        <v>14960</v>
      </c>
      <c r="D17" s="11"/>
      <c r="E17" s="11"/>
      <c r="F17" s="11"/>
      <c r="G17" s="11">
        <f t="shared" si="0"/>
        <v>14960</v>
      </c>
      <c r="H17" s="17">
        <f t="shared" si="1"/>
        <v>8.68</v>
      </c>
      <c r="I17" s="16">
        <f t="shared" si="2"/>
        <v>9.2999999999999999E-2</v>
      </c>
      <c r="J17" s="16">
        <f>ROUND(G17/16490-1,2)</f>
        <v>-0.09</v>
      </c>
    </row>
    <row r="18" spans="1:10" x14ac:dyDescent="0.25">
      <c r="A18" s="1" t="s">
        <v>16</v>
      </c>
      <c r="B18" s="1" t="s">
        <v>27</v>
      </c>
      <c r="C18" s="11"/>
      <c r="D18" s="11"/>
      <c r="E18" s="11">
        <v>238</v>
      </c>
      <c r="F18" s="11"/>
      <c r="G18" s="11">
        <f t="shared" si="0"/>
        <v>238</v>
      </c>
      <c r="H18" s="17">
        <f t="shared" si="1"/>
        <v>0.14000000000000001</v>
      </c>
      <c r="I18" s="16">
        <f t="shared" si="2"/>
        <v>1E-3</v>
      </c>
      <c r="J18" s="16">
        <f>ROUND(G18/55-1,2)</f>
        <v>3.33</v>
      </c>
    </row>
    <row r="19" spans="1:10" x14ac:dyDescent="0.25">
      <c r="A19" s="1" t="s">
        <v>16</v>
      </c>
      <c r="B19" s="1" t="s">
        <v>28</v>
      </c>
      <c r="C19" s="11"/>
      <c r="D19" s="11"/>
      <c r="E19" s="11">
        <v>144</v>
      </c>
      <c r="F19" s="11"/>
      <c r="G19" s="11">
        <f t="shared" si="0"/>
        <v>144</v>
      </c>
      <c r="H19" s="17">
        <f t="shared" si="1"/>
        <v>0.08</v>
      </c>
      <c r="I19" s="16">
        <f t="shared" si="2"/>
        <v>1E-3</v>
      </c>
      <c r="J19" s="16">
        <f>ROUND(G19/120-1,2)</f>
        <v>0.2</v>
      </c>
    </row>
    <row r="20" spans="1:10" x14ac:dyDescent="0.25">
      <c r="A20" s="1" t="s">
        <v>16</v>
      </c>
      <c r="B20" s="1" t="s">
        <v>29</v>
      </c>
      <c r="C20" s="11"/>
      <c r="D20" s="11"/>
      <c r="E20" s="11">
        <v>82</v>
      </c>
      <c r="F20" s="11"/>
      <c r="G20" s="11">
        <f t="shared" si="0"/>
        <v>82</v>
      </c>
      <c r="H20" s="17">
        <f t="shared" si="1"/>
        <v>0.05</v>
      </c>
      <c r="I20" s="16">
        <f t="shared" si="2"/>
        <v>1E-3</v>
      </c>
      <c r="J20" s="16">
        <f>ROUND(G20/119.05-1,2)</f>
        <v>-0.31</v>
      </c>
    </row>
    <row r="21" spans="1:10" x14ac:dyDescent="0.25">
      <c r="A21" s="1" t="s">
        <v>16</v>
      </c>
      <c r="B21" s="1" t="s">
        <v>31</v>
      </c>
      <c r="C21" s="11"/>
      <c r="D21" s="11"/>
      <c r="E21" s="11">
        <v>291</v>
      </c>
      <c r="F21" s="11"/>
      <c r="G21" s="11">
        <f t="shared" si="0"/>
        <v>291</v>
      </c>
      <c r="H21" s="17">
        <f t="shared" si="1"/>
        <v>0.17</v>
      </c>
      <c r="I21" s="16">
        <f t="shared" si="2"/>
        <v>2E-3</v>
      </c>
      <c r="J21" s="16">
        <f>ROUND(G21/810-1,2)</f>
        <v>-0.64</v>
      </c>
    </row>
    <row r="22" spans="1:10" x14ac:dyDescent="0.25">
      <c r="A22" s="1" t="s">
        <v>16</v>
      </c>
      <c r="B22" s="1" t="s">
        <v>32</v>
      </c>
      <c r="C22" s="11"/>
      <c r="D22" s="11"/>
      <c r="E22" s="11">
        <v>76</v>
      </c>
      <c r="F22" s="11"/>
      <c r="G22" s="11">
        <f t="shared" si="0"/>
        <v>76</v>
      </c>
      <c r="H22" s="17">
        <f t="shared" si="1"/>
        <v>0.04</v>
      </c>
      <c r="I22" s="16">
        <f t="shared" si="2"/>
        <v>0</v>
      </c>
      <c r="J22" s="16">
        <f>ROUND(G22/326-1,2)</f>
        <v>-0.77</v>
      </c>
    </row>
    <row r="23" spans="1:10" x14ac:dyDescent="0.25">
      <c r="A23" s="1" t="s">
        <v>16</v>
      </c>
      <c r="B23" s="1" t="s">
        <v>35</v>
      </c>
      <c r="C23" s="11"/>
      <c r="D23" s="11"/>
      <c r="E23" s="11">
        <v>12981</v>
      </c>
      <c r="F23" s="11"/>
      <c r="G23" s="11">
        <f t="shared" si="0"/>
        <v>12981</v>
      </c>
      <c r="H23" s="17">
        <f t="shared" si="1"/>
        <v>7.53</v>
      </c>
      <c r="I23" s="16">
        <f t="shared" si="2"/>
        <v>8.1000000000000003E-2</v>
      </c>
      <c r="J23" s="16">
        <f>ROUND(G23/14349.67-1,2)</f>
        <v>-0.1</v>
      </c>
    </row>
    <row r="24" spans="1:10" x14ac:dyDescent="0.25">
      <c r="A24" s="1" t="s">
        <v>16</v>
      </c>
      <c r="B24" s="1" t="s">
        <v>37</v>
      </c>
      <c r="C24" s="11"/>
      <c r="D24" s="11"/>
      <c r="E24" s="11">
        <v>5149</v>
      </c>
      <c r="F24" s="11"/>
      <c r="G24" s="11">
        <f t="shared" si="0"/>
        <v>5149</v>
      </c>
      <c r="H24" s="17">
        <f t="shared" si="1"/>
        <v>2.99</v>
      </c>
      <c r="I24" s="16">
        <f t="shared" si="2"/>
        <v>3.2000000000000001E-2</v>
      </c>
      <c r="J24" s="16">
        <f>ROUND(G24/6385.37-1,2)</f>
        <v>-0.19</v>
      </c>
    </row>
    <row r="25" spans="1:10" x14ac:dyDescent="0.25">
      <c r="A25" s="1" t="s">
        <v>16</v>
      </c>
      <c r="B25" s="1" t="s">
        <v>38</v>
      </c>
      <c r="C25" s="11"/>
      <c r="D25" s="11"/>
      <c r="E25" s="11">
        <v>1674</v>
      </c>
      <c r="F25" s="11"/>
      <c r="G25" s="11">
        <f t="shared" si="0"/>
        <v>1674</v>
      </c>
      <c r="H25" s="17">
        <f t="shared" si="1"/>
        <v>0.97</v>
      </c>
      <c r="I25" s="16">
        <f t="shared" si="2"/>
        <v>0.01</v>
      </c>
      <c r="J25" s="16">
        <f>ROUND(G25/2009.31-1,2)</f>
        <v>-0.17</v>
      </c>
    </row>
    <row r="26" spans="1:10" x14ac:dyDescent="0.25">
      <c r="A26" s="1" t="s">
        <v>16</v>
      </c>
      <c r="B26" s="1" t="s">
        <v>39</v>
      </c>
      <c r="C26" s="11"/>
      <c r="D26" s="11"/>
      <c r="E26" s="11"/>
      <c r="F26" s="11"/>
      <c r="G26" s="11">
        <f t="shared" si="0"/>
        <v>0</v>
      </c>
      <c r="H26" s="17">
        <f t="shared" si="1"/>
        <v>0</v>
      </c>
      <c r="I26" s="16">
        <f t="shared" si="2"/>
        <v>0</v>
      </c>
      <c r="J26" s="16"/>
    </row>
    <row r="27" spans="1:10" x14ac:dyDescent="0.25">
      <c r="A27" s="1" t="s">
        <v>16</v>
      </c>
      <c r="B27" s="1" t="s">
        <v>40</v>
      </c>
      <c r="C27" s="11"/>
      <c r="D27" s="11"/>
      <c r="E27" s="11"/>
      <c r="F27" s="11"/>
      <c r="G27" s="11">
        <f t="shared" si="0"/>
        <v>0</v>
      </c>
      <c r="H27" s="17">
        <f t="shared" si="1"/>
        <v>0</v>
      </c>
      <c r="I27" s="16">
        <f t="shared" si="2"/>
        <v>0</v>
      </c>
      <c r="J27" s="16">
        <f>ROUND(G27/1167.78-1,2)</f>
        <v>-1</v>
      </c>
    </row>
    <row r="28" spans="1:10" x14ac:dyDescent="0.25">
      <c r="A28" s="1" t="s">
        <v>16</v>
      </c>
      <c r="B28" s="1" t="s">
        <v>43</v>
      </c>
      <c r="C28" s="11"/>
      <c r="D28" s="11"/>
      <c r="E28" s="11"/>
      <c r="F28" s="11"/>
      <c r="G28" s="11">
        <f t="shared" si="0"/>
        <v>0</v>
      </c>
      <c r="H28" s="17">
        <f t="shared" si="1"/>
        <v>0</v>
      </c>
      <c r="I28" s="16">
        <f t="shared" si="2"/>
        <v>0</v>
      </c>
      <c r="J28" s="16">
        <f>ROUND(G28/6620-1,2)</f>
        <v>-1</v>
      </c>
    </row>
    <row r="29" spans="1:10" x14ac:dyDescent="0.25">
      <c r="A29" s="1" t="s">
        <v>16</v>
      </c>
      <c r="B29" s="1" t="s">
        <v>42</v>
      </c>
      <c r="C29" s="11"/>
      <c r="D29" s="11"/>
      <c r="E29" s="11"/>
      <c r="F29" s="11"/>
      <c r="G29" s="11">
        <f t="shared" si="0"/>
        <v>0</v>
      </c>
      <c r="H29" s="17">
        <f t="shared" si="1"/>
        <v>0</v>
      </c>
      <c r="I29" s="16">
        <f t="shared" si="2"/>
        <v>0</v>
      </c>
      <c r="J29" s="16">
        <f>ROUND(G29/851.68-1,2)</f>
        <v>-1</v>
      </c>
    </row>
    <row r="30" spans="1:10" x14ac:dyDescent="0.25">
      <c r="A30" s="1" t="s">
        <v>16</v>
      </c>
      <c r="B30" s="1" t="s">
        <v>118</v>
      </c>
      <c r="C30" s="11"/>
      <c r="D30" s="11"/>
      <c r="E30" s="11"/>
      <c r="F30" s="11"/>
      <c r="G30" s="11">
        <f t="shared" si="0"/>
        <v>0</v>
      </c>
      <c r="H30" s="17">
        <f t="shared" si="1"/>
        <v>0</v>
      </c>
      <c r="I30" s="16">
        <f t="shared" si="2"/>
        <v>0</v>
      </c>
      <c r="J30" s="16"/>
    </row>
    <row r="31" spans="1:10" x14ac:dyDescent="0.25">
      <c r="A31" s="1" t="s">
        <v>16</v>
      </c>
      <c r="B31" s="1" t="s">
        <v>41</v>
      </c>
      <c r="C31" s="11"/>
      <c r="D31" s="11"/>
      <c r="E31" s="11"/>
      <c r="F31" s="11"/>
      <c r="G31" s="11">
        <f t="shared" si="0"/>
        <v>0</v>
      </c>
      <c r="H31" s="17">
        <f t="shared" si="1"/>
        <v>0</v>
      </c>
      <c r="I31" s="16">
        <f t="shared" si="2"/>
        <v>0</v>
      </c>
      <c r="J31" s="16">
        <f>ROUND(G31/949.22-1,2)</f>
        <v>-1</v>
      </c>
    </row>
    <row r="32" spans="1:10" x14ac:dyDescent="0.25">
      <c r="A32" s="1" t="s">
        <v>16</v>
      </c>
      <c r="B32" s="1" t="s">
        <v>34</v>
      </c>
      <c r="C32" s="11"/>
      <c r="D32" s="11"/>
      <c r="E32" s="11"/>
      <c r="F32" s="11"/>
      <c r="G32" s="11">
        <f t="shared" si="0"/>
        <v>0</v>
      </c>
      <c r="H32" s="17">
        <f t="shared" si="1"/>
        <v>0</v>
      </c>
      <c r="I32" s="16">
        <f t="shared" si="2"/>
        <v>0</v>
      </c>
      <c r="J32" s="16">
        <f>ROUND(G32/301.33-1,2)</f>
        <v>-1</v>
      </c>
    </row>
    <row r="33" spans="1:10" x14ac:dyDescent="0.25">
      <c r="A33" s="1" t="s">
        <v>16</v>
      </c>
      <c r="B33" s="1" t="s">
        <v>95</v>
      </c>
      <c r="C33" s="11"/>
      <c r="D33" s="11"/>
      <c r="E33" s="11"/>
      <c r="F33" s="11"/>
      <c r="G33" s="11">
        <f t="shared" si="0"/>
        <v>0</v>
      </c>
      <c r="H33" s="17">
        <f t="shared" si="1"/>
        <v>0</v>
      </c>
      <c r="I33" s="16">
        <f t="shared" si="2"/>
        <v>0</v>
      </c>
      <c r="J33" s="16"/>
    </row>
    <row r="34" spans="1:10" x14ac:dyDescent="0.25">
      <c r="A34" s="1" t="s">
        <v>16</v>
      </c>
      <c r="B34" s="1" t="s">
        <v>33</v>
      </c>
      <c r="C34" s="11"/>
      <c r="D34" s="11"/>
      <c r="E34" s="11"/>
      <c r="F34" s="11"/>
      <c r="G34" s="11">
        <f t="shared" si="0"/>
        <v>0</v>
      </c>
      <c r="H34" s="17">
        <f t="shared" si="1"/>
        <v>0</v>
      </c>
      <c r="I34" s="16">
        <f t="shared" si="2"/>
        <v>0</v>
      </c>
      <c r="J34" s="16"/>
    </row>
    <row r="35" spans="1:10" x14ac:dyDescent="0.25">
      <c r="A35" s="1" t="s">
        <v>16</v>
      </c>
      <c r="B35" s="1" t="s">
        <v>30</v>
      </c>
      <c r="C35" s="11"/>
      <c r="D35" s="11"/>
      <c r="E35" s="11"/>
      <c r="F35" s="11"/>
      <c r="G35" s="11">
        <f t="shared" si="0"/>
        <v>0</v>
      </c>
      <c r="H35" s="17">
        <f t="shared" si="1"/>
        <v>0</v>
      </c>
      <c r="I35" s="16">
        <f t="shared" si="2"/>
        <v>0</v>
      </c>
      <c r="J35" s="16"/>
    </row>
    <row r="36" spans="1:10" x14ac:dyDescent="0.25">
      <c r="A36" s="1" t="s">
        <v>16</v>
      </c>
      <c r="B36" s="1" t="s">
        <v>36</v>
      </c>
      <c r="C36" s="11"/>
      <c r="D36" s="11"/>
      <c r="E36" s="11"/>
      <c r="F36" s="11"/>
      <c r="G36" s="11">
        <f t="shared" si="0"/>
        <v>0</v>
      </c>
      <c r="H36" s="17">
        <f t="shared" si="1"/>
        <v>0</v>
      </c>
      <c r="I36" s="16">
        <f t="shared" si="2"/>
        <v>0</v>
      </c>
      <c r="J36" s="16"/>
    </row>
    <row r="37" spans="1:10" x14ac:dyDescent="0.25">
      <c r="A37" s="1" t="s">
        <v>44</v>
      </c>
      <c r="B37" s="1" t="s">
        <v>45</v>
      </c>
      <c r="C37" s="11">
        <v>40430</v>
      </c>
      <c r="D37" s="11"/>
      <c r="E37" s="11"/>
      <c r="F37" s="11"/>
      <c r="G37" s="11">
        <f t="shared" si="0"/>
        <v>40430</v>
      </c>
      <c r="H37" s="17">
        <f t="shared" si="1"/>
        <v>23.45</v>
      </c>
      <c r="I37" s="16">
        <f t="shared" si="2"/>
        <v>0.252</v>
      </c>
      <c r="J37" s="16">
        <f>ROUND(G37/51450-1,2)</f>
        <v>-0.21</v>
      </c>
    </row>
    <row r="38" spans="1:10" x14ac:dyDescent="0.25">
      <c r="A38" s="1" t="s">
        <v>44</v>
      </c>
      <c r="B38" s="1" t="s">
        <v>46</v>
      </c>
      <c r="C38" s="11"/>
      <c r="D38" s="11"/>
      <c r="E38" s="11">
        <v>7744</v>
      </c>
      <c r="F38" s="11"/>
      <c r="G38" s="11">
        <f t="shared" si="0"/>
        <v>7744</v>
      </c>
      <c r="H38" s="17">
        <f t="shared" si="1"/>
        <v>4.49</v>
      </c>
      <c r="I38" s="16">
        <f t="shared" si="2"/>
        <v>4.8000000000000001E-2</v>
      </c>
      <c r="J38" s="16">
        <f>ROUND(G38/10296.79-1,2)</f>
        <v>-0.25</v>
      </c>
    </row>
    <row r="39" spans="1:10" x14ac:dyDescent="0.25">
      <c r="A39" s="1" t="s">
        <v>44</v>
      </c>
      <c r="B39" s="1" t="s">
        <v>47</v>
      </c>
      <c r="C39" s="11"/>
      <c r="D39" s="11"/>
      <c r="E39" s="11"/>
      <c r="F39" s="11"/>
      <c r="G39" s="11">
        <f t="shared" si="0"/>
        <v>0</v>
      </c>
      <c r="H39" s="17">
        <f t="shared" si="1"/>
        <v>0</v>
      </c>
      <c r="I39" s="16">
        <f t="shared" si="2"/>
        <v>0</v>
      </c>
      <c r="J39" s="16"/>
    </row>
    <row r="40" spans="1:10" x14ac:dyDescent="0.25">
      <c r="A40" s="1" t="s">
        <v>48</v>
      </c>
      <c r="B40" s="1" t="s">
        <v>49</v>
      </c>
      <c r="C40" s="11"/>
      <c r="D40" s="11"/>
      <c r="E40" s="11"/>
      <c r="F40" s="11"/>
      <c r="G40" s="11">
        <f t="shared" si="0"/>
        <v>0</v>
      </c>
      <c r="H40" s="17">
        <f t="shared" si="1"/>
        <v>0</v>
      </c>
      <c r="I40" s="16">
        <f t="shared" si="2"/>
        <v>0</v>
      </c>
      <c r="J40" s="16"/>
    </row>
    <row r="41" spans="1:10" x14ac:dyDescent="0.25">
      <c r="A41" s="1" t="s">
        <v>48</v>
      </c>
      <c r="B41" s="1" t="s">
        <v>50</v>
      </c>
      <c r="C41" s="11"/>
      <c r="D41" s="11"/>
      <c r="E41" s="11"/>
      <c r="F41" s="11"/>
      <c r="G41" s="11">
        <f t="shared" si="0"/>
        <v>0</v>
      </c>
      <c r="H41" s="17">
        <f t="shared" si="1"/>
        <v>0</v>
      </c>
      <c r="I41" s="16">
        <f t="shared" si="2"/>
        <v>0</v>
      </c>
      <c r="J41" s="16"/>
    </row>
    <row r="42" spans="1:10" x14ac:dyDescent="0.25">
      <c r="A42" s="1" t="s">
        <v>48</v>
      </c>
      <c r="B42" s="1" t="s">
        <v>51</v>
      </c>
      <c r="C42" s="11"/>
      <c r="D42" s="11"/>
      <c r="E42" s="11"/>
      <c r="F42" s="11"/>
      <c r="G42" s="11">
        <f t="shared" si="0"/>
        <v>0</v>
      </c>
      <c r="H42" s="17">
        <f t="shared" si="1"/>
        <v>0</v>
      </c>
      <c r="I42" s="16">
        <f t="shared" si="2"/>
        <v>0</v>
      </c>
      <c r="J42" s="16"/>
    </row>
    <row r="43" spans="1:10" x14ac:dyDescent="0.25">
      <c r="A43" s="21" t="s">
        <v>12</v>
      </c>
      <c r="B43" s="21"/>
      <c r="C43" s="12">
        <f t="shared" ref="C43:H43" si="3">SUM(C8:C42)</f>
        <v>107330</v>
      </c>
      <c r="D43" s="12">
        <f t="shared" si="3"/>
        <v>0</v>
      </c>
      <c r="E43" s="12">
        <f t="shared" si="3"/>
        <v>53228</v>
      </c>
      <c r="F43" s="12">
        <f t="shared" si="3"/>
        <v>0</v>
      </c>
      <c r="G43" s="12">
        <f t="shared" si="3"/>
        <v>160558</v>
      </c>
      <c r="H43" s="15">
        <f t="shared" si="3"/>
        <v>93.14</v>
      </c>
      <c r="I43" s="18"/>
      <c r="J43" s="18"/>
    </row>
    <row r="44" spans="1:10" x14ac:dyDescent="0.25">
      <c r="A44" s="21" t="s">
        <v>14</v>
      </c>
      <c r="B44" s="21"/>
      <c r="C44" s="13">
        <f>ROUND(C43/G43,2)</f>
        <v>0.67</v>
      </c>
      <c r="D44" s="13">
        <f>ROUND(D43/G43,2)</f>
        <v>0</v>
      </c>
      <c r="E44" s="13">
        <f>ROUND(E43/G43,2)</f>
        <v>0.33</v>
      </c>
      <c r="F44" s="13">
        <f>ROUND(F43/G43,2)</f>
        <v>0</v>
      </c>
      <c r="G44" s="14"/>
      <c r="H44" s="14"/>
      <c r="I44" s="18"/>
      <c r="J44" s="18"/>
    </row>
    <row r="45" spans="1:10" x14ac:dyDescent="0.25">
      <c r="A45" s="2" t="s">
        <v>52</v>
      </c>
      <c r="B45" s="2"/>
      <c r="C45" s="14"/>
      <c r="D45" s="14"/>
      <c r="E45" s="14"/>
      <c r="F45" s="14"/>
      <c r="G45" s="14"/>
      <c r="H45" s="14"/>
      <c r="I45" s="18"/>
      <c r="J45" s="18"/>
    </row>
    <row r="46" spans="1:10" x14ac:dyDescent="0.25">
      <c r="C46" s="9"/>
      <c r="D46" s="9"/>
      <c r="E46" s="9"/>
      <c r="F46" s="9"/>
      <c r="G46" s="9"/>
      <c r="H46" s="9"/>
      <c r="I46" s="10"/>
      <c r="J46" s="10"/>
    </row>
    <row r="47" spans="1:10" x14ac:dyDescent="0.25">
      <c r="C47" s="9"/>
      <c r="D47" s="9"/>
      <c r="E47" s="9"/>
      <c r="F47" s="9"/>
      <c r="G47" s="9"/>
      <c r="H47" s="9"/>
      <c r="I47" s="10"/>
      <c r="J47" s="10"/>
    </row>
    <row r="48" spans="1:10" x14ac:dyDescent="0.25">
      <c r="C48" s="9"/>
      <c r="D48" s="9"/>
      <c r="E48" s="9"/>
      <c r="F48" s="9"/>
      <c r="G48" s="9"/>
      <c r="H48" s="9"/>
      <c r="I48" s="10"/>
      <c r="J48" s="10"/>
    </row>
    <row r="49" spans="1:10" x14ac:dyDescent="0.25">
      <c r="A49" s="21" t="s">
        <v>53</v>
      </c>
      <c r="B49" s="21"/>
      <c r="C49" s="12" t="s">
        <v>8</v>
      </c>
      <c r="D49" s="12" t="s">
        <v>9</v>
      </c>
      <c r="E49" s="12" t="s">
        <v>10</v>
      </c>
      <c r="F49" s="12" t="s">
        <v>11</v>
      </c>
      <c r="G49" s="12" t="s">
        <v>12</v>
      </c>
      <c r="H49" s="15" t="s">
        <v>13</v>
      </c>
      <c r="I49" s="18"/>
      <c r="J49" s="18"/>
    </row>
    <row r="50" spans="1:10" x14ac:dyDescent="0.25">
      <c r="A50" s="20" t="s">
        <v>54</v>
      </c>
      <c r="B50" s="20"/>
      <c r="C50" s="11">
        <v>66900</v>
      </c>
      <c r="D50" s="11">
        <v>0</v>
      </c>
      <c r="E50" s="11">
        <v>45484</v>
      </c>
      <c r="F50" s="11">
        <v>0</v>
      </c>
      <c r="G50" s="11">
        <f>SUM(C50:F50)</f>
        <v>112384</v>
      </c>
      <c r="H50" s="17">
        <f>ROUND(G50/1724,2)</f>
        <v>65.19</v>
      </c>
      <c r="I50" s="10"/>
      <c r="J50" s="10"/>
    </row>
    <row r="51" spans="1:10" x14ac:dyDescent="0.25">
      <c r="A51" s="20" t="s">
        <v>55</v>
      </c>
      <c r="B51" s="20"/>
      <c r="C51" s="11">
        <v>40430</v>
      </c>
      <c r="D51" s="11">
        <v>0</v>
      </c>
      <c r="E51" s="11">
        <v>7744</v>
      </c>
      <c r="F51" s="11">
        <v>0</v>
      </c>
      <c r="G51" s="11">
        <f>SUM(C51:F51)</f>
        <v>48174</v>
      </c>
      <c r="H51" s="17">
        <f>ROUND(G51/1724,2)</f>
        <v>27.94</v>
      </c>
      <c r="I51" s="10"/>
      <c r="J51" s="10"/>
    </row>
    <row r="52" spans="1:10" x14ac:dyDescent="0.25">
      <c r="A52" s="20" t="s">
        <v>56</v>
      </c>
      <c r="B52" s="20"/>
      <c r="C52" s="11">
        <v>0</v>
      </c>
      <c r="D52" s="11">
        <v>0</v>
      </c>
      <c r="E52" s="11">
        <v>0</v>
      </c>
      <c r="F52" s="11">
        <v>0</v>
      </c>
      <c r="G52" s="11">
        <f>SUM(C52:F52)</f>
        <v>0</v>
      </c>
      <c r="H52" s="17">
        <f>ROUND(G52/1724,2)</f>
        <v>0</v>
      </c>
      <c r="I52" s="10"/>
      <c r="J52" s="10"/>
    </row>
    <row r="53" spans="1:10" x14ac:dyDescent="0.25">
      <c r="C53" s="9"/>
      <c r="D53" s="9"/>
      <c r="E53" s="9"/>
      <c r="F53" s="9"/>
      <c r="G53" s="9"/>
      <c r="H53" s="9"/>
      <c r="I53" s="10"/>
      <c r="J53" s="10"/>
    </row>
    <row r="54" spans="1:10" x14ac:dyDescent="0.25">
      <c r="C54" s="9"/>
      <c r="D54" s="9"/>
      <c r="E54" s="9"/>
      <c r="F54" s="9"/>
      <c r="G54" s="9"/>
      <c r="H54" s="9"/>
      <c r="I54" s="10"/>
      <c r="J54" s="10"/>
    </row>
    <row r="55" spans="1:10" x14ac:dyDescent="0.25">
      <c r="C55" s="9"/>
      <c r="D55" s="9"/>
      <c r="E55" s="9"/>
      <c r="F55" s="9"/>
      <c r="G55" s="9"/>
      <c r="H55" s="9"/>
      <c r="I55" s="10"/>
      <c r="J55" s="10"/>
    </row>
    <row r="56" spans="1:10" x14ac:dyDescent="0.25">
      <c r="C56" s="9"/>
      <c r="D56" s="9"/>
      <c r="E56" s="9"/>
      <c r="F56" s="9"/>
      <c r="G56" s="9"/>
      <c r="H56" s="9"/>
      <c r="I56" s="10"/>
      <c r="J56" s="10"/>
    </row>
    <row r="57" spans="1:10" x14ac:dyDescent="0.25">
      <c r="A57" s="21" t="s">
        <v>57</v>
      </c>
      <c r="B57" s="21"/>
      <c r="C57" s="15" t="s">
        <v>2</v>
      </c>
      <c r="D57" s="15">
        <v>2023</v>
      </c>
      <c r="E57" s="15" t="s">
        <v>59</v>
      </c>
      <c r="F57" s="14"/>
      <c r="G57" s="15" t="s">
        <v>60</v>
      </c>
      <c r="H57" s="15" t="s">
        <v>2</v>
      </c>
      <c r="I57" s="13" t="s">
        <v>61</v>
      </c>
      <c r="J57" s="13" t="s">
        <v>59</v>
      </c>
    </row>
    <row r="58" spans="1:10" x14ac:dyDescent="0.25">
      <c r="A58" s="20" t="s">
        <v>58</v>
      </c>
      <c r="B58" s="20"/>
      <c r="C58" s="16">
        <f>ROUND(0.7162, 4)</f>
        <v>0.71619999999999995</v>
      </c>
      <c r="D58" s="16">
        <f>ROUND(0.7908, 4)</f>
        <v>0.79079999999999995</v>
      </c>
      <c r="E58" s="16">
        <f>ROUND(0.777, 4)</f>
        <v>0.77700000000000002</v>
      </c>
      <c r="F58" s="9"/>
      <c r="G58" s="15" t="s">
        <v>62</v>
      </c>
      <c r="H58" s="22" t="s">
        <v>63</v>
      </c>
      <c r="I58" s="24" t="s">
        <v>64</v>
      </c>
      <c r="J58" s="24" t="s">
        <v>65</v>
      </c>
    </row>
    <row r="59" spans="1:10" x14ac:dyDescent="0.25">
      <c r="A59" s="20" t="s">
        <v>66</v>
      </c>
      <c r="B59" s="20"/>
      <c r="C59" s="16">
        <f>ROUND(0.6754, 4)</f>
        <v>0.6754</v>
      </c>
      <c r="D59" s="16">
        <f>ROUND(0.7615, 4)</f>
        <v>0.76149999999999995</v>
      </c>
      <c r="E59" s="16">
        <f>ROUND(0.7608, 4)</f>
        <v>0.76080000000000003</v>
      </c>
      <c r="F59" s="9"/>
      <c r="G59" s="15" t="s">
        <v>67</v>
      </c>
      <c r="H59" s="23"/>
      <c r="I59" s="25"/>
      <c r="J59" s="25"/>
    </row>
    <row r="60" spans="1:10" x14ac:dyDescent="0.25">
      <c r="C60" s="9"/>
      <c r="D60" s="9"/>
      <c r="E60" s="9"/>
      <c r="F60" s="9"/>
      <c r="G60" s="9"/>
      <c r="H60" s="9"/>
      <c r="I60" s="10"/>
      <c r="J60" s="10"/>
    </row>
    <row r="61" spans="1:10" x14ac:dyDescent="0.25">
      <c r="C61" s="9"/>
      <c r="D61" s="9"/>
      <c r="E61" s="9"/>
      <c r="F61" s="9"/>
      <c r="G61" s="9"/>
      <c r="H61" s="9"/>
      <c r="I61" s="10"/>
      <c r="J61" s="10"/>
    </row>
    <row r="62" spans="1:10" x14ac:dyDescent="0.25">
      <c r="C62" s="9"/>
      <c r="D62" s="9"/>
      <c r="E62" s="9"/>
      <c r="F62" s="9"/>
      <c r="G62" s="9"/>
      <c r="H62" s="9"/>
      <c r="I62" s="10"/>
      <c r="J62" s="10"/>
    </row>
    <row r="63" spans="1:10" x14ac:dyDescent="0.25">
      <c r="A63" s="21" t="s">
        <v>68</v>
      </c>
      <c r="B63" s="21"/>
      <c r="C63" s="15" t="s">
        <v>2</v>
      </c>
      <c r="D63" s="15" t="s">
        <v>232</v>
      </c>
      <c r="E63" s="15" t="s">
        <v>70</v>
      </c>
      <c r="F63" s="15" t="s">
        <v>71</v>
      </c>
      <c r="G63" s="15" t="s">
        <v>72</v>
      </c>
      <c r="H63" s="14"/>
      <c r="I63" s="18"/>
      <c r="J63" s="18"/>
    </row>
    <row r="64" spans="1:10" x14ac:dyDescent="0.25">
      <c r="A64" s="20" t="s">
        <v>73</v>
      </c>
      <c r="B64" s="20"/>
      <c r="C64" s="17">
        <v>23.45</v>
      </c>
      <c r="D64" s="17">
        <v>68.459999999999994</v>
      </c>
      <c r="E64" s="17">
        <v>81.84</v>
      </c>
      <c r="F64" s="17">
        <v>48</v>
      </c>
      <c r="G64" s="17">
        <f>12/4*C64</f>
        <v>70.349999999999994</v>
      </c>
      <c r="H64" s="9"/>
      <c r="I64" s="10"/>
      <c r="J64" s="10"/>
    </row>
    <row r="65" spans="1:10" x14ac:dyDescent="0.25">
      <c r="A65" s="20" t="s">
        <v>74</v>
      </c>
      <c r="B65" s="20"/>
      <c r="C65" s="17">
        <v>8.68</v>
      </c>
      <c r="D65" s="17">
        <v>47.4</v>
      </c>
      <c r="E65" s="17">
        <v>55.63</v>
      </c>
      <c r="F65" s="17">
        <v>55.33</v>
      </c>
      <c r="G65" s="17">
        <f>12/4*C65</f>
        <v>26.04</v>
      </c>
      <c r="H65" s="9"/>
      <c r="I65" s="10"/>
      <c r="J65" s="10"/>
    </row>
    <row r="66" spans="1:10" x14ac:dyDescent="0.25">
      <c r="A66" s="20" t="s">
        <v>75</v>
      </c>
      <c r="B66" s="20"/>
      <c r="C66" s="17">
        <v>65.19</v>
      </c>
      <c r="D66" s="17">
        <v>280.97000000000003</v>
      </c>
      <c r="E66" s="17">
        <v>257.88</v>
      </c>
      <c r="F66" s="17">
        <v>242.78</v>
      </c>
      <c r="G66" s="17">
        <f>12/4*C66</f>
        <v>195.57</v>
      </c>
      <c r="H66" s="9"/>
      <c r="I66" s="10"/>
      <c r="J66" s="10"/>
    </row>
    <row r="67" spans="1:10" x14ac:dyDescent="0.25">
      <c r="A67" s="20" t="s">
        <v>76</v>
      </c>
      <c r="B67" s="20"/>
      <c r="C67" s="17">
        <v>27.94</v>
      </c>
      <c r="D67" s="17">
        <v>91.33</v>
      </c>
      <c r="E67" s="17">
        <v>103.14</v>
      </c>
      <c r="F67" s="17">
        <v>68.31</v>
      </c>
      <c r="G67" s="17">
        <f>12/4*C67</f>
        <v>83.820000000000007</v>
      </c>
      <c r="H67" s="9"/>
      <c r="I67" s="10"/>
      <c r="J67" s="10"/>
    </row>
    <row r="68" spans="1:10" x14ac:dyDescent="0.25">
      <c r="C68" s="9"/>
      <c r="D68" s="9"/>
      <c r="E68" s="9"/>
      <c r="F68" s="9"/>
      <c r="G68" s="9"/>
      <c r="H68" s="9"/>
      <c r="I68" s="10"/>
      <c r="J68" s="10"/>
    </row>
    <row r="69" spans="1:10" x14ac:dyDescent="0.25">
      <c r="C69" s="9"/>
      <c r="D69" s="9"/>
      <c r="E69" s="9"/>
      <c r="F69" s="9"/>
      <c r="G69" s="9"/>
      <c r="H69" s="9"/>
      <c r="I69" s="10"/>
      <c r="J69" s="10"/>
    </row>
    <row r="70" spans="1:10" x14ac:dyDescent="0.25">
      <c r="A70" s="19" t="s">
        <v>60</v>
      </c>
      <c r="B70" s="26"/>
      <c r="C70" s="9"/>
      <c r="D70" s="9"/>
      <c r="E70" s="9"/>
      <c r="F70" s="9"/>
      <c r="G70" s="9"/>
      <c r="H70" s="9"/>
      <c r="I70" s="10"/>
      <c r="J70" s="10"/>
    </row>
    <row r="71" spans="1:10" x14ac:dyDescent="0.25">
      <c r="A71" s="3" t="s">
        <v>77</v>
      </c>
      <c r="B71" s="1" t="s">
        <v>233</v>
      </c>
      <c r="C71" s="9"/>
      <c r="D71" s="9"/>
      <c r="E71" s="9"/>
      <c r="F71" s="9"/>
      <c r="G71" s="9"/>
      <c r="H71" s="9"/>
      <c r="I71" s="10"/>
      <c r="J71" s="10"/>
    </row>
    <row r="72" spans="1:10" x14ac:dyDescent="0.25">
      <c r="A72" s="3" t="s">
        <v>70</v>
      </c>
      <c r="B72" s="1" t="s">
        <v>79</v>
      </c>
      <c r="C72" s="9"/>
      <c r="D72" s="9"/>
      <c r="E72" s="9"/>
      <c r="F72" s="9"/>
      <c r="G72" s="9"/>
      <c r="H72" s="9"/>
      <c r="I72" s="10"/>
      <c r="J72" s="10"/>
    </row>
    <row r="73" spans="1:10" x14ac:dyDescent="0.25">
      <c r="A73" s="3" t="s">
        <v>71</v>
      </c>
      <c r="B73" s="1" t="s">
        <v>80</v>
      </c>
      <c r="C73" s="9"/>
      <c r="D73" s="9"/>
      <c r="E73" s="9"/>
      <c r="F73" s="9"/>
      <c r="G73" s="9"/>
      <c r="H73" s="9"/>
      <c r="I73" s="10"/>
      <c r="J73" s="10"/>
    </row>
    <row r="74" spans="1:10" x14ac:dyDescent="0.25">
      <c r="A74" s="3" t="s">
        <v>72</v>
      </c>
      <c r="B74" s="1" t="s">
        <v>81</v>
      </c>
      <c r="C74" s="9"/>
      <c r="D74" s="9"/>
      <c r="E74" s="9"/>
      <c r="F74" s="9"/>
      <c r="G74" s="9"/>
      <c r="H74" s="9"/>
      <c r="I74" s="10"/>
      <c r="J74" s="10"/>
    </row>
    <row r="75" spans="1:10" x14ac:dyDescent="0.25">
      <c r="C75" s="9"/>
      <c r="D75" s="9"/>
      <c r="E75" s="9"/>
      <c r="F75" s="9"/>
      <c r="G75" s="9"/>
      <c r="H75" s="9"/>
      <c r="I75" s="10"/>
      <c r="J75" s="10"/>
    </row>
    <row r="76" spans="1:10" x14ac:dyDescent="0.25">
      <c r="C76" s="9"/>
      <c r="D76" s="9"/>
      <c r="E76" s="9"/>
      <c r="F76" s="9"/>
      <c r="G76" s="9"/>
      <c r="H76" s="9"/>
      <c r="I76" s="10"/>
      <c r="J76" s="10"/>
    </row>
    <row r="77" spans="1:10" x14ac:dyDescent="0.25">
      <c r="C77" s="9"/>
      <c r="D77" s="9"/>
      <c r="E77" s="9"/>
      <c r="F77" s="9"/>
      <c r="G77" s="9"/>
      <c r="H77" s="9"/>
      <c r="I77" s="10"/>
      <c r="J77" s="10"/>
    </row>
  </sheetData>
  <mergeCells count="19">
    <mergeCell ref="A65:B65"/>
    <mergeCell ref="A66:B66"/>
    <mergeCell ref="A67:B67"/>
    <mergeCell ref="A70:B70"/>
    <mergeCell ref="I58:I59"/>
    <mergeCell ref="J58:J59"/>
    <mergeCell ref="A59:B59"/>
    <mergeCell ref="A63:B63"/>
    <mergeCell ref="A64:B64"/>
    <mergeCell ref="A51:B51"/>
    <mergeCell ref="A52:B52"/>
    <mergeCell ref="A57:B57"/>
    <mergeCell ref="A58:B58"/>
    <mergeCell ref="H58:H59"/>
    <mergeCell ref="C7:G7"/>
    <mergeCell ref="A43:B43"/>
    <mergeCell ref="A44:B44"/>
    <mergeCell ref="A49:B49"/>
    <mergeCell ref="A50:B50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2:J77"/>
  <sheetViews>
    <sheetView workbookViewId="0">
      <selection activeCell="C9" sqref="C9:J68"/>
    </sheetView>
  </sheetViews>
  <sheetFormatPr defaultRowHeight="15" x14ac:dyDescent="0.25"/>
  <cols>
    <col min="1" max="1" width="38.85546875" bestFit="1" customWidth="1"/>
    <col min="2" max="2" width="79" bestFit="1" customWidth="1"/>
    <col min="3" max="3" width="14" bestFit="1" customWidth="1"/>
    <col min="4" max="4" width="24.7109375" bestFit="1" customWidth="1"/>
    <col min="5" max="5" width="16.42578125" bestFit="1" customWidth="1"/>
    <col min="6" max="6" width="10.5703125" bestFit="1" customWidth="1"/>
    <col min="7" max="7" width="68.28515625" bestFit="1" customWidth="1"/>
    <col min="8" max="9" width="20" bestFit="1" customWidth="1"/>
    <col min="10" max="10" width="30.5703125" bestFit="1" customWidth="1"/>
  </cols>
  <sheetData>
    <row r="2" spans="1:10" ht="18.75" x14ac:dyDescent="0.3">
      <c r="A2" s="3" t="s">
        <v>0</v>
      </c>
      <c r="B2" s="4" t="s">
        <v>234</v>
      </c>
    </row>
    <row r="3" spans="1:10" x14ac:dyDescent="0.25">
      <c r="A3" s="3" t="s">
        <v>2</v>
      </c>
      <c r="B3" s="1" t="s">
        <v>3</v>
      </c>
    </row>
    <row r="4" spans="1:10" x14ac:dyDescent="0.25">
      <c r="A4" s="3" t="s">
        <v>4</v>
      </c>
      <c r="B4" s="1">
        <v>5067</v>
      </c>
    </row>
    <row r="7" spans="1:10" x14ac:dyDescent="0.25">
      <c r="C7" s="19" t="s">
        <v>5</v>
      </c>
      <c r="D7" s="20"/>
      <c r="E7" s="20"/>
      <c r="F7" s="20"/>
      <c r="G7" s="20"/>
    </row>
    <row r="8" spans="1:10" x14ac:dyDescent="0.25">
      <c r="A8" s="3" t="s">
        <v>6</v>
      </c>
      <c r="B8" s="3" t="s">
        <v>7</v>
      </c>
      <c r="C8" s="3" t="s">
        <v>8</v>
      </c>
      <c r="D8" s="3" t="s">
        <v>9</v>
      </c>
      <c r="E8" s="3" t="s">
        <v>10</v>
      </c>
      <c r="F8" s="3" t="s">
        <v>11</v>
      </c>
      <c r="G8" s="3" t="s">
        <v>12</v>
      </c>
      <c r="H8" s="3" t="s">
        <v>13</v>
      </c>
      <c r="I8" s="3" t="s">
        <v>14</v>
      </c>
      <c r="J8" s="3" t="s">
        <v>15</v>
      </c>
    </row>
    <row r="9" spans="1:10" x14ac:dyDescent="0.25">
      <c r="A9" s="1" t="s">
        <v>16</v>
      </c>
      <c r="B9" s="1" t="s">
        <v>19</v>
      </c>
      <c r="C9" s="11">
        <v>50520</v>
      </c>
      <c r="D9" s="11"/>
      <c r="E9" s="11"/>
      <c r="F9" s="11"/>
      <c r="G9" s="11">
        <f t="shared" ref="G9:G45" si="0">SUM(C9:F9)</f>
        <v>50520</v>
      </c>
      <c r="H9" s="17">
        <f t="shared" ref="H9:H45" si="1">ROUND(G9/5067,2)</f>
        <v>9.9700000000000006</v>
      </c>
      <c r="I9" s="16">
        <f t="shared" ref="I9:I45" si="2">ROUND(G9/$G$46,3)</f>
        <v>8.7999999999999995E-2</v>
      </c>
      <c r="J9" s="16"/>
    </row>
    <row r="10" spans="1:10" x14ac:dyDescent="0.25">
      <c r="A10" s="1" t="s">
        <v>16</v>
      </c>
      <c r="B10" s="1" t="s">
        <v>20</v>
      </c>
      <c r="C10" s="11">
        <v>62210</v>
      </c>
      <c r="D10" s="11"/>
      <c r="E10" s="11"/>
      <c r="F10" s="11"/>
      <c r="G10" s="11">
        <f t="shared" si="0"/>
        <v>62210</v>
      </c>
      <c r="H10" s="17">
        <f t="shared" si="1"/>
        <v>12.28</v>
      </c>
      <c r="I10" s="16">
        <f t="shared" si="2"/>
        <v>0.109</v>
      </c>
      <c r="J10" s="16">
        <f>ROUND(G10/71970-1,2)</f>
        <v>-0.14000000000000001</v>
      </c>
    </row>
    <row r="11" spans="1:10" x14ac:dyDescent="0.25">
      <c r="A11" s="1" t="s">
        <v>16</v>
      </c>
      <c r="B11" s="1" t="s">
        <v>94</v>
      </c>
      <c r="C11" s="11"/>
      <c r="D11" s="11"/>
      <c r="E11" s="11">
        <v>51</v>
      </c>
      <c r="F11" s="11"/>
      <c r="G11" s="11">
        <f t="shared" si="0"/>
        <v>51</v>
      </c>
      <c r="H11" s="17">
        <f t="shared" si="1"/>
        <v>0.01</v>
      </c>
      <c r="I11" s="16">
        <f t="shared" si="2"/>
        <v>0</v>
      </c>
      <c r="J11" s="16">
        <f>ROUND(G11/60-1,2)</f>
        <v>-0.15</v>
      </c>
    </row>
    <row r="12" spans="1:10" x14ac:dyDescent="0.25">
      <c r="A12" s="1" t="s">
        <v>16</v>
      </c>
      <c r="B12" s="1" t="s">
        <v>21</v>
      </c>
      <c r="C12" s="11"/>
      <c r="D12" s="11"/>
      <c r="E12" s="11">
        <v>122</v>
      </c>
      <c r="F12" s="11"/>
      <c r="G12" s="11">
        <f t="shared" si="0"/>
        <v>122</v>
      </c>
      <c r="H12" s="17">
        <f t="shared" si="1"/>
        <v>0.02</v>
      </c>
      <c r="I12" s="16">
        <f t="shared" si="2"/>
        <v>0</v>
      </c>
      <c r="J12" s="16">
        <f>ROUND(G12/51-1,2)</f>
        <v>1.39</v>
      </c>
    </row>
    <row r="13" spans="1:10" x14ac:dyDescent="0.25">
      <c r="A13" s="1" t="s">
        <v>16</v>
      </c>
      <c r="B13" s="1" t="s">
        <v>23</v>
      </c>
      <c r="C13" s="11"/>
      <c r="D13" s="11"/>
      <c r="E13" s="11">
        <v>20500</v>
      </c>
      <c r="F13" s="11"/>
      <c r="G13" s="11">
        <f t="shared" si="0"/>
        <v>20500</v>
      </c>
      <c r="H13" s="17">
        <f t="shared" si="1"/>
        <v>4.05</v>
      </c>
      <c r="I13" s="16">
        <f t="shared" si="2"/>
        <v>3.5999999999999997E-2</v>
      </c>
      <c r="J13" s="16">
        <f>ROUND(G13/43300-1,2)</f>
        <v>-0.53</v>
      </c>
    </row>
    <row r="14" spans="1:10" x14ac:dyDescent="0.25">
      <c r="A14" s="1" t="s">
        <v>16</v>
      </c>
      <c r="B14" s="1" t="s">
        <v>24</v>
      </c>
      <c r="C14" s="11">
        <v>71520</v>
      </c>
      <c r="D14" s="11"/>
      <c r="E14" s="11">
        <v>6440</v>
      </c>
      <c r="F14" s="11"/>
      <c r="G14" s="11">
        <f t="shared" si="0"/>
        <v>77960</v>
      </c>
      <c r="H14" s="17">
        <f t="shared" si="1"/>
        <v>15.39</v>
      </c>
      <c r="I14" s="16">
        <f t="shared" si="2"/>
        <v>0.13700000000000001</v>
      </c>
      <c r="J14" s="16">
        <f>ROUND(G14/87850-1,2)</f>
        <v>-0.11</v>
      </c>
    </row>
    <row r="15" spans="1:10" x14ac:dyDescent="0.25">
      <c r="A15" s="1" t="s">
        <v>16</v>
      </c>
      <c r="B15" s="1" t="s">
        <v>25</v>
      </c>
      <c r="C15" s="11"/>
      <c r="D15" s="11"/>
      <c r="E15" s="11">
        <v>1960</v>
      </c>
      <c r="F15" s="11"/>
      <c r="G15" s="11">
        <f t="shared" si="0"/>
        <v>1960</v>
      </c>
      <c r="H15" s="17">
        <f t="shared" si="1"/>
        <v>0.39</v>
      </c>
      <c r="I15" s="16">
        <f t="shared" si="2"/>
        <v>3.0000000000000001E-3</v>
      </c>
      <c r="J15" s="16">
        <f>ROUND(G15/2390-1,2)</f>
        <v>-0.18</v>
      </c>
    </row>
    <row r="16" spans="1:10" x14ac:dyDescent="0.25">
      <c r="A16" s="1" t="s">
        <v>16</v>
      </c>
      <c r="B16" s="1" t="s">
        <v>26</v>
      </c>
      <c r="C16" s="11">
        <v>110090</v>
      </c>
      <c r="D16" s="11"/>
      <c r="E16" s="11"/>
      <c r="F16" s="11"/>
      <c r="G16" s="11">
        <f t="shared" si="0"/>
        <v>110090</v>
      </c>
      <c r="H16" s="17">
        <f t="shared" si="1"/>
        <v>21.73</v>
      </c>
      <c r="I16" s="16">
        <f t="shared" si="2"/>
        <v>0.193</v>
      </c>
      <c r="J16" s="16">
        <f>ROUND(G16/135180-1,2)</f>
        <v>-0.19</v>
      </c>
    </row>
    <row r="17" spans="1:10" x14ac:dyDescent="0.25">
      <c r="A17" s="1" t="s">
        <v>16</v>
      </c>
      <c r="B17" s="1" t="s">
        <v>27</v>
      </c>
      <c r="C17" s="11"/>
      <c r="D17" s="11"/>
      <c r="E17" s="11">
        <v>440</v>
      </c>
      <c r="F17" s="11"/>
      <c r="G17" s="11">
        <f t="shared" si="0"/>
        <v>440</v>
      </c>
      <c r="H17" s="17">
        <f t="shared" si="1"/>
        <v>0.09</v>
      </c>
      <c r="I17" s="16">
        <f t="shared" si="2"/>
        <v>1E-3</v>
      </c>
      <c r="J17" s="16">
        <f>ROUND(G17/439-1,2)</f>
        <v>0</v>
      </c>
    </row>
    <row r="18" spans="1:10" x14ac:dyDescent="0.25">
      <c r="A18" s="1" t="s">
        <v>16</v>
      </c>
      <c r="B18" s="1" t="s">
        <v>28</v>
      </c>
      <c r="C18" s="11"/>
      <c r="D18" s="11"/>
      <c r="E18" s="11">
        <v>374</v>
      </c>
      <c r="F18" s="11"/>
      <c r="G18" s="11">
        <f t="shared" si="0"/>
        <v>374</v>
      </c>
      <c r="H18" s="17">
        <f t="shared" si="1"/>
        <v>7.0000000000000007E-2</v>
      </c>
      <c r="I18" s="16">
        <f t="shared" si="2"/>
        <v>1E-3</v>
      </c>
      <c r="J18" s="16">
        <f>ROUND(G18/327-1,2)</f>
        <v>0.14000000000000001</v>
      </c>
    </row>
    <row r="19" spans="1:10" x14ac:dyDescent="0.25">
      <c r="A19" s="1" t="s">
        <v>16</v>
      </c>
      <c r="B19" s="1" t="s">
        <v>31</v>
      </c>
      <c r="C19" s="11"/>
      <c r="D19" s="11"/>
      <c r="E19" s="11">
        <v>665</v>
      </c>
      <c r="F19" s="11"/>
      <c r="G19" s="11">
        <f t="shared" si="0"/>
        <v>665</v>
      </c>
      <c r="H19" s="17">
        <f t="shared" si="1"/>
        <v>0.13</v>
      </c>
      <c r="I19" s="16">
        <f t="shared" si="2"/>
        <v>1E-3</v>
      </c>
      <c r="J19" s="16">
        <f>ROUND(G19/720-1,2)</f>
        <v>-0.08</v>
      </c>
    </row>
    <row r="20" spans="1:10" x14ac:dyDescent="0.25">
      <c r="A20" s="1" t="s">
        <v>16</v>
      </c>
      <c r="B20" s="1" t="s">
        <v>32</v>
      </c>
      <c r="C20" s="11"/>
      <c r="D20" s="11">
        <v>297</v>
      </c>
      <c r="E20" s="11"/>
      <c r="F20" s="11"/>
      <c r="G20" s="11">
        <f t="shared" si="0"/>
        <v>297</v>
      </c>
      <c r="H20" s="17">
        <f t="shared" si="1"/>
        <v>0.06</v>
      </c>
      <c r="I20" s="16">
        <f t="shared" si="2"/>
        <v>1E-3</v>
      </c>
      <c r="J20" s="16">
        <f>ROUND(G20/303-1,2)</f>
        <v>-0.02</v>
      </c>
    </row>
    <row r="21" spans="1:10" x14ac:dyDescent="0.25">
      <c r="A21" s="1" t="s">
        <v>16</v>
      </c>
      <c r="B21" s="1" t="s">
        <v>34</v>
      </c>
      <c r="C21" s="11"/>
      <c r="D21" s="11">
        <v>170</v>
      </c>
      <c r="E21" s="11"/>
      <c r="F21" s="11"/>
      <c r="G21" s="11">
        <f t="shared" si="0"/>
        <v>170</v>
      </c>
      <c r="H21" s="17">
        <f t="shared" si="1"/>
        <v>0.03</v>
      </c>
      <c r="I21" s="16">
        <f t="shared" si="2"/>
        <v>0</v>
      </c>
      <c r="J21" s="16">
        <f>ROUND(G21/330-1,2)</f>
        <v>-0.48</v>
      </c>
    </row>
    <row r="22" spans="1:10" x14ac:dyDescent="0.25">
      <c r="A22" s="1" t="s">
        <v>16</v>
      </c>
      <c r="B22" s="1" t="s">
        <v>35</v>
      </c>
      <c r="C22" s="11"/>
      <c r="D22" s="11"/>
      <c r="E22" s="11">
        <v>26430</v>
      </c>
      <c r="F22" s="11"/>
      <c r="G22" s="11">
        <f t="shared" si="0"/>
        <v>26430</v>
      </c>
      <c r="H22" s="17">
        <f t="shared" si="1"/>
        <v>5.22</v>
      </c>
      <c r="I22" s="16">
        <f t="shared" si="2"/>
        <v>4.5999999999999999E-2</v>
      </c>
      <c r="J22" s="16">
        <f>ROUND(G22/27620-1,2)</f>
        <v>-0.04</v>
      </c>
    </row>
    <row r="23" spans="1:10" x14ac:dyDescent="0.25">
      <c r="A23" s="1" t="s">
        <v>16</v>
      </c>
      <c r="B23" s="1" t="s">
        <v>37</v>
      </c>
      <c r="C23" s="11"/>
      <c r="D23" s="11"/>
      <c r="E23" s="11">
        <v>6780</v>
      </c>
      <c r="F23" s="11"/>
      <c r="G23" s="11">
        <f t="shared" si="0"/>
        <v>6780</v>
      </c>
      <c r="H23" s="17">
        <f t="shared" si="1"/>
        <v>1.34</v>
      </c>
      <c r="I23" s="16">
        <f t="shared" si="2"/>
        <v>1.2E-2</v>
      </c>
      <c r="J23" s="16">
        <f>ROUND(G23/9480-1,2)</f>
        <v>-0.28000000000000003</v>
      </c>
    </row>
    <row r="24" spans="1:10" x14ac:dyDescent="0.25">
      <c r="A24" s="1" t="s">
        <v>16</v>
      </c>
      <c r="B24" s="1" t="s">
        <v>38</v>
      </c>
      <c r="C24" s="11"/>
      <c r="D24" s="11">
        <v>3620</v>
      </c>
      <c r="E24" s="11">
        <v>69290</v>
      </c>
      <c r="F24" s="11">
        <v>2700</v>
      </c>
      <c r="G24" s="11">
        <f t="shared" si="0"/>
        <v>75610</v>
      </c>
      <c r="H24" s="17">
        <f t="shared" si="1"/>
        <v>14.92</v>
      </c>
      <c r="I24" s="16">
        <f t="shared" si="2"/>
        <v>0.13200000000000001</v>
      </c>
      <c r="J24" s="16">
        <f>ROUND(G24/117060-1,2)</f>
        <v>-0.35</v>
      </c>
    </row>
    <row r="25" spans="1:10" x14ac:dyDescent="0.25">
      <c r="A25" s="1" t="s">
        <v>16</v>
      </c>
      <c r="B25" s="1" t="s">
        <v>90</v>
      </c>
      <c r="C25" s="11"/>
      <c r="D25" s="11"/>
      <c r="E25" s="11"/>
      <c r="F25" s="11"/>
      <c r="G25" s="11">
        <f t="shared" si="0"/>
        <v>0</v>
      </c>
      <c r="H25" s="17">
        <f t="shared" si="1"/>
        <v>0</v>
      </c>
      <c r="I25" s="16">
        <f t="shared" si="2"/>
        <v>0</v>
      </c>
      <c r="J25" s="16">
        <f>ROUND(G25/68560-1,2)</f>
        <v>-1</v>
      </c>
    </row>
    <row r="26" spans="1:10" x14ac:dyDescent="0.25">
      <c r="A26" s="1" t="s">
        <v>16</v>
      </c>
      <c r="B26" s="1" t="s">
        <v>131</v>
      </c>
      <c r="C26" s="11"/>
      <c r="D26" s="11"/>
      <c r="E26" s="11"/>
      <c r="F26" s="11"/>
      <c r="G26" s="11">
        <f t="shared" si="0"/>
        <v>0</v>
      </c>
      <c r="H26" s="17">
        <f t="shared" si="1"/>
        <v>0</v>
      </c>
      <c r="I26" s="16">
        <f t="shared" si="2"/>
        <v>0</v>
      </c>
      <c r="J26" s="16">
        <f>ROUND(G26/5340-1,2)</f>
        <v>-1</v>
      </c>
    </row>
    <row r="27" spans="1:10" x14ac:dyDescent="0.25">
      <c r="A27" s="1" t="s">
        <v>16</v>
      </c>
      <c r="B27" s="1" t="s">
        <v>95</v>
      </c>
      <c r="C27" s="11"/>
      <c r="D27" s="11"/>
      <c r="E27" s="11"/>
      <c r="F27" s="11"/>
      <c r="G27" s="11">
        <f t="shared" si="0"/>
        <v>0</v>
      </c>
      <c r="H27" s="17">
        <f t="shared" si="1"/>
        <v>0</v>
      </c>
      <c r="I27" s="16">
        <f t="shared" si="2"/>
        <v>0</v>
      </c>
      <c r="J27" s="16">
        <f>ROUND(G27/221-1,2)</f>
        <v>-1</v>
      </c>
    </row>
    <row r="28" spans="1:10" x14ac:dyDescent="0.25">
      <c r="A28" s="1" t="s">
        <v>16</v>
      </c>
      <c r="B28" s="1" t="s">
        <v>39</v>
      </c>
      <c r="C28" s="11"/>
      <c r="D28" s="11"/>
      <c r="E28" s="11"/>
      <c r="F28" s="11"/>
      <c r="G28" s="11">
        <f t="shared" si="0"/>
        <v>0</v>
      </c>
      <c r="H28" s="17">
        <f t="shared" si="1"/>
        <v>0</v>
      </c>
      <c r="I28" s="16">
        <f t="shared" si="2"/>
        <v>0</v>
      </c>
      <c r="J28" s="16">
        <f>ROUND(G28/190-1,2)</f>
        <v>-1</v>
      </c>
    </row>
    <row r="29" spans="1:10" x14ac:dyDescent="0.25">
      <c r="A29" s="1" t="s">
        <v>16</v>
      </c>
      <c r="B29" s="1" t="s">
        <v>40</v>
      </c>
      <c r="C29" s="11"/>
      <c r="D29" s="11"/>
      <c r="E29" s="11"/>
      <c r="F29" s="11"/>
      <c r="G29" s="11">
        <f t="shared" si="0"/>
        <v>0</v>
      </c>
      <c r="H29" s="17">
        <f t="shared" si="1"/>
        <v>0</v>
      </c>
      <c r="I29" s="16">
        <f t="shared" si="2"/>
        <v>0</v>
      </c>
      <c r="J29" s="16">
        <f>ROUND(G29/1130-1,2)</f>
        <v>-1</v>
      </c>
    </row>
    <row r="30" spans="1:10" x14ac:dyDescent="0.25">
      <c r="A30" s="1" t="s">
        <v>16</v>
      </c>
      <c r="B30" s="1" t="s">
        <v>29</v>
      </c>
      <c r="C30" s="11"/>
      <c r="D30" s="11"/>
      <c r="E30" s="11"/>
      <c r="F30" s="11"/>
      <c r="G30" s="11">
        <f t="shared" si="0"/>
        <v>0</v>
      </c>
      <c r="H30" s="17">
        <f t="shared" si="1"/>
        <v>0</v>
      </c>
      <c r="I30" s="16">
        <f t="shared" si="2"/>
        <v>0</v>
      </c>
      <c r="J30" s="16">
        <f>ROUND(G30/200-1,2)</f>
        <v>-1</v>
      </c>
    </row>
    <row r="31" spans="1:10" x14ac:dyDescent="0.25">
      <c r="A31" s="1" t="s">
        <v>16</v>
      </c>
      <c r="B31" s="1" t="s">
        <v>30</v>
      </c>
      <c r="C31" s="11"/>
      <c r="D31" s="11"/>
      <c r="E31" s="11"/>
      <c r="F31" s="11"/>
      <c r="G31" s="11">
        <f t="shared" si="0"/>
        <v>0</v>
      </c>
      <c r="H31" s="17">
        <f t="shared" si="1"/>
        <v>0</v>
      </c>
      <c r="I31" s="16">
        <f t="shared" si="2"/>
        <v>0</v>
      </c>
      <c r="J31" s="16">
        <f>ROUND(G31/240-1,2)</f>
        <v>-1</v>
      </c>
    </row>
    <row r="32" spans="1:10" x14ac:dyDescent="0.25">
      <c r="A32" s="1" t="s">
        <v>16</v>
      </c>
      <c r="B32" s="1" t="s">
        <v>33</v>
      </c>
      <c r="C32" s="11"/>
      <c r="D32" s="11"/>
      <c r="E32" s="11"/>
      <c r="F32" s="11"/>
      <c r="G32" s="11">
        <f t="shared" si="0"/>
        <v>0</v>
      </c>
      <c r="H32" s="17">
        <f t="shared" si="1"/>
        <v>0</v>
      </c>
      <c r="I32" s="16">
        <f t="shared" si="2"/>
        <v>0</v>
      </c>
      <c r="J32" s="16"/>
    </row>
    <row r="33" spans="1:10" x14ac:dyDescent="0.25">
      <c r="A33" s="1" t="s">
        <v>16</v>
      </c>
      <c r="B33" s="1" t="s">
        <v>41</v>
      </c>
      <c r="C33" s="11"/>
      <c r="D33" s="11"/>
      <c r="E33" s="11"/>
      <c r="F33" s="11"/>
      <c r="G33" s="11">
        <f t="shared" si="0"/>
        <v>0</v>
      </c>
      <c r="H33" s="17">
        <f t="shared" si="1"/>
        <v>0</v>
      </c>
      <c r="I33" s="16">
        <f t="shared" si="2"/>
        <v>0</v>
      </c>
      <c r="J33" s="16">
        <f>ROUND(G33/1774-1,2)</f>
        <v>-1</v>
      </c>
    </row>
    <row r="34" spans="1:10" x14ac:dyDescent="0.25">
      <c r="A34" s="1" t="s">
        <v>16</v>
      </c>
      <c r="B34" s="1" t="s">
        <v>42</v>
      </c>
      <c r="C34" s="11"/>
      <c r="D34" s="11"/>
      <c r="E34" s="11"/>
      <c r="F34" s="11"/>
      <c r="G34" s="11">
        <f t="shared" si="0"/>
        <v>0</v>
      </c>
      <c r="H34" s="17">
        <f t="shared" si="1"/>
        <v>0</v>
      </c>
      <c r="I34" s="16">
        <f t="shared" si="2"/>
        <v>0</v>
      </c>
      <c r="J34" s="16">
        <f>ROUND(G34/1480-1,2)</f>
        <v>-1</v>
      </c>
    </row>
    <row r="35" spans="1:10" x14ac:dyDescent="0.25">
      <c r="A35" s="1" t="s">
        <v>16</v>
      </c>
      <c r="B35" s="1" t="s">
        <v>43</v>
      </c>
      <c r="C35" s="11"/>
      <c r="D35" s="11"/>
      <c r="E35" s="11"/>
      <c r="F35" s="11"/>
      <c r="G35" s="11">
        <f t="shared" si="0"/>
        <v>0</v>
      </c>
      <c r="H35" s="17">
        <f t="shared" si="1"/>
        <v>0</v>
      </c>
      <c r="I35" s="16">
        <f t="shared" si="2"/>
        <v>0</v>
      </c>
      <c r="J35" s="16">
        <f>ROUND(G35/3450-1,2)</f>
        <v>-1</v>
      </c>
    </row>
    <row r="36" spans="1:10" x14ac:dyDescent="0.25">
      <c r="A36" s="1" t="s">
        <v>16</v>
      </c>
      <c r="B36" s="1" t="s">
        <v>17</v>
      </c>
      <c r="C36" s="11"/>
      <c r="D36" s="11"/>
      <c r="E36" s="11"/>
      <c r="F36" s="11"/>
      <c r="G36" s="11">
        <f t="shared" si="0"/>
        <v>0</v>
      </c>
      <c r="H36" s="17">
        <f t="shared" si="1"/>
        <v>0</v>
      </c>
      <c r="I36" s="16">
        <f t="shared" si="2"/>
        <v>0</v>
      </c>
      <c r="J36" s="16">
        <f>ROUND(G36/65-1,2)</f>
        <v>-1</v>
      </c>
    </row>
    <row r="37" spans="1:10" x14ac:dyDescent="0.25">
      <c r="A37" s="1" t="s">
        <v>16</v>
      </c>
      <c r="B37" s="1" t="s">
        <v>22</v>
      </c>
      <c r="C37" s="11"/>
      <c r="D37" s="11"/>
      <c r="E37" s="11"/>
      <c r="F37" s="11"/>
      <c r="G37" s="11">
        <f t="shared" si="0"/>
        <v>0</v>
      </c>
      <c r="H37" s="17">
        <f t="shared" si="1"/>
        <v>0</v>
      </c>
      <c r="I37" s="16">
        <f t="shared" si="2"/>
        <v>0</v>
      </c>
      <c r="J37" s="16"/>
    </row>
    <row r="38" spans="1:10" x14ac:dyDescent="0.25">
      <c r="A38" s="1" t="s">
        <v>16</v>
      </c>
      <c r="B38" s="1" t="s">
        <v>18</v>
      </c>
      <c r="C38" s="11"/>
      <c r="D38" s="11"/>
      <c r="E38" s="11"/>
      <c r="F38" s="11"/>
      <c r="G38" s="11">
        <f t="shared" si="0"/>
        <v>0</v>
      </c>
      <c r="H38" s="17">
        <f t="shared" si="1"/>
        <v>0</v>
      </c>
      <c r="I38" s="16">
        <f t="shared" si="2"/>
        <v>0</v>
      </c>
      <c r="J38" s="16"/>
    </row>
    <row r="39" spans="1:10" x14ac:dyDescent="0.25">
      <c r="A39" s="1" t="s">
        <v>44</v>
      </c>
      <c r="B39" s="1" t="s">
        <v>45</v>
      </c>
      <c r="C39" s="11">
        <v>71130</v>
      </c>
      <c r="D39" s="11"/>
      <c r="E39" s="11"/>
      <c r="F39" s="11"/>
      <c r="G39" s="11">
        <f t="shared" si="0"/>
        <v>71130</v>
      </c>
      <c r="H39" s="17">
        <f t="shared" si="1"/>
        <v>14.04</v>
      </c>
      <c r="I39" s="16">
        <f t="shared" si="2"/>
        <v>0.125</v>
      </c>
      <c r="J39" s="16">
        <f>ROUND(G39/102100-1,2)</f>
        <v>-0.3</v>
      </c>
    </row>
    <row r="40" spans="1:10" x14ac:dyDescent="0.25">
      <c r="A40" s="1" t="s">
        <v>44</v>
      </c>
      <c r="B40" s="1" t="s">
        <v>47</v>
      </c>
      <c r="C40" s="11"/>
      <c r="D40" s="11"/>
      <c r="E40" s="11"/>
      <c r="F40" s="11">
        <v>44240</v>
      </c>
      <c r="G40" s="11">
        <f t="shared" si="0"/>
        <v>44240</v>
      </c>
      <c r="H40" s="17">
        <f t="shared" si="1"/>
        <v>8.73</v>
      </c>
      <c r="I40" s="16">
        <f t="shared" si="2"/>
        <v>7.6999999999999999E-2</v>
      </c>
      <c r="J40" s="16">
        <f>ROUND(G40/22820-1,2)</f>
        <v>0.94</v>
      </c>
    </row>
    <row r="41" spans="1:10" x14ac:dyDescent="0.25">
      <c r="A41" s="1" t="s">
        <v>44</v>
      </c>
      <c r="B41" s="1" t="s">
        <v>46</v>
      </c>
      <c r="C41" s="11"/>
      <c r="D41" s="11"/>
      <c r="E41" s="11">
        <v>21380</v>
      </c>
      <c r="F41" s="11"/>
      <c r="G41" s="11">
        <f t="shared" si="0"/>
        <v>21380</v>
      </c>
      <c r="H41" s="17">
        <f t="shared" si="1"/>
        <v>4.22</v>
      </c>
      <c r="I41" s="16">
        <f t="shared" si="2"/>
        <v>3.6999999999999998E-2</v>
      </c>
      <c r="J41" s="16">
        <f>ROUND(G41/19680-1,2)</f>
        <v>0.09</v>
      </c>
    </row>
    <row r="42" spans="1:10" x14ac:dyDescent="0.25">
      <c r="A42" s="1" t="s">
        <v>48</v>
      </c>
      <c r="B42" s="1" t="s">
        <v>51</v>
      </c>
      <c r="C42" s="11"/>
      <c r="D42" s="11"/>
      <c r="E42" s="11"/>
      <c r="F42" s="11"/>
      <c r="G42" s="11">
        <f t="shared" si="0"/>
        <v>0</v>
      </c>
      <c r="H42" s="17">
        <f t="shared" si="1"/>
        <v>0</v>
      </c>
      <c r="I42" s="16">
        <f t="shared" si="2"/>
        <v>0</v>
      </c>
      <c r="J42" s="16"/>
    </row>
    <row r="43" spans="1:10" x14ac:dyDescent="0.25">
      <c r="A43" s="1" t="s">
        <v>48</v>
      </c>
      <c r="B43" s="1" t="s">
        <v>49</v>
      </c>
      <c r="C43" s="11"/>
      <c r="D43" s="11"/>
      <c r="E43" s="11"/>
      <c r="F43" s="11"/>
      <c r="G43" s="11">
        <f t="shared" si="0"/>
        <v>0</v>
      </c>
      <c r="H43" s="17">
        <f t="shared" si="1"/>
        <v>0</v>
      </c>
      <c r="I43" s="16">
        <f t="shared" si="2"/>
        <v>0</v>
      </c>
      <c r="J43" s="16">
        <f>ROUND(G43/35-1,2)</f>
        <v>-1</v>
      </c>
    </row>
    <row r="44" spans="1:10" x14ac:dyDescent="0.25">
      <c r="A44" s="1" t="s">
        <v>48</v>
      </c>
      <c r="B44" s="1" t="s">
        <v>86</v>
      </c>
      <c r="C44" s="11"/>
      <c r="D44" s="11"/>
      <c r="E44" s="11"/>
      <c r="F44" s="11"/>
      <c r="G44" s="11">
        <f t="shared" si="0"/>
        <v>0</v>
      </c>
      <c r="H44" s="17">
        <f t="shared" si="1"/>
        <v>0</v>
      </c>
      <c r="I44" s="16">
        <f t="shared" si="2"/>
        <v>0</v>
      </c>
      <c r="J44" s="16"/>
    </row>
    <row r="45" spans="1:10" x14ac:dyDescent="0.25">
      <c r="A45" s="1" t="s">
        <v>48</v>
      </c>
      <c r="B45" s="1" t="s">
        <v>50</v>
      </c>
      <c r="C45" s="11"/>
      <c r="D45" s="11"/>
      <c r="E45" s="11"/>
      <c r="F45" s="11"/>
      <c r="G45" s="11">
        <f t="shared" si="0"/>
        <v>0</v>
      </c>
      <c r="H45" s="17">
        <f t="shared" si="1"/>
        <v>0</v>
      </c>
      <c r="I45" s="16">
        <f t="shared" si="2"/>
        <v>0</v>
      </c>
      <c r="J45" s="16">
        <f>ROUND(G45/329-1,2)</f>
        <v>-1</v>
      </c>
    </row>
    <row r="46" spans="1:10" x14ac:dyDescent="0.25">
      <c r="A46" s="21" t="s">
        <v>12</v>
      </c>
      <c r="B46" s="21"/>
      <c r="C46" s="12">
        <f t="shared" ref="C46:H46" si="3">SUM(C8:C45)</f>
        <v>365470</v>
      </c>
      <c r="D46" s="12">
        <f t="shared" si="3"/>
        <v>4087</v>
      </c>
      <c r="E46" s="12">
        <f t="shared" si="3"/>
        <v>154432</v>
      </c>
      <c r="F46" s="12">
        <f t="shared" si="3"/>
        <v>46940</v>
      </c>
      <c r="G46" s="12">
        <f t="shared" si="3"/>
        <v>570929</v>
      </c>
      <c r="H46" s="15">
        <f t="shared" si="3"/>
        <v>112.69000000000001</v>
      </c>
      <c r="I46" s="18"/>
      <c r="J46" s="18"/>
    </row>
    <row r="47" spans="1:10" x14ac:dyDescent="0.25">
      <c r="A47" s="21" t="s">
        <v>14</v>
      </c>
      <c r="B47" s="21"/>
      <c r="C47" s="13">
        <f>ROUND(C46/G46,2)</f>
        <v>0.64</v>
      </c>
      <c r="D47" s="13">
        <f>ROUND(D46/G46,2)</f>
        <v>0.01</v>
      </c>
      <c r="E47" s="13">
        <f>ROUND(E46/G46,2)</f>
        <v>0.27</v>
      </c>
      <c r="F47" s="13">
        <f>ROUND(F46/G46,2)</f>
        <v>0.08</v>
      </c>
      <c r="G47" s="14"/>
      <c r="H47" s="14"/>
      <c r="I47" s="18"/>
      <c r="J47" s="18"/>
    </row>
    <row r="48" spans="1:10" x14ac:dyDescent="0.25">
      <c r="A48" s="2" t="s">
        <v>52</v>
      </c>
      <c r="B48" s="2"/>
      <c r="C48" s="14"/>
      <c r="D48" s="14"/>
      <c r="E48" s="14"/>
      <c r="F48" s="14"/>
      <c r="G48" s="14"/>
      <c r="H48" s="14"/>
      <c r="I48" s="18"/>
      <c r="J48" s="18"/>
    </row>
    <row r="49" spans="1:10" x14ac:dyDescent="0.25">
      <c r="C49" s="9"/>
      <c r="D49" s="9"/>
      <c r="E49" s="9"/>
      <c r="F49" s="9"/>
      <c r="G49" s="9"/>
      <c r="H49" s="9"/>
      <c r="I49" s="10"/>
      <c r="J49" s="10"/>
    </row>
    <row r="50" spans="1:10" x14ac:dyDescent="0.25">
      <c r="C50" s="9"/>
      <c r="D50" s="9"/>
      <c r="E50" s="9"/>
      <c r="F50" s="9"/>
      <c r="G50" s="9"/>
      <c r="H50" s="9"/>
      <c r="I50" s="10"/>
      <c r="J50" s="10"/>
    </row>
    <row r="51" spans="1:10" x14ac:dyDescent="0.25">
      <c r="C51" s="9"/>
      <c r="D51" s="9"/>
      <c r="E51" s="9"/>
      <c r="F51" s="9"/>
      <c r="G51" s="9"/>
      <c r="H51" s="9"/>
      <c r="I51" s="10"/>
      <c r="J51" s="10"/>
    </row>
    <row r="52" spans="1:10" x14ac:dyDescent="0.25">
      <c r="A52" s="21" t="s">
        <v>53</v>
      </c>
      <c r="B52" s="21"/>
      <c r="C52" s="12" t="s">
        <v>8</v>
      </c>
      <c r="D52" s="12" t="s">
        <v>9</v>
      </c>
      <c r="E52" s="12" t="s">
        <v>10</v>
      </c>
      <c r="F52" s="12" t="s">
        <v>11</v>
      </c>
      <c r="G52" s="12" t="s">
        <v>12</v>
      </c>
      <c r="H52" s="15" t="s">
        <v>13</v>
      </c>
      <c r="I52" s="18"/>
      <c r="J52" s="18"/>
    </row>
    <row r="53" spans="1:10" x14ac:dyDescent="0.25">
      <c r="A53" s="20" t="s">
        <v>54</v>
      </c>
      <c r="B53" s="20"/>
      <c r="C53" s="11">
        <v>294340</v>
      </c>
      <c r="D53" s="11">
        <v>4087</v>
      </c>
      <c r="E53" s="11">
        <v>133052</v>
      </c>
      <c r="F53" s="11">
        <v>2700</v>
      </c>
      <c r="G53" s="11">
        <f>SUM(C53:F53)</f>
        <v>434179</v>
      </c>
      <c r="H53" s="17">
        <f>ROUND(G53/5067,2)</f>
        <v>85.69</v>
      </c>
      <c r="I53" s="10"/>
      <c r="J53" s="10"/>
    </row>
    <row r="54" spans="1:10" x14ac:dyDescent="0.25">
      <c r="A54" s="20" t="s">
        <v>55</v>
      </c>
      <c r="B54" s="20"/>
      <c r="C54" s="11">
        <v>71130</v>
      </c>
      <c r="D54" s="11">
        <v>0</v>
      </c>
      <c r="E54" s="11">
        <v>21380</v>
      </c>
      <c r="F54" s="11">
        <v>44240</v>
      </c>
      <c r="G54" s="11">
        <f>SUM(C54:F54)</f>
        <v>136750</v>
      </c>
      <c r="H54" s="17">
        <f>ROUND(G54/5067,2)</f>
        <v>26.99</v>
      </c>
      <c r="I54" s="10"/>
      <c r="J54" s="10"/>
    </row>
    <row r="55" spans="1:10" x14ac:dyDescent="0.25">
      <c r="A55" s="20" t="s">
        <v>56</v>
      </c>
      <c r="B55" s="20"/>
      <c r="C55" s="11">
        <v>0</v>
      </c>
      <c r="D55" s="11">
        <v>0</v>
      </c>
      <c r="E55" s="11">
        <v>0</v>
      </c>
      <c r="F55" s="11">
        <v>0</v>
      </c>
      <c r="G55" s="11">
        <f>SUM(C55:F55)</f>
        <v>0</v>
      </c>
      <c r="H55" s="17">
        <f>ROUND(G55/5067,2)</f>
        <v>0</v>
      </c>
      <c r="I55" s="10"/>
      <c r="J55" s="10"/>
    </row>
    <row r="56" spans="1:10" x14ac:dyDescent="0.25">
      <c r="C56" s="9"/>
      <c r="D56" s="9"/>
      <c r="E56" s="9"/>
      <c r="F56" s="9"/>
      <c r="G56" s="9"/>
      <c r="H56" s="9"/>
      <c r="I56" s="10"/>
      <c r="J56" s="10"/>
    </row>
    <row r="57" spans="1:10" x14ac:dyDescent="0.25">
      <c r="C57" s="9"/>
      <c r="D57" s="9"/>
      <c r="E57" s="9"/>
      <c r="F57" s="9"/>
      <c r="G57" s="9"/>
      <c r="H57" s="9"/>
      <c r="I57" s="10"/>
      <c r="J57" s="10"/>
    </row>
    <row r="58" spans="1:10" x14ac:dyDescent="0.25">
      <c r="C58" s="9"/>
      <c r="D58" s="9"/>
      <c r="E58" s="9"/>
      <c r="F58" s="9"/>
      <c r="G58" s="9"/>
      <c r="H58" s="9"/>
      <c r="I58" s="10"/>
      <c r="J58" s="10"/>
    </row>
    <row r="59" spans="1:10" x14ac:dyDescent="0.25">
      <c r="C59" s="9"/>
      <c r="D59" s="9"/>
      <c r="E59" s="9"/>
      <c r="F59" s="9"/>
      <c r="G59" s="9"/>
      <c r="H59" s="9"/>
      <c r="I59" s="10"/>
      <c r="J59" s="10"/>
    </row>
    <row r="60" spans="1:10" x14ac:dyDescent="0.25">
      <c r="A60" s="21" t="s">
        <v>57</v>
      </c>
      <c r="B60" s="21"/>
      <c r="C60" s="15" t="s">
        <v>2</v>
      </c>
      <c r="D60" s="15">
        <v>2023</v>
      </c>
      <c r="E60" s="15" t="s">
        <v>59</v>
      </c>
      <c r="F60" s="14"/>
      <c r="G60" s="15" t="s">
        <v>60</v>
      </c>
      <c r="H60" s="15" t="s">
        <v>2</v>
      </c>
      <c r="I60" s="13" t="s">
        <v>61</v>
      </c>
      <c r="J60" s="13" t="s">
        <v>59</v>
      </c>
    </row>
    <row r="61" spans="1:10" x14ac:dyDescent="0.25">
      <c r="A61" s="20" t="s">
        <v>58</v>
      </c>
      <c r="B61" s="20"/>
      <c r="C61" s="16">
        <f>ROUND(0.8557, 4)</f>
        <v>0.85570000000000002</v>
      </c>
      <c r="D61" s="16">
        <f>ROUND(0.84, 4)</f>
        <v>0.84</v>
      </c>
      <c r="E61" s="16">
        <f>ROUND(0.777, 4)</f>
        <v>0.77700000000000002</v>
      </c>
      <c r="F61" s="9"/>
      <c r="G61" s="15" t="s">
        <v>62</v>
      </c>
      <c r="H61" s="22" t="s">
        <v>63</v>
      </c>
      <c r="I61" s="24" t="s">
        <v>64</v>
      </c>
      <c r="J61" s="24" t="s">
        <v>65</v>
      </c>
    </row>
    <row r="62" spans="1:10" x14ac:dyDescent="0.25">
      <c r="A62" s="20" t="s">
        <v>66</v>
      </c>
      <c r="B62" s="20"/>
      <c r="C62" s="16">
        <f>ROUND(0.8439, 4)</f>
        <v>0.84389999999999998</v>
      </c>
      <c r="D62" s="16">
        <f>ROUND(0.8097, 4)</f>
        <v>0.80969999999999998</v>
      </c>
      <c r="E62" s="16">
        <f>ROUND(0.7608, 4)</f>
        <v>0.76080000000000003</v>
      </c>
      <c r="F62" s="9"/>
      <c r="G62" s="15" t="s">
        <v>67</v>
      </c>
      <c r="H62" s="23"/>
      <c r="I62" s="25"/>
      <c r="J62" s="25"/>
    </row>
    <row r="63" spans="1:10" x14ac:dyDescent="0.25">
      <c r="C63" s="9"/>
      <c r="D63" s="9"/>
      <c r="E63" s="9"/>
      <c r="F63" s="9"/>
      <c r="G63" s="9"/>
      <c r="H63" s="9"/>
      <c r="I63" s="10"/>
      <c r="J63" s="10"/>
    </row>
    <row r="64" spans="1:10" x14ac:dyDescent="0.25">
      <c r="C64" s="9"/>
      <c r="D64" s="9"/>
      <c r="E64" s="9"/>
      <c r="F64" s="9"/>
      <c r="G64" s="9"/>
      <c r="H64" s="9"/>
      <c r="I64" s="10"/>
      <c r="J64" s="10"/>
    </row>
    <row r="65" spans="1:10" x14ac:dyDescent="0.25">
      <c r="C65" s="9"/>
      <c r="D65" s="9"/>
      <c r="E65" s="9"/>
      <c r="F65" s="9"/>
      <c r="G65" s="9"/>
      <c r="H65" s="9"/>
      <c r="I65" s="10"/>
      <c r="J65" s="10"/>
    </row>
    <row r="66" spans="1:10" x14ac:dyDescent="0.25">
      <c r="A66" s="21" t="s">
        <v>68</v>
      </c>
      <c r="B66" s="21"/>
      <c r="C66" s="15" t="s">
        <v>2</v>
      </c>
      <c r="D66" s="15" t="s">
        <v>235</v>
      </c>
      <c r="E66" s="15" t="s">
        <v>70</v>
      </c>
      <c r="F66" s="15" t="s">
        <v>71</v>
      </c>
      <c r="G66" s="15" t="s">
        <v>72</v>
      </c>
      <c r="H66" s="14"/>
      <c r="I66" s="18"/>
      <c r="J66" s="18"/>
    </row>
    <row r="67" spans="1:10" x14ac:dyDescent="0.25">
      <c r="A67" s="20" t="s">
        <v>73</v>
      </c>
      <c r="B67" s="20"/>
      <c r="C67" s="17">
        <v>14.04</v>
      </c>
      <c r="D67" s="17">
        <v>51.35</v>
      </c>
      <c r="E67" s="17">
        <v>81.84</v>
      </c>
      <c r="F67" s="17">
        <v>48</v>
      </c>
      <c r="G67" s="17">
        <f>12/4*C67</f>
        <v>42.12</v>
      </c>
      <c r="H67" s="9"/>
      <c r="I67" s="10"/>
      <c r="J67" s="10"/>
    </row>
    <row r="68" spans="1:10" x14ac:dyDescent="0.25">
      <c r="A68" s="20" t="s">
        <v>74</v>
      </c>
      <c r="B68" s="20"/>
      <c r="C68" s="17">
        <v>21.73</v>
      </c>
      <c r="D68" s="17">
        <v>69.09</v>
      </c>
      <c r="E68" s="17">
        <v>55.63</v>
      </c>
      <c r="F68" s="17">
        <v>55.33</v>
      </c>
      <c r="G68" s="17">
        <f>12/4*C68</f>
        <v>65.19</v>
      </c>
      <c r="H68" s="9"/>
      <c r="I68" s="10"/>
      <c r="J68" s="10"/>
    </row>
    <row r="69" spans="1:10" x14ac:dyDescent="0.25">
      <c r="A69" s="20" t="s">
        <v>75</v>
      </c>
      <c r="B69" s="20"/>
      <c r="C69" s="1">
        <v>85.69</v>
      </c>
      <c r="D69" s="1">
        <v>314.43</v>
      </c>
      <c r="E69" s="1">
        <v>257.88</v>
      </c>
      <c r="F69" s="1">
        <v>242.78</v>
      </c>
      <c r="G69" s="1">
        <f>12/4*C69</f>
        <v>257.07</v>
      </c>
    </row>
    <row r="70" spans="1:10" x14ac:dyDescent="0.25">
      <c r="A70" s="20" t="s">
        <v>76</v>
      </c>
      <c r="B70" s="20"/>
      <c r="C70" s="1">
        <v>26.99</v>
      </c>
      <c r="D70" s="1">
        <v>69.150000000000006</v>
      </c>
      <c r="E70" s="1">
        <v>103.14</v>
      </c>
      <c r="F70" s="1">
        <v>68.31</v>
      </c>
      <c r="G70" s="1">
        <f>12/4*C70</f>
        <v>80.97</v>
      </c>
    </row>
    <row r="73" spans="1:10" x14ac:dyDescent="0.25">
      <c r="A73" s="19" t="s">
        <v>60</v>
      </c>
      <c r="B73" s="26"/>
    </row>
    <row r="74" spans="1:10" x14ac:dyDescent="0.25">
      <c r="A74" s="3" t="s">
        <v>77</v>
      </c>
      <c r="B74" s="1" t="s">
        <v>236</v>
      </c>
    </row>
    <row r="75" spans="1:10" x14ac:dyDescent="0.25">
      <c r="A75" s="3" t="s">
        <v>70</v>
      </c>
      <c r="B75" s="1" t="s">
        <v>79</v>
      </c>
    </row>
    <row r="76" spans="1:10" x14ac:dyDescent="0.25">
      <c r="A76" s="3" t="s">
        <v>71</v>
      </c>
      <c r="B76" s="1" t="s">
        <v>80</v>
      </c>
    </row>
    <row r="77" spans="1:10" x14ac:dyDescent="0.25">
      <c r="A77" s="3" t="s">
        <v>72</v>
      </c>
      <c r="B77" s="1" t="s">
        <v>81</v>
      </c>
    </row>
  </sheetData>
  <mergeCells count="19">
    <mergeCell ref="A68:B68"/>
    <mergeCell ref="A69:B69"/>
    <mergeCell ref="A70:B70"/>
    <mergeCell ref="A73:B73"/>
    <mergeCell ref="I61:I62"/>
    <mergeCell ref="J61:J62"/>
    <mergeCell ref="A62:B62"/>
    <mergeCell ref="A66:B66"/>
    <mergeCell ref="A67:B67"/>
    <mergeCell ref="A54:B54"/>
    <mergeCell ref="A55:B55"/>
    <mergeCell ref="A60:B60"/>
    <mergeCell ref="A61:B61"/>
    <mergeCell ref="H61:H62"/>
    <mergeCell ref="C7:G7"/>
    <mergeCell ref="A46:B46"/>
    <mergeCell ref="A47:B47"/>
    <mergeCell ref="A52:B52"/>
    <mergeCell ref="A53:B53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2:J79"/>
  <sheetViews>
    <sheetView workbookViewId="0">
      <selection activeCell="C9" sqref="C9:J79"/>
    </sheetView>
  </sheetViews>
  <sheetFormatPr defaultRowHeight="15" x14ac:dyDescent="0.25"/>
  <cols>
    <col min="1" max="1" width="38.85546875" bestFit="1" customWidth="1"/>
    <col min="2" max="2" width="79" bestFit="1" customWidth="1"/>
    <col min="3" max="3" width="14" bestFit="1" customWidth="1"/>
    <col min="4" max="4" width="23.42578125" bestFit="1" customWidth="1"/>
    <col min="5" max="5" width="16.42578125" bestFit="1" customWidth="1"/>
    <col min="6" max="6" width="10.5703125" bestFit="1" customWidth="1"/>
    <col min="7" max="7" width="68.28515625" bestFit="1" customWidth="1"/>
    <col min="8" max="9" width="20" bestFit="1" customWidth="1"/>
    <col min="10" max="10" width="30.5703125" bestFit="1" customWidth="1"/>
  </cols>
  <sheetData>
    <row r="2" spans="1:10" ht="18.75" x14ac:dyDescent="0.3">
      <c r="A2" s="3" t="s">
        <v>0</v>
      </c>
      <c r="B2" s="4" t="s">
        <v>237</v>
      </c>
    </row>
    <row r="3" spans="1:10" x14ac:dyDescent="0.25">
      <c r="A3" s="3" t="s">
        <v>2</v>
      </c>
      <c r="B3" s="1" t="s">
        <v>3</v>
      </c>
    </row>
    <row r="4" spans="1:10" x14ac:dyDescent="0.25">
      <c r="A4" s="3" t="s">
        <v>4</v>
      </c>
      <c r="B4" s="1">
        <v>1952</v>
      </c>
    </row>
    <row r="7" spans="1:10" x14ac:dyDescent="0.25">
      <c r="C7" s="19" t="s">
        <v>5</v>
      </c>
      <c r="D7" s="20"/>
      <c r="E7" s="20"/>
      <c r="F7" s="20"/>
      <c r="G7" s="20"/>
    </row>
    <row r="8" spans="1:10" x14ac:dyDescent="0.25">
      <c r="A8" s="3" t="s">
        <v>6</v>
      </c>
      <c r="B8" s="3" t="s">
        <v>7</v>
      </c>
      <c r="C8" s="3" t="s">
        <v>8</v>
      </c>
      <c r="D8" s="3" t="s">
        <v>9</v>
      </c>
      <c r="E8" s="3" t="s">
        <v>10</v>
      </c>
      <c r="F8" s="3" t="s">
        <v>11</v>
      </c>
      <c r="G8" s="3" t="s">
        <v>12</v>
      </c>
      <c r="H8" s="3" t="s">
        <v>13</v>
      </c>
      <c r="I8" s="3" t="s">
        <v>14</v>
      </c>
      <c r="J8" s="3" t="s">
        <v>15</v>
      </c>
    </row>
    <row r="9" spans="1:10" x14ac:dyDescent="0.25">
      <c r="A9" s="1" t="s">
        <v>16</v>
      </c>
      <c r="B9" s="1" t="s">
        <v>17</v>
      </c>
      <c r="C9" s="11"/>
      <c r="D9" s="11"/>
      <c r="E9" s="11">
        <v>16</v>
      </c>
      <c r="F9" s="11"/>
      <c r="G9" s="11">
        <f t="shared" ref="G9:G36" si="0">SUM(C9:F9)</f>
        <v>16</v>
      </c>
      <c r="H9" s="17">
        <f t="shared" ref="H9:H36" si="1">ROUND(G9/1952,2)</f>
        <v>0.01</v>
      </c>
      <c r="I9" s="16">
        <f t="shared" ref="I9:I36" si="2">ROUND(G9/$G$37,3)</f>
        <v>0</v>
      </c>
      <c r="J9" s="16"/>
    </row>
    <row r="10" spans="1:10" x14ac:dyDescent="0.25">
      <c r="A10" s="1" t="s">
        <v>16</v>
      </c>
      <c r="B10" s="1" t="s">
        <v>19</v>
      </c>
      <c r="C10" s="11">
        <v>21560</v>
      </c>
      <c r="D10" s="11"/>
      <c r="E10" s="11">
        <v>2418</v>
      </c>
      <c r="F10" s="11"/>
      <c r="G10" s="11">
        <f t="shared" si="0"/>
        <v>23978</v>
      </c>
      <c r="H10" s="17">
        <f t="shared" si="1"/>
        <v>12.28</v>
      </c>
      <c r="I10" s="16">
        <f t="shared" si="2"/>
        <v>9.7000000000000003E-2</v>
      </c>
      <c r="J10" s="16">
        <f>ROUND(G10/18277.2-1,2)</f>
        <v>0.31</v>
      </c>
    </row>
    <row r="11" spans="1:10" x14ac:dyDescent="0.25">
      <c r="A11" s="1" t="s">
        <v>16</v>
      </c>
      <c r="B11" s="1" t="s">
        <v>20</v>
      </c>
      <c r="C11" s="11">
        <v>22960</v>
      </c>
      <c r="D11" s="11"/>
      <c r="E11" s="11"/>
      <c r="F11" s="11"/>
      <c r="G11" s="11">
        <f t="shared" si="0"/>
        <v>22960</v>
      </c>
      <c r="H11" s="17">
        <f t="shared" si="1"/>
        <v>11.76</v>
      </c>
      <c r="I11" s="16">
        <f t="shared" si="2"/>
        <v>9.2999999999999999E-2</v>
      </c>
      <c r="J11" s="16">
        <f>ROUND(G11/27140-1,2)</f>
        <v>-0.15</v>
      </c>
    </row>
    <row r="12" spans="1:10" x14ac:dyDescent="0.25">
      <c r="A12" s="1" t="s">
        <v>16</v>
      </c>
      <c r="B12" s="1" t="s">
        <v>21</v>
      </c>
      <c r="C12" s="11"/>
      <c r="D12" s="11"/>
      <c r="E12" s="11">
        <v>60</v>
      </c>
      <c r="F12" s="11"/>
      <c r="G12" s="11">
        <f t="shared" si="0"/>
        <v>60</v>
      </c>
      <c r="H12" s="17">
        <f t="shared" si="1"/>
        <v>0.03</v>
      </c>
      <c r="I12" s="16">
        <f t="shared" si="2"/>
        <v>0</v>
      </c>
      <c r="J12" s="16">
        <f>ROUND(G12/37.53-1,2)</f>
        <v>0.6</v>
      </c>
    </row>
    <row r="13" spans="1:10" x14ac:dyDescent="0.25">
      <c r="A13" s="1" t="s">
        <v>16</v>
      </c>
      <c r="B13" s="1" t="s">
        <v>22</v>
      </c>
      <c r="C13" s="11"/>
      <c r="D13" s="11"/>
      <c r="E13" s="11">
        <v>350</v>
      </c>
      <c r="F13" s="11"/>
      <c r="G13" s="11">
        <f t="shared" si="0"/>
        <v>350</v>
      </c>
      <c r="H13" s="17">
        <f t="shared" si="1"/>
        <v>0.18</v>
      </c>
      <c r="I13" s="16">
        <f t="shared" si="2"/>
        <v>1E-3</v>
      </c>
      <c r="J13" s="16"/>
    </row>
    <row r="14" spans="1:10" x14ac:dyDescent="0.25">
      <c r="A14" s="1" t="s">
        <v>16</v>
      </c>
      <c r="B14" s="1" t="s">
        <v>23</v>
      </c>
      <c r="C14" s="11"/>
      <c r="D14" s="11"/>
      <c r="E14" s="11">
        <v>16686</v>
      </c>
      <c r="F14" s="11"/>
      <c r="G14" s="11">
        <f t="shared" si="0"/>
        <v>16686</v>
      </c>
      <c r="H14" s="17">
        <f t="shared" si="1"/>
        <v>8.5500000000000007</v>
      </c>
      <c r="I14" s="16">
        <f t="shared" si="2"/>
        <v>6.8000000000000005E-2</v>
      </c>
      <c r="J14" s="16">
        <f>ROUND(G14/18599.69-1,2)</f>
        <v>-0.1</v>
      </c>
    </row>
    <row r="15" spans="1:10" x14ac:dyDescent="0.25">
      <c r="A15" s="1" t="s">
        <v>16</v>
      </c>
      <c r="B15" s="1" t="s">
        <v>24</v>
      </c>
      <c r="C15" s="11">
        <v>25350</v>
      </c>
      <c r="D15" s="11"/>
      <c r="E15" s="11">
        <v>7899</v>
      </c>
      <c r="F15" s="11"/>
      <c r="G15" s="11">
        <f t="shared" si="0"/>
        <v>33249</v>
      </c>
      <c r="H15" s="17">
        <f t="shared" si="1"/>
        <v>17.03</v>
      </c>
      <c r="I15" s="16">
        <f t="shared" si="2"/>
        <v>0.13500000000000001</v>
      </c>
      <c r="J15" s="16">
        <f>ROUND(G15/21549.48-1,2)</f>
        <v>0.54</v>
      </c>
    </row>
    <row r="16" spans="1:10" x14ac:dyDescent="0.25">
      <c r="A16" s="1" t="s">
        <v>16</v>
      </c>
      <c r="B16" s="1" t="s">
        <v>25</v>
      </c>
      <c r="C16" s="11"/>
      <c r="D16" s="11"/>
      <c r="E16" s="11">
        <v>1796</v>
      </c>
      <c r="F16" s="11"/>
      <c r="G16" s="11">
        <f t="shared" si="0"/>
        <v>1796</v>
      </c>
      <c r="H16" s="17">
        <f t="shared" si="1"/>
        <v>0.92</v>
      </c>
      <c r="I16" s="16">
        <f t="shared" si="2"/>
        <v>7.0000000000000001E-3</v>
      </c>
      <c r="J16" s="16"/>
    </row>
    <row r="17" spans="1:10" x14ac:dyDescent="0.25">
      <c r="A17" s="1" t="s">
        <v>16</v>
      </c>
      <c r="B17" s="1" t="s">
        <v>26</v>
      </c>
      <c r="C17" s="11">
        <v>24630</v>
      </c>
      <c r="D17" s="11"/>
      <c r="E17" s="11"/>
      <c r="F17" s="11"/>
      <c r="G17" s="11">
        <f t="shared" si="0"/>
        <v>24630</v>
      </c>
      <c r="H17" s="17">
        <f t="shared" si="1"/>
        <v>12.62</v>
      </c>
      <c r="I17" s="16">
        <f t="shared" si="2"/>
        <v>0.1</v>
      </c>
      <c r="J17" s="16">
        <f>ROUND(G17/18460-1,2)</f>
        <v>0.33</v>
      </c>
    </row>
    <row r="18" spans="1:10" x14ac:dyDescent="0.25">
      <c r="A18" s="1" t="s">
        <v>16</v>
      </c>
      <c r="B18" s="1" t="s">
        <v>27</v>
      </c>
      <c r="C18" s="11"/>
      <c r="D18" s="11"/>
      <c r="E18" s="11">
        <v>230</v>
      </c>
      <c r="F18" s="11"/>
      <c r="G18" s="11">
        <f t="shared" si="0"/>
        <v>230</v>
      </c>
      <c r="H18" s="17">
        <f t="shared" si="1"/>
        <v>0.12</v>
      </c>
      <c r="I18" s="16">
        <f t="shared" si="2"/>
        <v>1E-3</v>
      </c>
      <c r="J18" s="16"/>
    </row>
    <row r="19" spans="1:10" x14ac:dyDescent="0.25">
      <c r="A19" s="1" t="s">
        <v>16</v>
      </c>
      <c r="B19" s="1" t="s">
        <v>28</v>
      </c>
      <c r="C19" s="11"/>
      <c r="D19" s="11"/>
      <c r="E19" s="11">
        <v>112</v>
      </c>
      <c r="F19" s="11"/>
      <c r="G19" s="11">
        <f t="shared" si="0"/>
        <v>112</v>
      </c>
      <c r="H19" s="17">
        <f t="shared" si="1"/>
        <v>0.06</v>
      </c>
      <c r="I19" s="16">
        <f t="shared" si="2"/>
        <v>0</v>
      </c>
      <c r="J19" s="16"/>
    </row>
    <row r="20" spans="1:10" x14ac:dyDescent="0.25">
      <c r="A20" s="1" t="s">
        <v>16</v>
      </c>
      <c r="B20" s="1" t="s">
        <v>29</v>
      </c>
      <c r="C20" s="11"/>
      <c r="D20" s="11"/>
      <c r="E20" s="11">
        <v>90</v>
      </c>
      <c r="F20" s="11"/>
      <c r="G20" s="11">
        <f t="shared" si="0"/>
        <v>90</v>
      </c>
      <c r="H20" s="17">
        <f t="shared" si="1"/>
        <v>0.05</v>
      </c>
      <c r="I20" s="16">
        <f t="shared" si="2"/>
        <v>0</v>
      </c>
      <c r="J20" s="16">
        <f>ROUND(G20/64.47-1,2)</f>
        <v>0.4</v>
      </c>
    </row>
    <row r="21" spans="1:10" x14ac:dyDescent="0.25">
      <c r="A21" s="1" t="s">
        <v>16</v>
      </c>
      <c r="B21" s="1" t="s">
        <v>31</v>
      </c>
      <c r="C21" s="11"/>
      <c r="D21" s="11"/>
      <c r="E21" s="11">
        <v>249</v>
      </c>
      <c r="F21" s="11"/>
      <c r="G21" s="11">
        <f t="shared" si="0"/>
        <v>249</v>
      </c>
      <c r="H21" s="17">
        <f t="shared" si="1"/>
        <v>0.13</v>
      </c>
      <c r="I21" s="16">
        <f t="shared" si="2"/>
        <v>1E-3</v>
      </c>
      <c r="J21" s="16">
        <f>ROUND(G21/357.7-1,2)</f>
        <v>-0.3</v>
      </c>
    </row>
    <row r="22" spans="1:10" x14ac:dyDescent="0.25">
      <c r="A22" s="1" t="s">
        <v>16</v>
      </c>
      <c r="B22" s="1" t="s">
        <v>32</v>
      </c>
      <c r="C22" s="11"/>
      <c r="D22" s="11"/>
      <c r="E22" s="11">
        <v>46</v>
      </c>
      <c r="F22" s="11"/>
      <c r="G22" s="11">
        <f t="shared" si="0"/>
        <v>46</v>
      </c>
      <c r="H22" s="17">
        <f t="shared" si="1"/>
        <v>0.02</v>
      </c>
      <c r="I22" s="16">
        <f t="shared" si="2"/>
        <v>0</v>
      </c>
      <c r="J22" s="16"/>
    </row>
    <row r="23" spans="1:10" x14ac:dyDescent="0.25">
      <c r="A23" s="1" t="s">
        <v>16</v>
      </c>
      <c r="B23" s="1" t="s">
        <v>34</v>
      </c>
      <c r="C23" s="11"/>
      <c r="D23" s="11"/>
      <c r="E23" s="11">
        <v>183</v>
      </c>
      <c r="F23" s="11"/>
      <c r="G23" s="11">
        <f t="shared" si="0"/>
        <v>183</v>
      </c>
      <c r="H23" s="17">
        <f t="shared" si="1"/>
        <v>0.09</v>
      </c>
      <c r="I23" s="16">
        <f t="shared" si="2"/>
        <v>1E-3</v>
      </c>
      <c r="J23" s="16"/>
    </row>
    <row r="24" spans="1:10" x14ac:dyDescent="0.25">
      <c r="A24" s="1" t="s">
        <v>16</v>
      </c>
      <c r="B24" s="1" t="s">
        <v>35</v>
      </c>
      <c r="C24" s="11"/>
      <c r="D24" s="11"/>
      <c r="E24" s="11">
        <v>16595</v>
      </c>
      <c r="F24" s="11"/>
      <c r="G24" s="11">
        <f t="shared" si="0"/>
        <v>16595</v>
      </c>
      <c r="H24" s="17">
        <f t="shared" si="1"/>
        <v>8.5</v>
      </c>
      <c r="I24" s="16">
        <f t="shared" si="2"/>
        <v>6.7000000000000004E-2</v>
      </c>
      <c r="J24" s="16">
        <f>ROUND(G24/18741.86-1,2)</f>
        <v>-0.11</v>
      </c>
    </row>
    <row r="25" spans="1:10" x14ac:dyDescent="0.25">
      <c r="A25" s="1" t="s">
        <v>16</v>
      </c>
      <c r="B25" s="1" t="s">
        <v>36</v>
      </c>
      <c r="C25" s="11"/>
      <c r="D25" s="11"/>
      <c r="E25" s="11">
        <v>1104</v>
      </c>
      <c r="F25" s="11"/>
      <c r="G25" s="11">
        <f t="shared" si="0"/>
        <v>1104</v>
      </c>
      <c r="H25" s="17">
        <f t="shared" si="1"/>
        <v>0.56999999999999995</v>
      </c>
      <c r="I25" s="16">
        <f t="shared" si="2"/>
        <v>4.0000000000000001E-3</v>
      </c>
      <c r="J25" s="16">
        <f>ROUND(G25/1637.7-1,2)</f>
        <v>-0.33</v>
      </c>
    </row>
    <row r="26" spans="1:10" x14ac:dyDescent="0.25">
      <c r="A26" s="1" t="s">
        <v>16</v>
      </c>
      <c r="B26" s="1" t="s">
        <v>37</v>
      </c>
      <c r="C26" s="11"/>
      <c r="D26" s="11"/>
      <c r="E26" s="11">
        <v>4759</v>
      </c>
      <c r="F26" s="11"/>
      <c r="G26" s="11">
        <f t="shared" si="0"/>
        <v>4759</v>
      </c>
      <c r="H26" s="17">
        <f t="shared" si="1"/>
        <v>2.44</v>
      </c>
      <c r="I26" s="16">
        <f t="shared" si="2"/>
        <v>1.9E-2</v>
      </c>
      <c r="J26" s="16">
        <f>ROUND(G26/5119.45-1,2)</f>
        <v>-7.0000000000000007E-2</v>
      </c>
    </row>
    <row r="27" spans="1:10" x14ac:dyDescent="0.25">
      <c r="A27" s="1" t="s">
        <v>16</v>
      </c>
      <c r="B27" s="1" t="s">
        <v>38</v>
      </c>
      <c r="C27" s="11"/>
      <c r="D27" s="11"/>
      <c r="E27" s="11">
        <v>5286</v>
      </c>
      <c r="F27" s="11"/>
      <c r="G27" s="11">
        <f t="shared" si="0"/>
        <v>5286</v>
      </c>
      <c r="H27" s="17">
        <f t="shared" si="1"/>
        <v>2.71</v>
      </c>
      <c r="I27" s="16">
        <f t="shared" si="2"/>
        <v>2.1000000000000001E-2</v>
      </c>
      <c r="J27" s="16">
        <f>ROUND(G27/5441.31-1,2)</f>
        <v>-0.03</v>
      </c>
    </row>
    <row r="28" spans="1:10" x14ac:dyDescent="0.25">
      <c r="A28" s="1" t="s">
        <v>16</v>
      </c>
      <c r="B28" s="1" t="s">
        <v>40</v>
      </c>
      <c r="C28" s="11"/>
      <c r="D28" s="11"/>
      <c r="E28" s="11"/>
      <c r="F28" s="11"/>
      <c r="G28" s="11">
        <f t="shared" si="0"/>
        <v>0</v>
      </c>
      <c r="H28" s="17">
        <f t="shared" si="1"/>
        <v>0</v>
      </c>
      <c r="I28" s="16">
        <f t="shared" si="2"/>
        <v>0</v>
      </c>
      <c r="J28" s="16">
        <f>ROUND(G28/1021.43-1,2)</f>
        <v>-1</v>
      </c>
    </row>
    <row r="29" spans="1:10" x14ac:dyDescent="0.25">
      <c r="A29" s="1" t="s">
        <v>16</v>
      </c>
      <c r="B29" s="1" t="s">
        <v>42</v>
      </c>
      <c r="C29" s="11"/>
      <c r="D29" s="11"/>
      <c r="E29" s="11"/>
      <c r="F29" s="11"/>
      <c r="G29" s="11">
        <f t="shared" si="0"/>
        <v>0</v>
      </c>
      <c r="H29" s="17">
        <f t="shared" si="1"/>
        <v>0</v>
      </c>
      <c r="I29" s="16">
        <f t="shared" si="2"/>
        <v>0</v>
      </c>
      <c r="J29" s="16">
        <f>ROUND(G29/2076.33-1,2)</f>
        <v>-1</v>
      </c>
    </row>
    <row r="30" spans="1:10" x14ac:dyDescent="0.25">
      <c r="A30" s="1" t="s">
        <v>16</v>
      </c>
      <c r="B30" s="1" t="s">
        <v>41</v>
      </c>
      <c r="C30" s="11"/>
      <c r="D30" s="11"/>
      <c r="E30" s="11"/>
      <c r="F30" s="11"/>
      <c r="G30" s="11">
        <f t="shared" si="0"/>
        <v>0</v>
      </c>
      <c r="H30" s="17">
        <f t="shared" si="1"/>
        <v>0</v>
      </c>
      <c r="I30" s="16">
        <f t="shared" si="2"/>
        <v>0</v>
      </c>
      <c r="J30" s="16">
        <f>ROUND(G30/747.07-1,2)</f>
        <v>-1</v>
      </c>
    </row>
    <row r="31" spans="1:10" x14ac:dyDescent="0.25">
      <c r="A31" s="1" t="s">
        <v>16</v>
      </c>
      <c r="B31" s="1" t="s">
        <v>39</v>
      </c>
      <c r="C31" s="11"/>
      <c r="D31" s="11"/>
      <c r="E31" s="11"/>
      <c r="F31" s="11"/>
      <c r="G31" s="11">
        <f t="shared" si="0"/>
        <v>0</v>
      </c>
      <c r="H31" s="17">
        <f t="shared" si="1"/>
        <v>0</v>
      </c>
      <c r="I31" s="16">
        <f t="shared" si="2"/>
        <v>0</v>
      </c>
      <c r="J31" s="16"/>
    </row>
    <row r="32" spans="1:10" x14ac:dyDescent="0.25">
      <c r="A32" s="1" t="s">
        <v>16</v>
      </c>
      <c r="B32" s="1" t="s">
        <v>30</v>
      </c>
      <c r="C32" s="11"/>
      <c r="D32" s="11"/>
      <c r="E32" s="11"/>
      <c r="F32" s="11"/>
      <c r="G32" s="11">
        <f t="shared" si="0"/>
        <v>0</v>
      </c>
      <c r="H32" s="17">
        <f t="shared" si="1"/>
        <v>0</v>
      </c>
      <c r="I32" s="16">
        <f t="shared" si="2"/>
        <v>0</v>
      </c>
      <c r="J32" s="16"/>
    </row>
    <row r="33" spans="1:10" x14ac:dyDescent="0.25">
      <c r="A33" s="1" t="s">
        <v>44</v>
      </c>
      <c r="B33" s="1" t="s">
        <v>45</v>
      </c>
      <c r="C33" s="11">
        <v>85200</v>
      </c>
      <c r="D33" s="11"/>
      <c r="E33" s="11"/>
      <c r="F33" s="11"/>
      <c r="G33" s="11">
        <f t="shared" si="0"/>
        <v>85200</v>
      </c>
      <c r="H33" s="17">
        <f t="shared" si="1"/>
        <v>43.65</v>
      </c>
      <c r="I33" s="16">
        <f t="shared" si="2"/>
        <v>0.34499999999999997</v>
      </c>
      <c r="J33" s="16">
        <f>ROUND(G33/87170-1,2)</f>
        <v>-0.02</v>
      </c>
    </row>
    <row r="34" spans="1:10" x14ac:dyDescent="0.25">
      <c r="A34" s="1" t="s">
        <v>44</v>
      </c>
      <c r="B34" s="1" t="s">
        <v>46</v>
      </c>
      <c r="C34" s="11"/>
      <c r="D34" s="11"/>
      <c r="E34" s="11">
        <v>9598</v>
      </c>
      <c r="F34" s="11"/>
      <c r="G34" s="11">
        <f t="shared" si="0"/>
        <v>9598</v>
      </c>
      <c r="H34" s="17">
        <f t="shared" si="1"/>
        <v>4.92</v>
      </c>
      <c r="I34" s="16">
        <f t="shared" si="2"/>
        <v>3.9E-2</v>
      </c>
      <c r="J34" s="16">
        <f>ROUND(G34/9816.03-1,2)</f>
        <v>-0.02</v>
      </c>
    </row>
    <row r="35" spans="1:10" x14ac:dyDescent="0.25">
      <c r="A35" s="1" t="s">
        <v>44</v>
      </c>
      <c r="B35" s="1" t="s">
        <v>47</v>
      </c>
      <c r="C35" s="11"/>
      <c r="D35" s="11"/>
      <c r="E35" s="11"/>
      <c r="F35" s="11"/>
      <c r="G35" s="11">
        <f t="shared" si="0"/>
        <v>0</v>
      </c>
      <c r="H35" s="17">
        <f t="shared" si="1"/>
        <v>0</v>
      </c>
      <c r="I35" s="16">
        <f t="shared" si="2"/>
        <v>0</v>
      </c>
      <c r="J35" s="16"/>
    </row>
    <row r="36" spans="1:10" x14ac:dyDescent="0.25">
      <c r="A36" s="1" t="s">
        <v>48</v>
      </c>
      <c r="B36" s="1" t="s">
        <v>51</v>
      </c>
      <c r="C36" s="11"/>
      <c r="D36" s="11"/>
      <c r="E36" s="11"/>
      <c r="F36" s="11"/>
      <c r="G36" s="11">
        <f t="shared" si="0"/>
        <v>0</v>
      </c>
      <c r="H36" s="17">
        <f t="shared" si="1"/>
        <v>0</v>
      </c>
      <c r="I36" s="16">
        <f t="shared" si="2"/>
        <v>0</v>
      </c>
      <c r="J36" s="16"/>
    </row>
    <row r="37" spans="1:10" x14ac:dyDescent="0.25">
      <c r="A37" s="21" t="s">
        <v>12</v>
      </c>
      <c r="B37" s="21"/>
      <c r="C37" s="12">
        <f t="shared" ref="C37:H37" si="3">SUM(C8:C36)</f>
        <v>179700</v>
      </c>
      <c r="D37" s="12">
        <f t="shared" si="3"/>
        <v>0</v>
      </c>
      <c r="E37" s="12">
        <f t="shared" si="3"/>
        <v>67477</v>
      </c>
      <c r="F37" s="12">
        <f t="shared" si="3"/>
        <v>0</v>
      </c>
      <c r="G37" s="12">
        <f t="shared" si="3"/>
        <v>247177</v>
      </c>
      <c r="H37" s="15">
        <f t="shared" si="3"/>
        <v>126.64</v>
      </c>
      <c r="I37" s="18"/>
      <c r="J37" s="18"/>
    </row>
    <row r="38" spans="1:10" x14ac:dyDescent="0.25">
      <c r="A38" s="21" t="s">
        <v>14</v>
      </c>
      <c r="B38" s="21"/>
      <c r="C38" s="13">
        <f>ROUND(C37/G37,2)</f>
        <v>0.73</v>
      </c>
      <c r="D38" s="13">
        <f>ROUND(D37/G37,2)</f>
        <v>0</v>
      </c>
      <c r="E38" s="13">
        <f>ROUND(E37/G37,2)</f>
        <v>0.27</v>
      </c>
      <c r="F38" s="13">
        <f>ROUND(F37/G37,2)</f>
        <v>0</v>
      </c>
      <c r="G38" s="14"/>
      <c r="H38" s="14"/>
      <c r="I38" s="18"/>
      <c r="J38" s="18"/>
    </row>
    <row r="39" spans="1:10" x14ac:dyDescent="0.25">
      <c r="A39" s="2" t="s">
        <v>52</v>
      </c>
      <c r="B39" s="2"/>
      <c r="C39" s="14"/>
      <c r="D39" s="14"/>
      <c r="E39" s="14"/>
      <c r="F39" s="14"/>
      <c r="G39" s="14"/>
      <c r="H39" s="14"/>
      <c r="I39" s="18"/>
      <c r="J39" s="18"/>
    </row>
    <row r="40" spans="1:10" x14ac:dyDescent="0.25">
      <c r="C40" s="9"/>
      <c r="D40" s="9"/>
      <c r="E40" s="9"/>
      <c r="F40" s="9"/>
      <c r="G40" s="9"/>
      <c r="H40" s="9"/>
      <c r="I40" s="10"/>
      <c r="J40" s="10"/>
    </row>
    <row r="41" spans="1:10" x14ac:dyDescent="0.25">
      <c r="C41" s="9"/>
      <c r="D41" s="9"/>
      <c r="E41" s="9"/>
      <c r="F41" s="9"/>
      <c r="G41" s="9"/>
      <c r="H41" s="9"/>
      <c r="I41" s="10"/>
      <c r="J41" s="10"/>
    </row>
    <row r="42" spans="1:10" x14ac:dyDescent="0.25">
      <c r="C42" s="9"/>
      <c r="D42" s="9"/>
      <c r="E42" s="9"/>
      <c r="F42" s="9"/>
      <c r="G42" s="9"/>
      <c r="H42" s="9"/>
      <c r="I42" s="10"/>
      <c r="J42" s="10"/>
    </row>
    <row r="43" spans="1:10" x14ac:dyDescent="0.25">
      <c r="A43" s="21" t="s">
        <v>53</v>
      </c>
      <c r="B43" s="21"/>
      <c r="C43" s="12" t="s">
        <v>8</v>
      </c>
      <c r="D43" s="12" t="s">
        <v>9</v>
      </c>
      <c r="E43" s="12" t="s">
        <v>10</v>
      </c>
      <c r="F43" s="12" t="s">
        <v>11</v>
      </c>
      <c r="G43" s="12" t="s">
        <v>12</v>
      </c>
      <c r="H43" s="15" t="s">
        <v>13</v>
      </c>
      <c r="I43" s="18"/>
      <c r="J43" s="18"/>
    </row>
    <row r="44" spans="1:10" x14ac:dyDescent="0.25">
      <c r="A44" s="20" t="s">
        <v>54</v>
      </c>
      <c r="B44" s="20"/>
      <c r="C44" s="11">
        <v>94500</v>
      </c>
      <c r="D44" s="11">
        <v>0</v>
      </c>
      <c r="E44" s="11">
        <v>57879</v>
      </c>
      <c r="F44" s="11">
        <v>0</v>
      </c>
      <c r="G44" s="11">
        <f>SUM(C44:F44)</f>
        <v>152379</v>
      </c>
      <c r="H44" s="17">
        <f>ROUND(G44/1952,2)</f>
        <v>78.06</v>
      </c>
      <c r="I44" s="10"/>
      <c r="J44" s="10"/>
    </row>
    <row r="45" spans="1:10" x14ac:dyDescent="0.25">
      <c r="A45" s="20" t="s">
        <v>55</v>
      </c>
      <c r="B45" s="20"/>
      <c r="C45" s="11">
        <v>85200</v>
      </c>
      <c r="D45" s="11">
        <v>0</v>
      </c>
      <c r="E45" s="11">
        <v>9598</v>
      </c>
      <c r="F45" s="11">
        <v>0</v>
      </c>
      <c r="G45" s="11">
        <f>SUM(C45:F45)</f>
        <v>94798</v>
      </c>
      <c r="H45" s="17">
        <f>ROUND(G45/1952,2)</f>
        <v>48.56</v>
      </c>
      <c r="I45" s="10"/>
      <c r="J45" s="10"/>
    </row>
    <row r="46" spans="1:10" x14ac:dyDescent="0.25">
      <c r="A46" s="20" t="s">
        <v>56</v>
      </c>
      <c r="B46" s="20"/>
      <c r="C46" s="11">
        <v>0</v>
      </c>
      <c r="D46" s="11">
        <v>0</v>
      </c>
      <c r="E46" s="11">
        <v>0</v>
      </c>
      <c r="F46" s="11">
        <v>0</v>
      </c>
      <c r="G46" s="11">
        <f>SUM(C46:F46)</f>
        <v>0</v>
      </c>
      <c r="H46" s="17">
        <f>ROUND(G46/1952,2)</f>
        <v>0</v>
      </c>
      <c r="I46" s="10"/>
      <c r="J46" s="10"/>
    </row>
    <row r="47" spans="1:10" x14ac:dyDescent="0.25">
      <c r="C47" s="9"/>
      <c r="D47" s="9"/>
      <c r="E47" s="9"/>
      <c r="F47" s="9"/>
      <c r="G47" s="9"/>
      <c r="H47" s="9"/>
      <c r="I47" s="10"/>
      <c r="J47" s="10"/>
    </row>
    <row r="48" spans="1:10" x14ac:dyDescent="0.25">
      <c r="C48" s="9"/>
      <c r="D48" s="9"/>
      <c r="E48" s="9"/>
      <c r="F48" s="9"/>
      <c r="G48" s="9"/>
      <c r="H48" s="9"/>
      <c r="I48" s="10"/>
      <c r="J48" s="10"/>
    </row>
    <row r="49" spans="1:10" x14ac:dyDescent="0.25">
      <c r="C49" s="9"/>
      <c r="D49" s="9"/>
      <c r="E49" s="9"/>
      <c r="F49" s="9"/>
      <c r="G49" s="9"/>
      <c r="H49" s="9"/>
      <c r="I49" s="10"/>
      <c r="J49" s="10"/>
    </row>
    <row r="50" spans="1:10" x14ac:dyDescent="0.25">
      <c r="C50" s="9"/>
      <c r="D50" s="9"/>
      <c r="E50" s="9"/>
      <c r="F50" s="9"/>
      <c r="G50" s="9"/>
      <c r="H50" s="9"/>
      <c r="I50" s="10"/>
      <c r="J50" s="10"/>
    </row>
    <row r="51" spans="1:10" x14ac:dyDescent="0.25">
      <c r="A51" s="21" t="s">
        <v>57</v>
      </c>
      <c r="B51" s="21"/>
      <c r="C51" s="15" t="s">
        <v>2</v>
      </c>
      <c r="D51" s="15">
        <v>2023</v>
      </c>
      <c r="E51" s="15" t="s">
        <v>59</v>
      </c>
      <c r="F51" s="14"/>
      <c r="G51" s="15" t="s">
        <v>60</v>
      </c>
      <c r="H51" s="15" t="s">
        <v>2</v>
      </c>
      <c r="I51" s="13" t="s">
        <v>61</v>
      </c>
      <c r="J51" s="13" t="s">
        <v>59</v>
      </c>
    </row>
    <row r="52" spans="1:10" x14ac:dyDescent="0.25">
      <c r="A52" s="20" t="s">
        <v>58</v>
      </c>
      <c r="B52" s="20"/>
      <c r="C52" s="16">
        <f>ROUND(0.6298, 4)</f>
        <v>0.62980000000000003</v>
      </c>
      <c r="D52" s="16">
        <f>ROUND(0.576, 4)</f>
        <v>0.57599999999999996</v>
      </c>
      <c r="E52" s="16">
        <f>ROUND(0.777, 4)</f>
        <v>0.77700000000000002</v>
      </c>
      <c r="F52" s="9"/>
      <c r="G52" s="15" t="s">
        <v>62</v>
      </c>
      <c r="H52" s="22" t="s">
        <v>63</v>
      </c>
      <c r="I52" s="24" t="s">
        <v>64</v>
      </c>
      <c r="J52" s="24" t="s">
        <v>65</v>
      </c>
    </row>
    <row r="53" spans="1:10" x14ac:dyDescent="0.25">
      <c r="A53" s="20" t="s">
        <v>66</v>
      </c>
      <c r="B53" s="20"/>
      <c r="C53" s="16">
        <f>ROUND(0.5911, 4)</f>
        <v>0.59109999999999996</v>
      </c>
      <c r="D53" s="16">
        <f>ROUND(0.5403, 4)</f>
        <v>0.5403</v>
      </c>
      <c r="E53" s="16">
        <f>ROUND(0.7608, 4)</f>
        <v>0.76080000000000003</v>
      </c>
      <c r="F53" s="9"/>
      <c r="G53" s="15" t="s">
        <v>67</v>
      </c>
      <c r="H53" s="23"/>
      <c r="I53" s="25"/>
      <c r="J53" s="25"/>
    </row>
    <row r="54" spans="1:10" x14ac:dyDescent="0.25">
      <c r="C54" s="9"/>
      <c r="D54" s="9"/>
      <c r="E54" s="9"/>
      <c r="F54" s="9"/>
      <c r="G54" s="9"/>
      <c r="H54" s="9"/>
      <c r="I54" s="10"/>
      <c r="J54" s="10"/>
    </row>
    <row r="55" spans="1:10" x14ac:dyDescent="0.25">
      <c r="C55" s="9"/>
      <c r="D55" s="9"/>
      <c r="E55" s="9"/>
      <c r="F55" s="9"/>
      <c r="G55" s="9"/>
      <c r="H55" s="9"/>
      <c r="I55" s="10"/>
      <c r="J55" s="10"/>
    </row>
    <row r="56" spans="1:10" x14ac:dyDescent="0.25">
      <c r="C56" s="9"/>
      <c r="D56" s="9"/>
      <c r="E56" s="9"/>
      <c r="F56" s="9"/>
      <c r="G56" s="9"/>
      <c r="H56" s="9"/>
      <c r="I56" s="10"/>
      <c r="J56" s="10"/>
    </row>
    <row r="57" spans="1:10" x14ac:dyDescent="0.25">
      <c r="A57" s="21" t="s">
        <v>68</v>
      </c>
      <c r="B57" s="21"/>
      <c r="C57" s="15" t="s">
        <v>2</v>
      </c>
      <c r="D57" s="15" t="s">
        <v>238</v>
      </c>
      <c r="E57" s="15" t="s">
        <v>70</v>
      </c>
      <c r="F57" s="15" t="s">
        <v>71</v>
      </c>
      <c r="G57" s="15" t="s">
        <v>72</v>
      </c>
      <c r="H57" s="14"/>
      <c r="I57" s="18"/>
      <c r="J57" s="18"/>
    </row>
    <row r="58" spans="1:10" x14ac:dyDescent="0.25">
      <c r="A58" s="20" t="s">
        <v>73</v>
      </c>
      <c r="B58" s="20"/>
      <c r="C58" s="17">
        <v>43.65</v>
      </c>
      <c r="D58" s="17">
        <v>113.68</v>
      </c>
      <c r="E58" s="17">
        <v>81.84</v>
      </c>
      <c r="F58" s="17">
        <v>48</v>
      </c>
      <c r="G58" s="17">
        <f>12/4*C58</f>
        <v>130.94999999999999</v>
      </c>
      <c r="H58" s="9"/>
      <c r="I58" s="10"/>
      <c r="J58" s="10"/>
    </row>
    <row r="59" spans="1:10" x14ac:dyDescent="0.25">
      <c r="A59" s="20" t="s">
        <v>74</v>
      </c>
      <c r="B59" s="20"/>
      <c r="C59" s="17">
        <v>12.62</v>
      </c>
      <c r="D59" s="17">
        <v>42.18</v>
      </c>
      <c r="E59" s="17">
        <v>55.63</v>
      </c>
      <c r="F59" s="17">
        <v>55.33</v>
      </c>
      <c r="G59" s="17">
        <f>12/4*C59</f>
        <v>37.86</v>
      </c>
      <c r="H59" s="9"/>
      <c r="I59" s="10"/>
      <c r="J59" s="10"/>
    </row>
    <row r="60" spans="1:10" x14ac:dyDescent="0.25">
      <c r="A60" s="20" t="s">
        <v>75</v>
      </c>
      <c r="B60" s="20"/>
      <c r="C60" s="17">
        <v>78.06</v>
      </c>
      <c r="D60" s="17">
        <v>227.67</v>
      </c>
      <c r="E60" s="17">
        <v>257.88</v>
      </c>
      <c r="F60" s="17">
        <v>242.78</v>
      </c>
      <c r="G60" s="17">
        <f>12/4*C60</f>
        <v>234.18</v>
      </c>
      <c r="H60" s="9"/>
      <c r="I60" s="10"/>
      <c r="J60" s="10"/>
    </row>
    <row r="61" spans="1:10" x14ac:dyDescent="0.25">
      <c r="A61" s="20" t="s">
        <v>76</v>
      </c>
      <c r="B61" s="20"/>
      <c r="C61" s="17">
        <v>48.56</v>
      </c>
      <c r="D61" s="17">
        <v>128.47</v>
      </c>
      <c r="E61" s="17">
        <v>103.14</v>
      </c>
      <c r="F61" s="17">
        <v>68.31</v>
      </c>
      <c r="G61" s="17">
        <f>12/4*C61</f>
        <v>145.68</v>
      </c>
      <c r="H61" s="9"/>
      <c r="I61" s="10"/>
      <c r="J61" s="10"/>
    </row>
    <row r="62" spans="1:10" x14ac:dyDescent="0.25">
      <c r="C62" s="9"/>
      <c r="D62" s="9"/>
      <c r="E62" s="9"/>
      <c r="F62" s="9"/>
      <c r="G62" s="9"/>
      <c r="H62" s="9"/>
      <c r="I62" s="10"/>
      <c r="J62" s="10"/>
    </row>
    <row r="63" spans="1:10" x14ac:dyDescent="0.25">
      <c r="C63" s="9"/>
      <c r="D63" s="9"/>
      <c r="E63" s="9"/>
      <c r="F63" s="9"/>
      <c r="G63" s="9"/>
      <c r="H63" s="9"/>
      <c r="I63" s="10"/>
      <c r="J63" s="10"/>
    </row>
    <row r="64" spans="1:10" x14ac:dyDescent="0.25">
      <c r="A64" s="19" t="s">
        <v>60</v>
      </c>
      <c r="B64" s="26"/>
      <c r="C64" s="9"/>
      <c r="D64" s="9"/>
      <c r="E64" s="9"/>
      <c r="F64" s="9"/>
      <c r="G64" s="9"/>
      <c r="H64" s="9"/>
      <c r="I64" s="10"/>
      <c r="J64" s="10"/>
    </row>
    <row r="65" spans="1:10" x14ac:dyDescent="0.25">
      <c r="A65" s="3" t="s">
        <v>77</v>
      </c>
      <c r="B65" s="1" t="s">
        <v>239</v>
      </c>
      <c r="C65" s="9"/>
      <c r="D65" s="9"/>
      <c r="E65" s="9"/>
      <c r="F65" s="9"/>
      <c r="G65" s="9"/>
      <c r="H65" s="9"/>
      <c r="I65" s="10"/>
      <c r="J65" s="10"/>
    </row>
    <row r="66" spans="1:10" x14ac:dyDescent="0.25">
      <c r="A66" s="3" t="s">
        <v>70</v>
      </c>
      <c r="B66" s="1" t="s">
        <v>79</v>
      </c>
      <c r="C66" s="9"/>
      <c r="D66" s="9"/>
      <c r="E66" s="9"/>
      <c r="F66" s="9"/>
      <c r="G66" s="9"/>
      <c r="H66" s="9"/>
      <c r="I66" s="10"/>
      <c r="J66" s="10"/>
    </row>
    <row r="67" spans="1:10" x14ac:dyDescent="0.25">
      <c r="A67" s="3" t="s">
        <v>71</v>
      </c>
      <c r="B67" s="1" t="s">
        <v>80</v>
      </c>
      <c r="C67" s="9"/>
      <c r="D67" s="9"/>
      <c r="E67" s="9"/>
      <c r="F67" s="9"/>
      <c r="G67" s="9"/>
      <c r="H67" s="9"/>
      <c r="I67" s="10"/>
      <c r="J67" s="10"/>
    </row>
    <row r="68" spans="1:10" x14ac:dyDescent="0.25">
      <c r="A68" s="3" t="s">
        <v>72</v>
      </c>
      <c r="B68" s="1" t="s">
        <v>81</v>
      </c>
      <c r="C68" s="9"/>
      <c r="D68" s="9"/>
      <c r="E68" s="9"/>
      <c r="F68" s="9"/>
      <c r="G68" s="9"/>
      <c r="H68" s="9"/>
      <c r="I68" s="10"/>
      <c r="J68" s="10"/>
    </row>
    <row r="69" spans="1:10" x14ac:dyDescent="0.25">
      <c r="C69" s="9"/>
      <c r="D69" s="9"/>
      <c r="E69" s="9"/>
      <c r="F69" s="9"/>
      <c r="G69" s="9"/>
      <c r="H69" s="9"/>
      <c r="I69" s="10"/>
      <c r="J69" s="10"/>
    </row>
    <row r="70" spans="1:10" x14ac:dyDescent="0.25">
      <c r="C70" s="9"/>
      <c r="D70" s="9"/>
      <c r="E70" s="9"/>
      <c r="F70" s="9"/>
      <c r="G70" s="9"/>
      <c r="H70" s="9"/>
      <c r="I70" s="10"/>
      <c r="J70" s="10"/>
    </row>
    <row r="71" spans="1:10" x14ac:dyDescent="0.25">
      <c r="C71" s="9"/>
      <c r="D71" s="9"/>
      <c r="E71" s="9"/>
      <c r="F71" s="9"/>
      <c r="G71" s="9"/>
      <c r="H71" s="9"/>
      <c r="I71" s="10"/>
      <c r="J71" s="10"/>
    </row>
    <row r="72" spans="1:10" x14ac:dyDescent="0.25">
      <c r="C72" s="9"/>
      <c r="D72" s="9"/>
      <c r="E72" s="9"/>
      <c r="F72" s="9"/>
      <c r="G72" s="9"/>
      <c r="H72" s="9"/>
      <c r="I72" s="10"/>
      <c r="J72" s="10"/>
    </row>
    <row r="73" spans="1:10" x14ac:dyDescent="0.25">
      <c r="C73" s="9"/>
      <c r="D73" s="9"/>
      <c r="E73" s="9"/>
      <c r="F73" s="9"/>
      <c r="G73" s="9"/>
      <c r="H73" s="9"/>
      <c r="I73" s="10"/>
      <c r="J73" s="10"/>
    </row>
    <row r="74" spans="1:10" x14ac:dyDescent="0.25">
      <c r="C74" s="9"/>
      <c r="D74" s="9"/>
      <c r="E74" s="9"/>
      <c r="F74" s="9"/>
      <c r="G74" s="9"/>
      <c r="H74" s="9"/>
      <c r="I74" s="10"/>
      <c r="J74" s="10"/>
    </row>
    <row r="75" spans="1:10" x14ac:dyDescent="0.25">
      <c r="C75" s="9"/>
      <c r="D75" s="9"/>
      <c r="E75" s="9"/>
      <c r="F75" s="9"/>
      <c r="G75" s="9"/>
      <c r="H75" s="9"/>
      <c r="I75" s="10"/>
      <c r="J75" s="10"/>
    </row>
    <row r="76" spans="1:10" x14ac:dyDescent="0.25">
      <c r="C76" s="9"/>
      <c r="D76" s="9"/>
      <c r="E76" s="9"/>
      <c r="F76" s="9"/>
      <c r="G76" s="9"/>
      <c r="H76" s="9"/>
      <c r="I76" s="10"/>
      <c r="J76" s="10"/>
    </row>
    <row r="77" spans="1:10" x14ac:dyDescent="0.25">
      <c r="C77" s="9"/>
      <c r="D77" s="9"/>
      <c r="E77" s="9"/>
      <c r="F77" s="9"/>
      <c r="G77" s="9"/>
      <c r="H77" s="9"/>
      <c r="I77" s="10"/>
      <c r="J77" s="10"/>
    </row>
    <row r="78" spans="1:10" x14ac:dyDescent="0.25">
      <c r="C78" s="9"/>
      <c r="D78" s="9"/>
      <c r="E78" s="9"/>
      <c r="F78" s="9"/>
      <c r="G78" s="9"/>
      <c r="H78" s="9"/>
      <c r="I78" s="10"/>
      <c r="J78" s="10"/>
    </row>
    <row r="79" spans="1:10" x14ac:dyDescent="0.25">
      <c r="C79" s="9"/>
      <c r="D79" s="9"/>
      <c r="E79" s="9"/>
      <c r="F79" s="9"/>
      <c r="G79" s="9"/>
      <c r="H79" s="9"/>
      <c r="I79" s="10"/>
      <c r="J79" s="10"/>
    </row>
  </sheetData>
  <mergeCells count="19">
    <mergeCell ref="A59:B59"/>
    <mergeCell ref="A60:B60"/>
    <mergeCell ref="A61:B61"/>
    <mergeCell ref="A64:B64"/>
    <mergeCell ref="I52:I53"/>
    <mergeCell ref="J52:J53"/>
    <mergeCell ref="A53:B53"/>
    <mergeCell ref="A57:B57"/>
    <mergeCell ref="A58:B58"/>
    <mergeCell ref="A45:B45"/>
    <mergeCell ref="A46:B46"/>
    <mergeCell ref="A51:B51"/>
    <mergeCell ref="A52:B52"/>
    <mergeCell ref="H52:H53"/>
    <mergeCell ref="C7:G7"/>
    <mergeCell ref="A37:B37"/>
    <mergeCell ref="A38:B38"/>
    <mergeCell ref="A43:B43"/>
    <mergeCell ref="A44:B44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2:J79"/>
  <sheetViews>
    <sheetView workbookViewId="0">
      <selection activeCell="C9" sqref="C9:J72"/>
    </sheetView>
  </sheetViews>
  <sheetFormatPr defaultRowHeight="15" x14ac:dyDescent="0.25"/>
  <cols>
    <col min="1" max="1" width="38.85546875" bestFit="1" customWidth="1"/>
    <col min="2" max="2" width="80.140625" bestFit="1" customWidth="1"/>
    <col min="3" max="3" width="14" bestFit="1" customWidth="1"/>
    <col min="4" max="4" width="33" bestFit="1" customWidth="1"/>
    <col min="5" max="5" width="16.42578125" bestFit="1" customWidth="1"/>
    <col min="6" max="6" width="10.5703125" bestFit="1" customWidth="1"/>
    <col min="7" max="7" width="68.28515625" bestFit="1" customWidth="1"/>
    <col min="8" max="9" width="20" bestFit="1" customWidth="1"/>
    <col min="10" max="10" width="30.5703125" bestFit="1" customWidth="1"/>
  </cols>
  <sheetData>
    <row r="2" spans="1:10" ht="18.75" x14ac:dyDescent="0.3">
      <c r="A2" s="3" t="s">
        <v>0</v>
      </c>
      <c r="B2" s="4" t="s">
        <v>240</v>
      </c>
    </row>
    <row r="3" spans="1:10" x14ac:dyDescent="0.25">
      <c r="A3" s="3" t="s">
        <v>2</v>
      </c>
      <c r="B3" s="1" t="s">
        <v>3</v>
      </c>
    </row>
    <row r="4" spans="1:10" x14ac:dyDescent="0.25">
      <c r="A4" s="3" t="s">
        <v>4</v>
      </c>
      <c r="B4" s="1">
        <v>9241</v>
      </c>
    </row>
    <row r="7" spans="1:10" x14ac:dyDescent="0.25">
      <c r="C7" s="19" t="s">
        <v>5</v>
      </c>
      <c r="D7" s="20"/>
      <c r="E7" s="20"/>
      <c r="F7" s="20"/>
      <c r="G7" s="20"/>
    </row>
    <row r="8" spans="1:10" x14ac:dyDescent="0.25">
      <c r="A8" s="3" t="s">
        <v>6</v>
      </c>
      <c r="B8" s="3" t="s">
        <v>7</v>
      </c>
      <c r="C8" s="3" t="s">
        <v>8</v>
      </c>
      <c r="D8" s="3" t="s">
        <v>9</v>
      </c>
      <c r="E8" s="3" t="s">
        <v>10</v>
      </c>
      <c r="F8" s="3" t="s">
        <v>11</v>
      </c>
      <c r="G8" s="3" t="s">
        <v>12</v>
      </c>
      <c r="H8" s="3" t="s">
        <v>13</v>
      </c>
      <c r="I8" s="3" t="s">
        <v>14</v>
      </c>
      <c r="J8" s="3" t="s">
        <v>15</v>
      </c>
    </row>
    <row r="9" spans="1:10" x14ac:dyDescent="0.25">
      <c r="A9" s="1" t="s">
        <v>16</v>
      </c>
      <c r="B9" s="1" t="s">
        <v>17</v>
      </c>
      <c r="C9" s="11"/>
      <c r="D9" s="11"/>
      <c r="E9" s="11">
        <v>30</v>
      </c>
      <c r="F9" s="11"/>
      <c r="G9" s="11">
        <f t="shared" ref="G9:G47" si="0">SUM(C9:F9)</f>
        <v>30</v>
      </c>
      <c r="H9" s="17">
        <f t="shared" ref="H9:H47" si="1">ROUND(G9/9241,2)</f>
        <v>0</v>
      </c>
      <c r="I9" s="16">
        <f t="shared" ref="I9:I47" si="2">ROUND(G9/$G$48,3)</f>
        <v>0</v>
      </c>
      <c r="J9" s="16">
        <f>ROUND(G9/70-1,2)</f>
        <v>-0.56999999999999995</v>
      </c>
    </row>
    <row r="10" spans="1:10" x14ac:dyDescent="0.25">
      <c r="A10" s="1" t="s">
        <v>16</v>
      </c>
      <c r="B10" s="1" t="s">
        <v>19</v>
      </c>
      <c r="C10" s="11">
        <v>90070</v>
      </c>
      <c r="D10" s="11"/>
      <c r="E10" s="11">
        <v>4810</v>
      </c>
      <c r="F10" s="11"/>
      <c r="G10" s="11">
        <f t="shared" si="0"/>
        <v>94880</v>
      </c>
      <c r="H10" s="17">
        <f t="shared" si="1"/>
        <v>10.27</v>
      </c>
      <c r="I10" s="16">
        <f t="shared" si="2"/>
        <v>7.8E-2</v>
      </c>
      <c r="J10" s="16">
        <f>ROUND(G10/82480-1,2)</f>
        <v>0.15</v>
      </c>
    </row>
    <row r="11" spans="1:10" x14ac:dyDescent="0.25">
      <c r="A11" s="1" t="s">
        <v>16</v>
      </c>
      <c r="B11" s="1" t="s">
        <v>20</v>
      </c>
      <c r="C11" s="11">
        <v>104920</v>
      </c>
      <c r="D11" s="11"/>
      <c r="E11" s="11"/>
      <c r="F11" s="11"/>
      <c r="G11" s="11">
        <f t="shared" si="0"/>
        <v>104920</v>
      </c>
      <c r="H11" s="17">
        <f t="shared" si="1"/>
        <v>11.35</v>
      </c>
      <c r="I11" s="16">
        <f t="shared" si="2"/>
        <v>8.5999999999999993E-2</v>
      </c>
      <c r="J11" s="16">
        <f>ROUND(G11/95420-1,2)</f>
        <v>0.1</v>
      </c>
    </row>
    <row r="12" spans="1:10" x14ac:dyDescent="0.25">
      <c r="A12" s="1" t="s">
        <v>16</v>
      </c>
      <c r="B12" s="1" t="s">
        <v>94</v>
      </c>
      <c r="C12" s="11"/>
      <c r="D12" s="11"/>
      <c r="E12" s="11">
        <v>36</v>
      </c>
      <c r="F12" s="11"/>
      <c r="G12" s="11">
        <f t="shared" si="0"/>
        <v>36</v>
      </c>
      <c r="H12" s="17">
        <f t="shared" si="1"/>
        <v>0</v>
      </c>
      <c r="I12" s="16">
        <f t="shared" si="2"/>
        <v>0</v>
      </c>
      <c r="J12" s="16">
        <f>ROUND(G12/56-1,2)</f>
        <v>-0.36</v>
      </c>
    </row>
    <row r="13" spans="1:10" x14ac:dyDescent="0.25">
      <c r="A13" s="1" t="s">
        <v>16</v>
      </c>
      <c r="B13" s="1" t="s">
        <v>21</v>
      </c>
      <c r="C13" s="11"/>
      <c r="D13" s="11"/>
      <c r="E13" s="11">
        <v>174</v>
      </c>
      <c r="F13" s="11"/>
      <c r="G13" s="11">
        <f t="shared" si="0"/>
        <v>174</v>
      </c>
      <c r="H13" s="17">
        <f t="shared" si="1"/>
        <v>0.02</v>
      </c>
      <c r="I13" s="16">
        <f t="shared" si="2"/>
        <v>0</v>
      </c>
      <c r="J13" s="16">
        <f>ROUND(G13/65-1,2)</f>
        <v>1.68</v>
      </c>
    </row>
    <row r="14" spans="1:10" x14ac:dyDescent="0.25">
      <c r="A14" s="1" t="s">
        <v>16</v>
      </c>
      <c r="B14" s="1" t="s">
        <v>22</v>
      </c>
      <c r="C14" s="11"/>
      <c r="D14" s="11"/>
      <c r="E14" s="11">
        <v>2000</v>
      </c>
      <c r="F14" s="11"/>
      <c r="G14" s="11">
        <f t="shared" si="0"/>
        <v>2000</v>
      </c>
      <c r="H14" s="17">
        <f t="shared" si="1"/>
        <v>0.22</v>
      </c>
      <c r="I14" s="16">
        <f t="shared" si="2"/>
        <v>2E-3</v>
      </c>
      <c r="J14" s="16">
        <f>ROUND(G14/2100-1,2)</f>
        <v>-0.05</v>
      </c>
    </row>
    <row r="15" spans="1:10" x14ac:dyDescent="0.25">
      <c r="A15" s="1" t="s">
        <v>16</v>
      </c>
      <c r="B15" s="1" t="s">
        <v>23</v>
      </c>
      <c r="C15" s="11"/>
      <c r="D15" s="11"/>
      <c r="E15" s="11">
        <v>53760</v>
      </c>
      <c r="F15" s="11"/>
      <c r="G15" s="11">
        <f t="shared" si="0"/>
        <v>53760</v>
      </c>
      <c r="H15" s="17">
        <f t="shared" si="1"/>
        <v>5.82</v>
      </c>
      <c r="I15" s="16">
        <f t="shared" si="2"/>
        <v>4.3999999999999997E-2</v>
      </c>
      <c r="J15" s="16">
        <f>ROUND(G15/54500-1,2)</f>
        <v>-0.01</v>
      </c>
    </row>
    <row r="16" spans="1:10" x14ac:dyDescent="0.25">
      <c r="A16" s="1" t="s">
        <v>16</v>
      </c>
      <c r="B16" s="1" t="s">
        <v>24</v>
      </c>
      <c r="C16" s="11">
        <v>154440</v>
      </c>
      <c r="D16" s="11"/>
      <c r="E16" s="11">
        <v>15940</v>
      </c>
      <c r="F16" s="11"/>
      <c r="G16" s="11">
        <f t="shared" si="0"/>
        <v>170380</v>
      </c>
      <c r="H16" s="17">
        <f t="shared" si="1"/>
        <v>18.440000000000001</v>
      </c>
      <c r="I16" s="16">
        <f t="shared" si="2"/>
        <v>0.14000000000000001</v>
      </c>
      <c r="J16" s="16">
        <f>ROUND(G16/162460-1,2)</f>
        <v>0.05</v>
      </c>
    </row>
    <row r="17" spans="1:10" x14ac:dyDescent="0.25">
      <c r="A17" s="1" t="s">
        <v>16</v>
      </c>
      <c r="B17" s="1" t="s">
        <v>25</v>
      </c>
      <c r="C17" s="11"/>
      <c r="D17" s="11"/>
      <c r="E17" s="11">
        <v>3020</v>
      </c>
      <c r="F17" s="11"/>
      <c r="G17" s="11">
        <f t="shared" si="0"/>
        <v>3020</v>
      </c>
      <c r="H17" s="17">
        <f t="shared" si="1"/>
        <v>0.33</v>
      </c>
      <c r="I17" s="16">
        <f t="shared" si="2"/>
        <v>2E-3</v>
      </c>
      <c r="J17" s="16">
        <f>ROUND(G17/7220-1,2)</f>
        <v>-0.57999999999999996</v>
      </c>
    </row>
    <row r="18" spans="1:10" x14ac:dyDescent="0.25">
      <c r="A18" s="1" t="s">
        <v>16</v>
      </c>
      <c r="B18" s="1" t="s">
        <v>26</v>
      </c>
      <c r="C18" s="11">
        <v>221240</v>
      </c>
      <c r="D18" s="11"/>
      <c r="E18" s="11"/>
      <c r="F18" s="11">
        <v>140</v>
      </c>
      <c r="G18" s="11">
        <f t="shared" si="0"/>
        <v>221380</v>
      </c>
      <c r="H18" s="17">
        <f t="shared" si="1"/>
        <v>23.96</v>
      </c>
      <c r="I18" s="16">
        <f t="shared" si="2"/>
        <v>0.18099999999999999</v>
      </c>
      <c r="J18" s="16">
        <f>ROUND(G18/212640-1,2)</f>
        <v>0.04</v>
      </c>
    </row>
    <row r="19" spans="1:10" x14ac:dyDescent="0.25">
      <c r="A19" s="1" t="s">
        <v>16</v>
      </c>
      <c r="B19" s="1" t="s">
        <v>27</v>
      </c>
      <c r="C19" s="11"/>
      <c r="D19" s="11"/>
      <c r="E19" s="11">
        <v>585</v>
      </c>
      <c r="F19" s="11"/>
      <c r="G19" s="11">
        <f t="shared" si="0"/>
        <v>585</v>
      </c>
      <c r="H19" s="17">
        <f t="shared" si="1"/>
        <v>0.06</v>
      </c>
      <c r="I19" s="16">
        <f t="shared" si="2"/>
        <v>0</v>
      </c>
      <c r="J19" s="16">
        <f>ROUND(G19/522-1,2)</f>
        <v>0.12</v>
      </c>
    </row>
    <row r="20" spans="1:10" x14ac:dyDescent="0.25">
      <c r="A20" s="1" t="s">
        <v>16</v>
      </c>
      <c r="B20" s="1" t="s">
        <v>28</v>
      </c>
      <c r="C20" s="11"/>
      <c r="D20" s="11"/>
      <c r="E20" s="11">
        <v>579</v>
      </c>
      <c r="F20" s="11"/>
      <c r="G20" s="11">
        <f t="shared" si="0"/>
        <v>579</v>
      </c>
      <c r="H20" s="17">
        <f t="shared" si="1"/>
        <v>0.06</v>
      </c>
      <c r="I20" s="16">
        <f t="shared" si="2"/>
        <v>0</v>
      </c>
      <c r="J20" s="16">
        <f>ROUND(G20/582-1,2)</f>
        <v>-0.01</v>
      </c>
    </row>
    <row r="21" spans="1:10" x14ac:dyDescent="0.25">
      <c r="A21" s="1" t="s">
        <v>16</v>
      </c>
      <c r="B21" s="1" t="s">
        <v>29</v>
      </c>
      <c r="C21" s="11"/>
      <c r="D21" s="11"/>
      <c r="E21" s="11">
        <v>1170</v>
      </c>
      <c r="F21" s="11"/>
      <c r="G21" s="11">
        <f t="shared" si="0"/>
        <v>1170</v>
      </c>
      <c r="H21" s="17">
        <f t="shared" si="1"/>
        <v>0.13</v>
      </c>
      <c r="I21" s="16">
        <f t="shared" si="2"/>
        <v>1E-3</v>
      </c>
      <c r="J21" s="16">
        <f>ROUND(G21/940-1,2)</f>
        <v>0.24</v>
      </c>
    </row>
    <row r="22" spans="1:10" x14ac:dyDescent="0.25">
      <c r="A22" s="1" t="s">
        <v>16</v>
      </c>
      <c r="B22" s="1" t="s">
        <v>30</v>
      </c>
      <c r="C22" s="11"/>
      <c r="D22" s="11"/>
      <c r="E22" s="11">
        <v>170</v>
      </c>
      <c r="F22" s="11"/>
      <c r="G22" s="11">
        <f t="shared" si="0"/>
        <v>170</v>
      </c>
      <c r="H22" s="17">
        <f t="shared" si="1"/>
        <v>0.02</v>
      </c>
      <c r="I22" s="16">
        <f t="shared" si="2"/>
        <v>0</v>
      </c>
      <c r="J22" s="16">
        <f>ROUND(G22/450-1,2)</f>
        <v>-0.62</v>
      </c>
    </row>
    <row r="23" spans="1:10" x14ac:dyDescent="0.25">
      <c r="A23" s="1" t="s">
        <v>16</v>
      </c>
      <c r="B23" s="1" t="s">
        <v>31</v>
      </c>
      <c r="C23" s="11"/>
      <c r="D23" s="11"/>
      <c r="E23" s="11">
        <v>1900</v>
      </c>
      <c r="F23" s="11"/>
      <c r="G23" s="11">
        <f t="shared" si="0"/>
        <v>1900</v>
      </c>
      <c r="H23" s="17">
        <f t="shared" si="1"/>
        <v>0.21</v>
      </c>
      <c r="I23" s="16">
        <f t="shared" si="2"/>
        <v>2E-3</v>
      </c>
      <c r="J23" s="16">
        <f>ROUND(G23/600-1,2)</f>
        <v>2.17</v>
      </c>
    </row>
    <row r="24" spans="1:10" x14ac:dyDescent="0.25">
      <c r="A24" s="1" t="s">
        <v>16</v>
      </c>
      <c r="B24" s="1" t="s">
        <v>32</v>
      </c>
      <c r="C24" s="11"/>
      <c r="D24" s="11">
        <v>236</v>
      </c>
      <c r="E24" s="11"/>
      <c r="F24" s="11"/>
      <c r="G24" s="11">
        <f t="shared" si="0"/>
        <v>236</v>
      </c>
      <c r="H24" s="17">
        <f t="shared" si="1"/>
        <v>0.03</v>
      </c>
      <c r="I24" s="16">
        <f t="shared" si="2"/>
        <v>0</v>
      </c>
      <c r="J24" s="16">
        <f>ROUND(G24/318-1,2)</f>
        <v>-0.26</v>
      </c>
    </row>
    <row r="25" spans="1:10" x14ac:dyDescent="0.25">
      <c r="A25" s="1" t="s">
        <v>16</v>
      </c>
      <c r="B25" s="1" t="s">
        <v>35</v>
      </c>
      <c r="C25" s="11"/>
      <c r="D25" s="11"/>
      <c r="E25" s="11">
        <v>76645</v>
      </c>
      <c r="F25" s="11"/>
      <c r="G25" s="11">
        <f t="shared" si="0"/>
        <v>76645</v>
      </c>
      <c r="H25" s="17">
        <f t="shared" si="1"/>
        <v>8.2899999999999991</v>
      </c>
      <c r="I25" s="16">
        <f t="shared" si="2"/>
        <v>6.3E-2</v>
      </c>
      <c r="J25" s="16">
        <f>ROUND(G25/70730-1,2)</f>
        <v>0.08</v>
      </c>
    </row>
    <row r="26" spans="1:10" x14ac:dyDescent="0.25">
      <c r="A26" s="1" t="s">
        <v>16</v>
      </c>
      <c r="B26" s="1" t="s">
        <v>36</v>
      </c>
      <c r="C26" s="11"/>
      <c r="D26" s="11"/>
      <c r="E26" s="11">
        <v>1295</v>
      </c>
      <c r="F26" s="11"/>
      <c r="G26" s="11">
        <f t="shared" si="0"/>
        <v>1295</v>
      </c>
      <c r="H26" s="17">
        <f t="shared" si="1"/>
        <v>0.14000000000000001</v>
      </c>
      <c r="I26" s="16">
        <f t="shared" si="2"/>
        <v>1E-3</v>
      </c>
      <c r="J26" s="16">
        <f>ROUND(G26/2410-1,2)</f>
        <v>-0.46</v>
      </c>
    </row>
    <row r="27" spans="1:10" x14ac:dyDescent="0.25">
      <c r="A27" s="1" t="s">
        <v>16</v>
      </c>
      <c r="B27" s="1" t="s">
        <v>37</v>
      </c>
      <c r="C27" s="11"/>
      <c r="D27" s="11"/>
      <c r="E27" s="11">
        <v>7150</v>
      </c>
      <c r="F27" s="11"/>
      <c r="G27" s="11">
        <f t="shared" si="0"/>
        <v>7150</v>
      </c>
      <c r="H27" s="17">
        <f t="shared" si="1"/>
        <v>0.77</v>
      </c>
      <c r="I27" s="16">
        <f t="shared" si="2"/>
        <v>6.0000000000000001E-3</v>
      </c>
      <c r="J27" s="16">
        <f>ROUND(G27/11170-1,2)</f>
        <v>-0.36</v>
      </c>
    </row>
    <row r="28" spans="1:10" x14ac:dyDescent="0.25">
      <c r="A28" s="1" t="s">
        <v>16</v>
      </c>
      <c r="B28" s="1" t="s">
        <v>38</v>
      </c>
      <c r="C28" s="11"/>
      <c r="D28" s="11"/>
      <c r="E28" s="11">
        <v>191930</v>
      </c>
      <c r="F28" s="11"/>
      <c r="G28" s="11">
        <f t="shared" si="0"/>
        <v>191930</v>
      </c>
      <c r="H28" s="17">
        <f t="shared" si="1"/>
        <v>20.77</v>
      </c>
      <c r="I28" s="16">
        <f t="shared" si="2"/>
        <v>0.157</v>
      </c>
      <c r="J28" s="16">
        <f>ROUND(G28/157060-1,2)</f>
        <v>0.22</v>
      </c>
    </row>
    <row r="29" spans="1:10" x14ac:dyDescent="0.25">
      <c r="A29" s="1" t="s">
        <v>16</v>
      </c>
      <c r="B29" s="1" t="s">
        <v>95</v>
      </c>
      <c r="C29" s="11"/>
      <c r="D29" s="11"/>
      <c r="E29" s="11"/>
      <c r="F29" s="11"/>
      <c r="G29" s="11">
        <f t="shared" si="0"/>
        <v>0</v>
      </c>
      <c r="H29" s="17">
        <f t="shared" si="1"/>
        <v>0</v>
      </c>
      <c r="I29" s="16">
        <f t="shared" si="2"/>
        <v>0</v>
      </c>
      <c r="J29" s="16">
        <f>ROUND(G29/295-1,2)</f>
        <v>-1</v>
      </c>
    </row>
    <row r="30" spans="1:10" x14ac:dyDescent="0.25">
      <c r="A30" s="1" t="s">
        <v>16</v>
      </c>
      <c r="B30" s="1" t="s">
        <v>39</v>
      </c>
      <c r="C30" s="11"/>
      <c r="D30" s="11"/>
      <c r="E30" s="11"/>
      <c r="F30" s="11"/>
      <c r="G30" s="11">
        <f t="shared" si="0"/>
        <v>0</v>
      </c>
      <c r="H30" s="17">
        <f t="shared" si="1"/>
        <v>0</v>
      </c>
      <c r="I30" s="16">
        <f t="shared" si="2"/>
        <v>0</v>
      </c>
      <c r="J30" s="16">
        <f>ROUND(G30/138-1,2)</f>
        <v>-1</v>
      </c>
    </row>
    <row r="31" spans="1:10" x14ac:dyDescent="0.25">
      <c r="A31" s="1" t="s">
        <v>16</v>
      </c>
      <c r="B31" s="1" t="s">
        <v>40</v>
      </c>
      <c r="C31" s="11"/>
      <c r="D31" s="11"/>
      <c r="E31" s="11"/>
      <c r="F31" s="11"/>
      <c r="G31" s="11">
        <f t="shared" si="0"/>
        <v>0</v>
      </c>
      <c r="H31" s="17">
        <f t="shared" si="1"/>
        <v>0</v>
      </c>
      <c r="I31" s="16">
        <f t="shared" si="2"/>
        <v>0</v>
      </c>
      <c r="J31" s="16">
        <f>ROUND(G31/3633-1,2)</f>
        <v>-1</v>
      </c>
    </row>
    <row r="32" spans="1:10" x14ac:dyDescent="0.25">
      <c r="A32" s="1" t="s">
        <v>16</v>
      </c>
      <c r="B32" s="1" t="s">
        <v>33</v>
      </c>
      <c r="C32" s="11"/>
      <c r="D32" s="11"/>
      <c r="E32" s="11"/>
      <c r="F32" s="11"/>
      <c r="G32" s="11">
        <f t="shared" si="0"/>
        <v>0</v>
      </c>
      <c r="H32" s="17">
        <f t="shared" si="1"/>
        <v>0</v>
      </c>
      <c r="I32" s="16">
        <f t="shared" si="2"/>
        <v>0</v>
      </c>
      <c r="J32" s="16"/>
    </row>
    <row r="33" spans="1:10" x14ac:dyDescent="0.25">
      <c r="A33" s="1" t="s">
        <v>16</v>
      </c>
      <c r="B33" s="1" t="s">
        <v>34</v>
      </c>
      <c r="C33" s="11"/>
      <c r="D33" s="11"/>
      <c r="E33" s="11"/>
      <c r="F33" s="11"/>
      <c r="G33" s="11">
        <f t="shared" si="0"/>
        <v>0</v>
      </c>
      <c r="H33" s="17">
        <f t="shared" si="1"/>
        <v>0</v>
      </c>
      <c r="I33" s="16">
        <f t="shared" si="2"/>
        <v>0</v>
      </c>
      <c r="J33" s="16">
        <f>ROUND(G33/556-1,2)</f>
        <v>-1</v>
      </c>
    </row>
    <row r="34" spans="1:10" x14ac:dyDescent="0.25">
      <c r="A34" s="1" t="s">
        <v>16</v>
      </c>
      <c r="B34" s="1" t="s">
        <v>41</v>
      </c>
      <c r="C34" s="11"/>
      <c r="D34" s="11"/>
      <c r="E34" s="11"/>
      <c r="F34" s="11"/>
      <c r="G34" s="11">
        <f t="shared" si="0"/>
        <v>0</v>
      </c>
      <c r="H34" s="17">
        <f t="shared" si="1"/>
        <v>0</v>
      </c>
      <c r="I34" s="16">
        <f t="shared" si="2"/>
        <v>0</v>
      </c>
      <c r="J34" s="16">
        <f>ROUND(G34/1563-1,2)</f>
        <v>-1</v>
      </c>
    </row>
    <row r="35" spans="1:10" x14ac:dyDescent="0.25">
      <c r="A35" s="1" t="s">
        <v>16</v>
      </c>
      <c r="B35" s="1" t="s">
        <v>42</v>
      </c>
      <c r="C35" s="11"/>
      <c r="D35" s="11"/>
      <c r="E35" s="11"/>
      <c r="F35" s="11"/>
      <c r="G35" s="11">
        <f t="shared" si="0"/>
        <v>0</v>
      </c>
      <c r="H35" s="17">
        <f t="shared" si="1"/>
        <v>0</v>
      </c>
      <c r="I35" s="16">
        <f t="shared" si="2"/>
        <v>0</v>
      </c>
      <c r="J35" s="16">
        <f>ROUND(G35/4850-1,2)</f>
        <v>-1</v>
      </c>
    </row>
    <row r="36" spans="1:10" x14ac:dyDescent="0.25">
      <c r="A36" s="1" t="s">
        <v>16</v>
      </c>
      <c r="B36" s="1" t="s">
        <v>43</v>
      </c>
      <c r="C36" s="11"/>
      <c r="D36" s="11"/>
      <c r="E36" s="11"/>
      <c r="F36" s="11"/>
      <c r="G36" s="11">
        <f t="shared" si="0"/>
        <v>0</v>
      </c>
      <c r="H36" s="17">
        <f t="shared" si="1"/>
        <v>0</v>
      </c>
      <c r="I36" s="16">
        <f t="shared" si="2"/>
        <v>0</v>
      </c>
      <c r="J36" s="16">
        <f>ROUND(G36/6415-1,2)</f>
        <v>-1</v>
      </c>
    </row>
    <row r="37" spans="1:10" x14ac:dyDescent="0.25">
      <c r="A37" s="1" t="s">
        <v>16</v>
      </c>
      <c r="B37" s="1" t="s">
        <v>241</v>
      </c>
      <c r="C37" s="11"/>
      <c r="D37" s="11"/>
      <c r="E37" s="11"/>
      <c r="F37" s="11"/>
      <c r="G37" s="11">
        <f t="shared" si="0"/>
        <v>0</v>
      </c>
      <c r="H37" s="17">
        <f t="shared" si="1"/>
        <v>0</v>
      </c>
      <c r="I37" s="16">
        <f t="shared" si="2"/>
        <v>0</v>
      </c>
      <c r="J37" s="16">
        <f>ROUND(G37/836-1,2)</f>
        <v>-1</v>
      </c>
    </row>
    <row r="38" spans="1:10" x14ac:dyDescent="0.25">
      <c r="A38" s="1" t="s">
        <v>16</v>
      </c>
      <c r="B38" s="1" t="s">
        <v>242</v>
      </c>
      <c r="C38" s="11"/>
      <c r="D38" s="11"/>
      <c r="E38" s="11"/>
      <c r="F38" s="11"/>
      <c r="G38" s="11">
        <f t="shared" si="0"/>
        <v>0</v>
      </c>
      <c r="H38" s="17">
        <f t="shared" si="1"/>
        <v>0</v>
      </c>
      <c r="I38" s="16">
        <f t="shared" si="2"/>
        <v>0</v>
      </c>
      <c r="J38" s="16"/>
    </row>
    <row r="39" spans="1:10" x14ac:dyDescent="0.25">
      <c r="A39" s="1" t="s">
        <v>16</v>
      </c>
      <c r="B39" s="1" t="s">
        <v>158</v>
      </c>
      <c r="C39" s="11"/>
      <c r="D39" s="11"/>
      <c r="E39" s="11"/>
      <c r="F39" s="11"/>
      <c r="G39" s="11">
        <f t="shared" si="0"/>
        <v>0</v>
      </c>
      <c r="H39" s="17">
        <f t="shared" si="1"/>
        <v>0</v>
      </c>
      <c r="I39" s="16">
        <f t="shared" si="2"/>
        <v>0</v>
      </c>
      <c r="J39" s="16"/>
    </row>
    <row r="40" spans="1:10" x14ac:dyDescent="0.25">
      <c r="A40" s="1" t="s">
        <v>16</v>
      </c>
      <c r="B40" s="1" t="s">
        <v>118</v>
      </c>
      <c r="C40" s="11"/>
      <c r="D40" s="11"/>
      <c r="E40" s="11"/>
      <c r="F40" s="11"/>
      <c r="G40" s="11">
        <f t="shared" si="0"/>
        <v>0</v>
      </c>
      <c r="H40" s="17">
        <f t="shared" si="1"/>
        <v>0</v>
      </c>
      <c r="I40" s="16">
        <f t="shared" si="2"/>
        <v>0</v>
      </c>
      <c r="J40" s="16"/>
    </row>
    <row r="41" spans="1:10" x14ac:dyDescent="0.25">
      <c r="A41" s="1" t="s">
        <v>44</v>
      </c>
      <c r="B41" s="1" t="s">
        <v>45</v>
      </c>
      <c r="C41" s="11">
        <v>197760</v>
      </c>
      <c r="D41" s="11"/>
      <c r="E41" s="11"/>
      <c r="F41" s="11"/>
      <c r="G41" s="11">
        <f t="shared" si="0"/>
        <v>197760</v>
      </c>
      <c r="H41" s="17">
        <f t="shared" si="1"/>
        <v>21.4</v>
      </c>
      <c r="I41" s="16">
        <f t="shared" si="2"/>
        <v>0.16200000000000001</v>
      </c>
      <c r="J41" s="16">
        <f>ROUND(G41/183580-1,2)</f>
        <v>0.08</v>
      </c>
    </row>
    <row r="42" spans="1:10" x14ac:dyDescent="0.25">
      <c r="A42" s="1" t="s">
        <v>44</v>
      </c>
      <c r="B42" s="1" t="s">
        <v>47</v>
      </c>
      <c r="C42" s="11"/>
      <c r="D42" s="11"/>
      <c r="E42" s="11"/>
      <c r="F42" s="11">
        <v>31540</v>
      </c>
      <c r="G42" s="11">
        <f t="shared" si="0"/>
        <v>31540</v>
      </c>
      <c r="H42" s="17">
        <f t="shared" si="1"/>
        <v>3.41</v>
      </c>
      <c r="I42" s="16">
        <f t="shared" si="2"/>
        <v>2.5999999999999999E-2</v>
      </c>
      <c r="J42" s="16">
        <f>ROUND(G42/20020-1,2)</f>
        <v>0.57999999999999996</v>
      </c>
    </row>
    <row r="43" spans="1:10" x14ac:dyDescent="0.25">
      <c r="A43" s="1" t="s">
        <v>44</v>
      </c>
      <c r="B43" s="1" t="s">
        <v>46</v>
      </c>
      <c r="C43" s="11"/>
      <c r="D43" s="11"/>
      <c r="E43" s="11">
        <v>58240</v>
      </c>
      <c r="F43" s="11"/>
      <c r="G43" s="11">
        <f t="shared" si="0"/>
        <v>58240</v>
      </c>
      <c r="H43" s="17">
        <f t="shared" si="1"/>
        <v>6.3</v>
      </c>
      <c r="I43" s="16">
        <f t="shared" si="2"/>
        <v>4.8000000000000001E-2</v>
      </c>
      <c r="J43" s="16">
        <f>ROUND(G43/55650-1,2)</f>
        <v>0.05</v>
      </c>
    </row>
    <row r="44" spans="1:10" x14ac:dyDescent="0.25">
      <c r="A44" s="1" t="s">
        <v>48</v>
      </c>
      <c r="B44" s="1" t="s">
        <v>49</v>
      </c>
      <c r="C44" s="11"/>
      <c r="D44" s="11"/>
      <c r="E44" s="11"/>
      <c r="F44" s="11"/>
      <c r="G44" s="11">
        <f t="shared" si="0"/>
        <v>0</v>
      </c>
      <c r="H44" s="17">
        <f t="shared" si="1"/>
        <v>0</v>
      </c>
      <c r="I44" s="16">
        <f t="shared" si="2"/>
        <v>0</v>
      </c>
      <c r="J44" s="16">
        <f>ROUND(G44/10-1,2)</f>
        <v>-1</v>
      </c>
    </row>
    <row r="45" spans="1:10" x14ac:dyDescent="0.25">
      <c r="A45" s="1" t="s">
        <v>48</v>
      </c>
      <c r="B45" s="1" t="s">
        <v>86</v>
      </c>
      <c r="C45" s="11"/>
      <c r="D45" s="11"/>
      <c r="E45" s="11"/>
      <c r="F45" s="11"/>
      <c r="G45" s="11">
        <f t="shared" si="0"/>
        <v>0</v>
      </c>
      <c r="H45" s="17">
        <f t="shared" si="1"/>
        <v>0</v>
      </c>
      <c r="I45" s="16">
        <f t="shared" si="2"/>
        <v>0</v>
      </c>
      <c r="J45" s="16"/>
    </row>
    <row r="46" spans="1:10" x14ac:dyDescent="0.25">
      <c r="A46" s="1" t="s">
        <v>48</v>
      </c>
      <c r="B46" s="1" t="s">
        <v>50</v>
      </c>
      <c r="C46" s="11"/>
      <c r="D46" s="11"/>
      <c r="E46" s="11"/>
      <c r="F46" s="11"/>
      <c r="G46" s="11">
        <f t="shared" si="0"/>
        <v>0</v>
      </c>
      <c r="H46" s="17">
        <f t="shared" si="1"/>
        <v>0</v>
      </c>
      <c r="I46" s="16">
        <f t="shared" si="2"/>
        <v>0</v>
      </c>
      <c r="J46" s="16">
        <f>ROUND(G46/147-1,2)</f>
        <v>-1</v>
      </c>
    </row>
    <row r="47" spans="1:10" x14ac:dyDescent="0.25">
      <c r="A47" s="1" t="s">
        <v>48</v>
      </c>
      <c r="B47" s="1" t="s">
        <v>51</v>
      </c>
      <c r="C47" s="11"/>
      <c r="D47" s="11"/>
      <c r="E47" s="11"/>
      <c r="F47" s="11"/>
      <c r="G47" s="11">
        <f t="shared" si="0"/>
        <v>0</v>
      </c>
      <c r="H47" s="17">
        <f t="shared" si="1"/>
        <v>0</v>
      </c>
      <c r="I47" s="16">
        <f t="shared" si="2"/>
        <v>0</v>
      </c>
      <c r="J47" s="16"/>
    </row>
    <row r="48" spans="1:10" x14ac:dyDescent="0.25">
      <c r="A48" s="21" t="s">
        <v>12</v>
      </c>
      <c r="B48" s="21"/>
      <c r="C48" s="12">
        <f t="shared" ref="C48:H48" si="3">SUM(C8:C47)</f>
        <v>768430</v>
      </c>
      <c r="D48" s="12">
        <f t="shared" si="3"/>
        <v>236</v>
      </c>
      <c r="E48" s="12">
        <f t="shared" si="3"/>
        <v>419434</v>
      </c>
      <c r="F48" s="12">
        <f t="shared" si="3"/>
        <v>31680</v>
      </c>
      <c r="G48" s="12">
        <f t="shared" si="3"/>
        <v>1219780</v>
      </c>
      <c r="H48" s="15">
        <f t="shared" si="3"/>
        <v>131.99999999999997</v>
      </c>
      <c r="I48" s="18"/>
      <c r="J48" s="18"/>
    </row>
    <row r="49" spans="1:10" x14ac:dyDescent="0.25">
      <c r="A49" s="21" t="s">
        <v>14</v>
      </c>
      <c r="B49" s="21"/>
      <c r="C49" s="13">
        <f>ROUND(C48/G48,2)</f>
        <v>0.63</v>
      </c>
      <c r="D49" s="13">
        <f>ROUND(D48/G48,2)</f>
        <v>0</v>
      </c>
      <c r="E49" s="13">
        <f>ROUND(E48/G48,2)</f>
        <v>0.34</v>
      </c>
      <c r="F49" s="13">
        <f>ROUND(F48/G48,2)</f>
        <v>0.03</v>
      </c>
      <c r="G49" s="14"/>
      <c r="H49" s="14"/>
      <c r="I49" s="18"/>
      <c r="J49" s="18"/>
    </row>
    <row r="50" spans="1:10" x14ac:dyDescent="0.25">
      <c r="A50" s="2" t="s">
        <v>52</v>
      </c>
      <c r="B50" s="2"/>
      <c r="C50" s="14"/>
      <c r="D50" s="14"/>
      <c r="E50" s="14"/>
      <c r="F50" s="14"/>
      <c r="G50" s="14"/>
      <c r="H50" s="14"/>
      <c r="I50" s="18"/>
      <c r="J50" s="18"/>
    </row>
    <row r="51" spans="1:10" x14ac:dyDescent="0.25">
      <c r="C51" s="9"/>
      <c r="D51" s="9"/>
      <c r="E51" s="9"/>
      <c r="F51" s="9"/>
      <c r="G51" s="9"/>
      <c r="H51" s="9"/>
      <c r="I51" s="10"/>
      <c r="J51" s="10"/>
    </row>
    <row r="52" spans="1:10" x14ac:dyDescent="0.25">
      <c r="C52" s="9"/>
      <c r="D52" s="9"/>
      <c r="E52" s="9"/>
      <c r="F52" s="9"/>
      <c r="G52" s="9"/>
      <c r="H52" s="9"/>
      <c r="I52" s="10"/>
      <c r="J52" s="10"/>
    </row>
    <row r="53" spans="1:10" x14ac:dyDescent="0.25">
      <c r="C53" s="9"/>
      <c r="D53" s="9"/>
      <c r="E53" s="9"/>
      <c r="F53" s="9"/>
      <c r="G53" s="9"/>
      <c r="H53" s="9"/>
      <c r="I53" s="10"/>
      <c r="J53" s="10"/>
    </row>
    <row r="54" spans="1:10" x14ac:dyDescent="0.25">
      <c r="A54" s="21" t="s">
        <v>53</v>
      </c>
      <c r="B54" s="21"/>
      <c r="C54" s="12" t="s">
        <v>8</v>
      </c>
      <c r="D54" s="12" t="s">
        <v>9</v>
      </c>
      <c r="E54" s="12" t="s">
        <v>10</v>
      </c>
      <c r="F54" s="12" t="s">
        <v>11</v>
      </c>
      <c r="G54" s="12" t="s">
        <v>12</v>
      </c>
      <c r="H54" s="15" t="s">
        <v>13</v>
      </c>
      <c r="I54" s="18"/>
      <c r="J54" s="18"/>
    </row>
    <row r="55" spans="1:10" x14ac:dyDescent="0.25">
      <c r="A55" s="20" t="s">
        <v>54</v>
      </c>
      <c r="B55" s="20"/>
      <c r="C55" s="11">
        <v>570670</v>
      </c>
      <c r="D55" s="11">
        <v>236</v>
      </c>
      <c r="E55" s="11">
        <v>361194</v>
      </c>
      <c r="F55" s="11">
        <v>140</v>
      </c>
      <c r="G55" s="11">
        <f>SUM(C55:F55)</f>
        <v>932240</v>
      </c>
      <c r="H55" s="17">
        <f>ROUND(G55/9241,2)</f>
        <v>100.88</v>
      </c>
      <c r="I55" s="10"/>
      <c r="J55" s="10"/>
    </row>
    <row r="56" spans="1:10" x14ac:dyDescent="0.25">
      <c r="A56" s="20" t="s">
        <v>55</v>
      </c>
      <c r="B56" s="20"/>
      <c r="C56" s="11">
        <v>197760</v>
      </c>
      <c r="D56" s="11">
        <v>0</v>
      </c>
      <c r="E56" s="11">
        <v>58240</v>
      </c>
      <c r="F56" s="11">
        <v>31540</v>
      </c>
      <c r="G56" s="11">
        <f>SUM(C56:F56)</f>
        <v>287540</v>
      </c>
      <c r="H56" s="17">
        <f>ROUND(G56/9241,2)</f>
        <v>31.12</v>
      </c>
      <c r="I56" s="10"/>
      <c r="J56" s="10"/>
    </row>
    <row r="57" spans="1:10" x14ac:dyDescent="0.25">
      <c r="A57" s="20" t="s">
        <v>56</v>
      </c>
      <c r="B57" s="20"/>
      <c r="C57" s="11">
        <v>0</v>
      </c>
      <c r="D57" s="11">
        <v>0</v>
      </c>
      <c r="E57" s="11">
        <v>0</v>
      </c>
      <c r="F57" s="11">
        <v>0</v>
      </c>
      <c r="G57" s="11">
        <f>SUM(C57:F57)</f>
        <v>0</v>
      </c>
      <c r="H57" s="17">
        <f>ROUND(G57/9241,2)</f>
        <v>0</v>
      </c>
      <c r="I57" s="10"/>
      <c r="J57" s="10"/>
    </row>
    <row r="58" spans="1:10" x14ac:dyDescent="0.25">
      <c r="C58" s="9"/>
      <c r="D58" s="9"/>
      <c r="E58" s="9"/>
      <c r="F58" s="9"/>
      <c r="G58" s="9"/>
      <c r="H58" s="9"/>
      <c r="I58" s="10"/>
      <c r="J58" s="10"/>
    </row>
    <row r="59" spans="1:10" x14ac:dyDescent="0.25">
      <c r="C59" s="9"/>
      <c r="D59" s="9"/>
      <c r="E59" s="9"/>
      <c r="F59" s="9"/>
      <c r="G59" s="9"/>
      <c r="H59" s="9"/>
      <c r="I59" s="10"/>
      <c r="J59" s="10"/>
    </row>
    <row r="60" spans="1:10" x14ac:dyDescent="0.25">
      <c r="C60" s="9"/>
      <c r="D60" s="9"/>
      <c r="E60" s="9"/>
      <c r="F60" s="9"/>
      <c r="G60" s="9"/>
      <c r="H60" s="9"/>
      <c r="I60" s="10"/>
      <c r="J60" s="10"/>
    </row>
    <row r="61" spans="1:10" x14ac:dyDescent="0.25">
      <c r="C61" s="9"/>
      <c r="D61" s="9"/>
      <c r="E61" s="9"/>
      <c r="F61" s="9"/>
      <c r="G61" s="9"/>
      <c r="H61" s="9"/>
      <c r="I61" s="10"/>
      <c r="J61" s="10"/>
    </row>
    <row r="62" spans="1:10" x14ac:dyDescent="0.25">
      <c r="A62" s="21" t="s">
        <v>57</v>
      </c>
      <c r="B62" s="21"/>
      <c r="C62" s="15" t="s">
        <v>2</v>
      </c>
      <c r="D62" s="15">
        <v>2023</v>
      </c>
      <c r="E62" s="15" t="s">
        <v>59</v>
      </c>
      <c r="F62" s="14"/>
      <c r="G62" s="15" t="s">
        <v>60</v>
      </c>
      <c r="H62" s="15" t="s">
        <v>2</v>
      </c>
      <c r="I62" s="13" t="s">
        <v>61</v>
      </c>
      <c r="J62" s="13" t="s">
        <v>59</v>
      </c>
    </row>
    <row r="63" spans="1:10" x14ac:dyDescent="0.25">
      <c r="A63" s="20" t="s">
        <v>58</v>
      </c>
      <c r="B63" s="20"/>
      <c r="C63" s="16">
        <f>ROUND(0.8208, 4)</f>
        <v>0.82079999999999997</v>
      </c>
      <c r="D63" s="16">
        <f>ROUND(0.8302, 4)</f>
        <v>0.83020000000000005</v>
      </c>
      <c r="E63" s="16">
        <f>ROUND(0.777, 4)</f>
        <v>0.77700000000000002</v>
      </c>
      <c r="F63" s="9"/>
      <c r="G63" s="15" t="s">
        <v>62</v>
      </c>
      <c r="H63" s="22" t="s">
        <v>63</v>
      </c>
      <c r="I63" s="24" t="s">
        <v>64</v>
      </c>
      <c r="J63" s="24" t="s">
        <v>65</v>
      </c>
    </row>
    <row r="64" spans="1:10" x14ac:dyDescent="0.25">
      <c r="A64" s="20" t="s">
        <v>66</v>
      </c>
      <c r="B64" s="20"/>
      <c r="C64" s="16">
        <f>ROUND(0.8104, 4)</f>
        <v>0.81040000000000001</v>
      </c>
      <c r="D64" s="16">
        <f>ROUND(0.8199, 4)</f>
        <v>0.81989999999999996</v>
      </c>
      <c r="E64" s="16">
        <f>ROUND(0.7608, 4)</f>
        <v>0.76080000000000003</v>
      </c>
      <c r="F64" s="9"/>
      <c r="G64" s="15" t="s">
        <v>67</v>
      </c>
      <c r="H64" s="23"/>
      <c r="I64" s="25"/>
      <c r="J64" s="25"/>
    </row>
    <row r="65" spans="1:10" x14ac:dyDescent="0.25">
      <c r="C65" s="9"/>
      <c r="D65" s="9"/>
      <c r="E65" s="9"/>
      <c r="F65" s="9"/>
      <c r="G65" s="9"/>
      <c r="H65" s="9"/>
      <c r="I65" s="10"/>
      <c r="J65" s="10"/>
    </row>
    <row r="66" spans="1:10" x14ac:dyDescent="0.25">
      <c r="C66" s="9"/>
      <c r="D66" s="9"/>
      <c r="E66" s="9"/>
      <c r="F66" s="9"/>
      <c r="G66" s="9"/>
      <c r="H66" s="9"/>
      <c r="I66" s="10"/>
      <c r="J66" s="10"/>
    </row>
    <row r="67" spans="1:10" x14ac:dyDescent="0.25">
      <c r="C67" s="9"/>
      <c r="D67" s="9"/>
      <c r="E67" s="9"/>
      <c r="F67" s="9"/>
      <c r="G67" s="9"/>
      <c r="H67" s="9"/>
      <c r="I67" s="10"/>
      <c r="J67" s="10"/>
    </row>
    <row r="68" spans="1:10" x14ac:dyDescent="0.25">
      <c r="A68" s="21" t="s">
        <v>68</v>
      </c>
      <c r="B68" s="21"/>
      <c r="C68" s="15" t="s">
        <v>2</v>
      </c>
      <c r="D68" s="15" t="s">
        <v>243</v>
      </c>
      <c r="E68" s="15" t="s">
        <v>70</v>
      </c>
      <c r="F68" s="15" t="s">
        <v>71</v>
      </c>
      <c r="G68" s="15" t="s">
        <v>72</v>
      </c>
      <c r="H68" s="14"/>
      <c r="I68" s="18"/>
      <c r="J68" s="18"/>
    </row>
    <row r="69" spans="1:10" x14ac:dyDescent="0.25">
      <c r="A69" s="20" t="s">
        <v>73</v>
      </c>
      <c r="B69" s="20"/>
      <c r="C69" s="17">
        <v>21.4</v>
      </c>
      <c r="D69" s="17">
        <v>51.99</v>
      </c>
      <c r="E69" s="17">
        <v>81.84</v>
      </c>
      <c r="F69" s="17">
        <v>48</v>
      </c>
      <c r="G69" s="17">
        <f>12/4*C69</f>
        <v>64.199999999999989</v>
      </c>
      <c r="H69" s="9"/>
      <c r="I69" s="10"/>
      <c r="J69" s="10"/>
    </row>
    <row r="70" spans="1:10" x14ac:dyDescent="0.25">
      <c r="A70" s="20" t="s">
        <v>74</v>
      </c>
      <c r="B70" s="20"/>
      <c r="C70" s="17">
        <v>23.96</v>
      </c>
      <c r="D70" s="17">
        <v>60.41</v>
      </c>
      <c r="E70" s="17">
        <v>55.63</v>
      </c>
      <c r="F70" s="17">
        <v>55.33</v>
      </c>
      <c r="G70" s="17">
        <f>12/4*C70</f>
        <v>71.88</v>
      </c>
      <c r="H70" s="9"/>
      <c r="I70" s="10"/>
      <c r="J70" s="10"/>
    </row>
    <row r="71" spans="1:10" x14ac:dyDescent="0.25">
      <c r="A71" s="20" t="s">
        <v>75</v>
      </c>
      <c r="B71" s="20"/>
      <c r="C71" s="17">
        <v>100.88</v>
      </c>
      <c r="D71" s="17">
        <v>275.61</v>
      </c>
      <c r="E71" s="17">
        <v>257.88</v>
      </c>
      <c r="F71" s="17">
        <v>242.78</v>
      </c>
      <c r="G71" s="17">
        <f>12/4*C71</f>
        <v>302.64</v>
      </c>
      <c r="H71" s="9"/>
      <c r="I71" s="10"/>
      <c r="J71" s="10"/>
    </row>
    <row r="72" spans="1:10" x14ac:dyDescent="0.25">
      <c r="A72" s="20" t="s">
        <v>76</v>
      </c>
      <c r="B72" s="20"/>
      <c r="C72" s="17">
        <v>31.12</v>
      </c>
      <c r="D72" s="17">
        <v>73.540000000000006</v>
      </c>
      <c r="E72" s="17">
        <v>103.14</v>
      </c>
      <c r="F72" s="17">
        <v>68.31</v>
      </c>
      <c r="G72" s="17">
        <f>12/4*C72</f>
        <v>93.36</v>
      </c>
      <c r="H72" s="9"/>
      <c r="I72" s="10"/>
      <c r="J72" s="10"/>
    </row>
    <row r="75" spans="1:10" x14ac:dyDescent="0.25">
      <c r="A75" s="19" t="s">
        <v>60</v>
      </c>
      <c r="B75" s="26"/>
    </row>
    <row r="76" spans="1:10" x14ac:dyDescent="0.25">
      <c r="A76" s="3" t="s">
        <v>77</v>
      </c>
      <c r="B76" s="1" t="s">
        <v>244</v>
      </c>
    </row>
    <row r="77" spans="1:10" x14ac:dyDescent="0.25">
      <c r="A77" s="3" t="s">
        <v>70</v>
      </c>
      <c r="B77" s="1" t="s">
        <v>79</v>
      </c>
    </row>
    <row r="78" spans="1:10" x14ac:dyDescent="0.25">
      <c r="A78" s="3" t="s">
        <v>71</v>
      </c>
      <c r="B78" s="1" t="s">
        <v>80</v>
      </c>
    </row>
    <row r="79" spans="1:10" x14ac:dyDescent="0.25">
      <c r="A79" s="3" t="s">
        <v>72</v>
      </c>
      <c r="B79" s="1" t="s">
        <v>81</v>
      </c>
    </row>
  </sheetData>
  <mergeCells count="19">
    <mergeCell ref="A70:B70"/>
    <mergeCell ref="A71:B71"/>
    <mergeCell ref="A72:B72"/>
    <mergeCell ref="A75:B75"/>
    <mergeCell ref="I63:I64"/>
    <mergeCell ref="J63:J64"/>
    <mergeCell ref="A64:B64"/>
    <mergeCell ref="A68:B68"/>
    <mergeCell ref="A69:B69"/>
    <mergeCell ref="A56:B56"/>
    <mergeCell ref="A57:B57"/>
    <mergeCell ref="A62:B62"/>
    <mergeCell ref="A63:B63"/>
    <mergeCell ref="H63:H64"/>
    <mergeCell ref="C7:G7"/>
    <mergeCell ref="A48:B48"/>
    <mergeCell ref="A49:B49"/>
    <mergeCell ref="A54:B54"/>
    <mergeCell ref="A55:B55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2:J74"/>
  <sheetViews>
    <sheetView workbookViewId="0">
      <selection activeCell="C9" sqref="C9:J74"/>
    </sheetView>
  </sheetViews>
  <sheetFormatPr defaultRowHeight="15" x14ac:dyDescent="0.25"/>
  <cols>
    <col min="1" max="1" width="38.85546875" bestFit="1" customWidth="1"/>
    <col min="2" max="2" width="79" bestFit="1" customWidth="1"/>
    <col min="3" max="3" width="14" bestFit="1" customWidth="1"/>
    <col min="4" max="4" width="23.42578125" bestFit="1" customWidth="1"/>
    <col min="5" max="5" width="16.42578125" bestFit="1" customWidth="1"/>
    <col min="6" max="6" width="10.5703125" bestFit="1" customWidth="1"/>
    <col min="7" max="7" width="68.28515625" bestFit="1" customWidth="1"/>
    <col min="8" max="9" width="20" bestFit="1" customWidth="1"/>
    <col min="10" max="10" width="30.5703125" bestFit="1" customWidth="1"/>
  </cols>
  <sheetData>
    <row r="2" spans="1:10" ht="18.75" x14ac:dyDescent="0.3">
      <c r="A2" s="3" t="s">
        <v>0</v>
      </c>
      <c r="B2" s="4" t="s">
        <v>245</v>
      </c>
    </row>
    <row r="3" spans="1:10" x14ac:dyDescent="0.25">
      <c r="A3" s="3" t="s">
        <v>2</v>
      </c>
      <c r="B3" s="1" t="s">
        <v>3</v>
      </c>
    </row>
    <row r="4" spans="1:10" x14ac:dyDescent="0.25">
      <c r="A4" s="3" t="s">
        <v>4</v>
      </c>
      <c r="B4" s="1">
        <v>2340</v>
      </c>
    </row>
    <row r="7" spans="1:10" x14ac:dyDescent="0.25">
      <c r="C7" s="19" t="s">
        <v>5</v>
      </c>
      <c r="D7" s="20"/>
      <c r="E7" s="20"/>
      <c r="F7" s="20"/>
      <c r="G7" s="20"/>
    </row>
    <row r="8" spans="1:10" x14ac:dyDescent="0.25">
      <c r="A8" s="3" t="s">
        <v>6</v>
      </c>
      <c r="B8" s="3" t="s">
        <v>7</v>
      </c>
      <c r="C8" s="3" t="s">
        <v>8</v>
      </c>
      <c r="D8" s="3" t="s">
        <v>9</v>
      </c>
      <c r="E8" s="3" t="s">
        <v>10</v>
      </c>
      <c r="F8" s="3" t="s">
        <v>11</v>
      </c>
      <c r="G8" s="3" t="s">
        <v>12</v>
      </c>
      <c r="H8" s="3" t="s">
        <v>13</v>
      </c>
      <c r="I8" s="3" t="s">
        <v>14</v>
      </c>
      <c r="J8" s="3" t="s">
        <v>15</v>
      </c>
    </row>
    <row r="9" spans="1:10" x14ac:dyDescent="0.25">
      <c r="A9" s="1" t="s">
        <v>16</v>
      </c>
      <c r="B9" s="1" t="s">
        <v>19</v>
      </c>
      <c r="C9" s="11">
        <v>29760</v>
      </c>
      <c r="D9" s="11"/>
      <c r="E9" s="11">
        <v>660</v>
      </c>
      <c r="F9" s="11"/>
      <c r="G9" s="11">
        <f t="shared" ref="G9:G40" si="0">SUM(C9:F9)</f>
        <v>30420</v>
      </c>
      <c r="H9" s="17">
        <f t="shared" ref="H9:H40" si="1">ROUND(G9/2340,2)</f>
        <v>13</v>
      </c>
      <c r="I9" s="16">
        <f t="shared" ref="I9:I40" si="2">ROUND(G9/$G$41,3)</f>
        <v>0.123</v>
      </c>
      <c r="J9" s="16">
        <f>ROUND(G9/27610-1,2)</f>
        <v>0.1</v>
      </c>
    </row>
    <row r="10" spans="1:10" x14ac:dyDescent="0.25">
      <c r="A10" s="1" t="s">
        <v>16</v>
      </c>
      <c r="B10" s="1" t="s">
        <v>20</v>
      </c>
      <c r="C10" s="11">
        <v>24655</v>
      </c>
      <c r="D10" s="11"/>
      <c r="E10" s="11"/>
      <c r="F10" s="11"/>
      <c r="G10" s="11">
        <f t="shared" si="0"/>
        <v>24655</v>
      </c>
      <c r="H10" s="17">
        <f t="shared" si="1"/>
        <v>10.54</v>
      </c>
      <c r="I10" s="16">
        <f t="shared" si="2"/>
        <v>0.1</v>
      </c>
      <c r="J10" s="16">
        <f>ROUND(G10/28000-1,2)</f>
        <v>-0.12</v>
      </c>
    </row>
    <row r="11" spans="1:10" x14ac:dyDescent="0.25">
      <c r="A11" s="1" t="s">
        <v>16</v>
      </c>
      <c r="B11" s="1" t="s">
        <v>21</v>
      </c>
      <c r="C11" s="11"/>
      <c r="D11" s="11"/>
      <c r="E11" s="11">
        <v>70</v>
      </c>
      <c r="F11" s="11"/>
      <c r="G11" s="11">
        <f t="shared" si="0"/>
        <v>70</v>
      </c>
      <c r="H11" s="17">
        <f t="shared" si="1"/>
        <v>0.03</v>
      </c>
      <c r="I11" s="16">
        <f t="shared" si="2"/>
        <v>0</v>
      </c>
      <c r="J11" s="16"/>
    </row>
    <row r="12" spans="1:10" x14ac:dyDescent="0.25">
      <c r="A12" s="1" t="s">
        <v>16</v>
      </c>
      <c r="B12" s="1" t="s">
        <v>23</v>
      </c>
      <c r="C12" s="11"/>
      <c r="D12" s="11"/>
      <c r="E12" s="11">
        <v>13030</v>
      </c>
      <c r="F12" s="11"/>
      <c r="G12" s="11">
        <f t="shared" si="0"/>
        <v>13030</v>
      </c>
      <c r="H12" s="17">
        <f t="shared" si="1"/>
        <v>5.57</v>
      </c>
      <c r="I12" s="16">
        <f t="shared" si="2"/>
        <v>5.2999999999999999E-2</v>
      </c>
      <c r="J12" s="16">
        <f>ROUND(G12/14510-1,2)</f>
        <v>-0.1</v>
      </c>
    </row>
    <row r="13" spans="1:10" x14ac:dyDescent="0.25">
      <c r="A13" s="1" t="s">
        <v>16</v>
      </c>
      <c r="B13" s="1" t="s">
        <v>24</v>
      </c>
      <c r="C13" s="11">
        <v>26820</v>
      </c>
      <c r="D13" s="11"/>
      <c r="E13" s="11">
        <v>7920</v>
      </c>
      <c r="F13" s="11"/>
      <c r="G13" s="11">
        <f t="shared" si="0"/>
        <v>34740</v>
      </c>
      <c r="H13" s="17">
        <f t="shared" si="1"/>
        <v>14.85</v>
      </c>
      <c r="I13" s="16">
        <f t="shared" si="2"/>
        <v>0.14099999999999999</v>
      </c>
      <c r="J13" s="16">
        <f>ROUND(G13/32230-1,2)</f>
        <v>0.08</v>
      </c>
    </row>
    <row r="14" spans="1:10" x14ac:dyDescent="0.25">
      <c r="A14" s="1" t="s">
        <v>16</v>
      </c>
      <c r="B14" s="1" t="s">
        <v>25</v>
      </c>
      <c r="C14" s="11"/>
      <c r="D14" s="11"/>
      <c r="E14" s="11">
        <v>1260</v>
      </c>
      <c r="F14" s="11"/>
      <c r="G14" s="11">
        <f t="shared" si="0"/>
        <v>1260</v>
      </c>
      <c r="H14" s="17">
        <f t="shared" si="1"/>
        <v>0.54</v>
      </c>
      <c r="I14" s="16">
        <f t="shared" si="2"/>
        <v>5.0000000000000001E-3</v>
      </c>
      <c r="J14" s="16">
        <f>ROUND(G14/1370-1,2)</f>
        <v>-0.08</v>
      </c>
    </row>
    <row r="15" spans="1:10" x14ac:dyDescent="0.25">
      <c r="A15" s="1" t="s">
        <v>16</v>
      </c>
      <c r="B15" s="1" t="s">
        <v>26</v>
      </c>
      <c r="C15" s="11">
        <v>24580</v>
      </c>
      <c r="D15" s="11"/>
      <c r="E15" s="11"/>
      <c r="F15" s="11"/>
      <c r="G15" s="11">
        <f t="shared" si="0"/>
        <v>24580</v>
      </c>
      <c r="H15" s="17">
        <f t="shared" si="1"/>
        <v>10.5</v>
      </c>
      <c r="I15" s="16">
        <f t="shared" si="2"/>
        <v>0.1</v>
      </c>
      <c r="J15" s="16">
        <f>ROUND(G15/32340-1,2)</f>
        <v>-0.24</v>
      </c>
    </row>
    <row r="16" spans="1:10" x14ac:dyDescent="0.25">
      <c r="A16" s="1" t="s">
        <v>16</v>
      </c>
      <c r="B16" s="1" t="s">
        <v>27</v>
      </c>
      <c r="C16" s="11"/>
      <c r="D16" s="11"/>
      <c r="E16" s="11">
        <v>304</v>
      </c>
      <c r="F16" s="11"/>
      <c r="G16" s="11">
        <f t="shared" si="0"/>
        <v>304</v>
      </c>
      <c r="H16" s="17">
        <f t="shared" si="1"/>
        <v>0.13</v>
      </c>
      <c r="I16" s="16">
        <f t="shared" si="2"/>
        <v>1E-3</v>
      </c>
      <c r="J16" s="16">
        <f>ROUND(G16/121-1,2)</f>
        <v>1.51</v>
      </c>
    </row>
    <row r="17" spans="1:10" x14ac:dyDescent="0.25">
      <c r="A17" s="1" t="s">
        <v>16</v>
      </c>
      <c r="B17" s="1" t="s">
        <v>28</v>
      </c>
      <c r="C17" s="11"/>
      <c r="D17" s="11"/>
      <c r="E17" s="11">
        <v>171</v>
      </c>
      <c r="F17" s="11"/>
      <c r="G17" s="11">
        <f t="shared" si="0"/>
        <v>171</v>
      </c>
      <c r="H17" s="17">
        <f t="shared" si="1"/>
        <v>7.0000000000000007E-2</v>
      </c>
      <c r="I17" s="16">
        <f t="shared" si="2"/>
        <v>1E-3</v>
      </c>
      <c r="J17" s="16">
        <f>ROUND(G17/270-1,2)</f>
        <v>-0.37</v>
      </c>
    </row>
    <row r="18" spans="1:10" x14ac:dyDescent="0.25">
      <c r="A18" s="1" t="s">
        <v>16</v>
      </c>
      <c r="B18" s="1" t="s">
        <v>29</v>
      </c>
      <c r="C18" s="11"/>
      <c r="D18" s="11"/>
      <c r="E18" s="11">
        <v>150</v>
      </c>
      <c r="F18" s="11"/>
      <c r="G18" s="11">
        <f t="shared" si="0"/>
        <v>150</v>
      </c>
      <c r="H18" s="17">
        <f t="shared" si="1"/>
        <v>0.06</v>
      </c>
      <c r="I18" s="16">
        <f t="shared" si="2"/>
        <v>1E-3</v>
      </c>
      <c r="J18" s="16">
        <f>ROUND(G18/280-1,2)</f>
        <v>-0.46</v>
      </c>
    </row>
    <row r="19" spans="1:10" x14ac:dyDescent="0.25">
      <c r="A19" s="1" t="s">
        <v>16</v>
      </c>
      <c r="B19" s="1" t="s">
        <v>31</v>
      </c>
      <c r="C19" s="11"/>
      <c r="D19" s="11"/>
      <c r="E19" s="11">
        <v>335</v>
      </c>
      <c r="F19" s="11"/>
      <c r="G19" s="11">
        <f t="shared" si="0"/>
        <v>335</v>
      </c>
      <c r="H19" s="17">
        <f t="shared" si="1"/>
        <v>0.14000000000000001</v>
      </c>
      <c r="I19" s="16">
        <f t="shared" si="2"/>
        <v>1E-3</v>
      </c>
      <c r="J19" s="16">
        <f>ROUND(G19/425-1,2)</f>
        <v>-0.21</v>
      </c>
    </row>
    <row r="20" spans="1:10" x14ac:dyDescent="0.25">
      <c r="A20" s="1" t="s">
        <v>16</v>
      </c>
      <c r="B20" s="1" t="s">
        <v>35</v>
      </c>
      <c r="C20" s="11"/>
      <c r="D20" s="11"/>
      <c r="E20" s="11">
        <v>10145</v>
      </c>
      <c r="F20" s="11"/>
      <c r="G20" s="11">
        <f t="shared" si="0"/>
        <v>10145</v>
      </c>
      <c r="H20" s="17">
        <f t="shared" si="1"/>
        <v>4.34</v>
      </c>
      <c r="I20" s="16">
        <f t="shared" si="2"/>
        <v>4.1000000000000002E-2</v>
      </c>
      <c r="J20" s="16">
        <f>ROUND(G20/16820-1,2)</f>
        <v>-0.4</v>
      </c>
    </row>
    <row r="21" spans="1:10" x14ac:dyDescent="0.25">
      <c r="A21" s="1" t="s">
        <v>16</v>
      </c>
      <c r="B21" s="1" t="s">
        <v>36</v>
      </c>
      <c r="C21" s="11"/>
      <c r="D21" s="11"/>
      <c r="E21" s="11">
        <v>1000</v>
      </c>
      <c r="F21" s="11"/>
      <c r="G21" s="11">
        <f t="shared" si="0"/>
        <v>1000</v>
      </c>
      <c r="H21" s="17">
        <f t="shared" si="1"/>
        <v>0.43</v>
      </c>
      <c r="I21" s="16">
        <f t="shared" si="2"/>
        <v>4.0000000000000001E-3</v>
      </c>
      <c r="J21" s="16">
        <f>ROUND(G21/2100-1,2)</f>
        <v>-0.52</v>
      </c>
    </row>
    <row r="22" spans="1:10" x14ac:dyDescent="0.25">
      <c r="A22" s="1" t="s">
        <v>16</v>
      </c>
      <c r="B22" s="1" t="s">
        <v>37</v>
      </c>
      <c r="C22" s="11"/>
      <c r="D22" s="11"/>
      <c r="E22" s="11">
        <v>6270</v>
      </c>
      <c r="F22" s="11"/>
      <c r="G22" s="11">
        <f t="shared" si="0"/>
        <v>6270</v>
      </c>
      <c r="H22" s="17">
        <f t="shared" si="1"/>
        <v>2.68</v>
      </c>
      <c r="I22" s="16">
        <f t="shared" si="2"/>
        <v>2.5000000000000001E-2</v>
      </c>
      <c r="J22" s="16">
        <f>ROUND(G22/8060-1,2)</f>
        <v>-0.22</v>
      </c>
    </row>
    <row r="23" spans="1:10" x14ac:dyDescent="0.25">
      <c r="A23" s="1" t="s">
        <v>16</v>
      </c>
      <c r="B23" s="1" t="s">
        <v>38</v>
      </c>
      <c r="C23" s="11"/>
      <c r="D23" s="11"/>
      <c r="E23" s="11">
        <v>9740</v>
      </c>
      <c r="F23" s="11"/>
      <c r="G23" s="11">
        <f t="shared" si="0"/>
        <v>9740</v>
      </c>
      <c r="H23" s="17">
        <f t="shared" si="1"/>
        <v>4.16</v>
      </c>
      <c r="I23" s="16">
        <f t="shared" si="2"/>
        <v>3.9E-2</v>
      </c>
      <c r="J23" s="16">
        <f>ROUND(G23/3460-1,2)</f>
        <v>1.82</v>
      </c>
    </row>
    <row r="24" spans="1:10" x14ac:dyDescent="0.25">
      <c r="A24" s="1" t="s">
        <v>16</v>
      </c>
      <c r="B24" s="1" t="s">
        <v>39</v>
      </c>
      <c r="C24" s="11"/>
      <c r="D24" s="11"/>
      <c r="E24" s="11"/>
      <c r="F24" s="11"/>
      <c r="G24" s="11">
        <f t="shared" si="0"/>
        <v>0</v>
      </c>
      <c r="H24" s="17">
        <f t="shared" si="1"/>
        <v>0</v>
      </c>
      <c r="I24" s="16">
        <f t="shared" si="2"/>
        <v>0</v>
      </c>
      <c r="J24" s="16"/>
    </row>
    <row r="25" spans="1:10" x14ac:dyDescent="0.25">
      <c r="A25" s="1" t="s">
        <v>16</v>
      </c>
      <c r="B25" s="1" t="s">
        <v>40</v>
      </c>
      <c r="C25" s="11"/>
      <c r="D25" s="11"/>
      <c r="E25" s="11"/>
      <c r="F25" s="11"/>
      <c r="G25" s="11">
        <f t="shared" si="0"/>
        <v>0</v>
      </c>
      <c r="H25" s="17">
        <f t="shared" si="1"/>
        <v>0</v>
      </c>
      <c r="I25" s="16">
        <f t="shared" si="2"/>
        <v>0</v>
      </c>
      <c r="J25" s="16">
        <f>ROUND(G25/2150-1,2)</f>
        <v>-1</v>
      </c>
    </row>
    <row r="26" spans="1:10" x14ac:dyDescent="0.25">
      <c r="A26" s="1" t="s">
        <v>16</v>
      </c>
      <c r="B26" s="1" t="s">
        <v>42</v>
      </c>
      <c r="C26" s="11"/>
      <c r="D26" s="11"/>
      <c r="E26" s="11"/>
      <c r="F26" s="11"/>
      <c r="G26" s="11">
        <f t="shared" si="0"/>
        <v>0</v>
      </c>
      <c r="H26" s="17">
        <f t="shared" si="1"/>
        <v>0</v>
      </c>
      <c r="I26" s="16">
        <f t="shared" si="2"/>
        <v>0</v>
      </c>
      <c r="J26" s="16">
        <f>ROUND(G26/3920-1,2)</f>
        <v>-1</v>
      </c>
    </row>
    <row r="27" spans="1:10" x14ac:dyDescent="0.25">
      <c r="A27" s="1" t="s">
        <v>16</v>
      </c>
      <c r="B27" s="1" t="s">
        <v>18</v>
      </c>
      <c r="C27" s="11"/>
      <c r="D27" s="11"/>
      <c r="E27" s="11"/>
      <c r="F27" s="11"/>
      <c r="G27" s="11">
        <f t="shared" si="0"/>
        <v>0</v>
      </c>
      <c r="H27" s="17">
        <f t="shared" si="1"/>
        <v>0</v>
      </c>
      <c r="I27" s="16">
        <f t="shared" si="2"/>
        <v>0</v>
      </c>
      <c r="J27" s="16">
        <f>ROUND(G27/1980-1,2)</f>
        <v>-1</v>
      </c>
    </row>
    <row r="28" spans="1:10" x14ac:dyDescent="0.25">
      <c r="A28" s="1" t="s">
        <v>16</v>
      </c>
      <c r="B28" s="1" t="s">
        <v>41</v>
      </c>
      <c r="C28" s="11"/>
      <c r="D28" s="11"/>
      <c r="E28" s="11"/>
      <c r="F28" s="11"/>
      <c r="G28" s="11">
        <f t="shared" si="0"/>
        <v>0</v>
      </c>
      <c r="H28" s="17">
        <f t="shared" si="1"/>
        <v>0</v>
      </c>
      <c r="I28" s="16">
        <f t="shared" si="2"/>
        <v>0</v>
      </c>
      <c r="J28" s="16">
        <f>ROUND(G28/480-1,2)</f>
        <v>-1</v>
      </c>
    </row>
    <row r="29" spans="1:10" x14ac:dyDescent="0.25">
      <c r="A29" s="1" t="s">
        <v>16</v>
      </c>
      <c r="B29" s="1" t="s">
        <v>43</v>
      </c>
      <c r="C29" s="11"/>
      <c r="D29" s="11"/>
      <c r="E29" s="11"/>
      <c r="F29" s="11"/>
      <c r="G29" s="11">
        <f t="shared" si="0"/>
        <v>0</v>
      </c>
      <c r="H29" s="17">
        <f t="shared" si="1"/>
        <v>0</v>
      </c>
      <c r="I29" s="16">
        <f t="shared" si="2"/>
        <v>0</v>
      </c>
      <c r="J29" s="16">
        <f>ROUND(G29/4820-1,2)</f>
        <v>-1</v>
      </c>
    </row>
    <row r="30" spans="1:10" x14ac:dyDescent="0.25">
      <c r="A30" s="1" t="s">
        <v>16</v>
      </c>
      <c r="B30" s="1" t="s">
        <v>22</v>
      </c>
      <c r="C30" s="11"/>
      <c r="D30" s="11"/>
      <c r="E30" s="11"/>
      <c r="F30" s="11"/>
      <c r="G30" s="11">
        <f t="shared" si="0"/>
        <v>0</v>
      </c>
      <c r="H30" s="17">
        <f t="shared" si="1"/>
        <v>0</v>
      </c>
      <c r="I30" s="16">
        <f t="shared" si="2"/>
        <v>0</v>
      </c>
      <c r="J30" s="16"/>
    </row>
    <row r="31" spans="1:10" x14ac:dyDescent="0.25">
      <c r="A31" s="1" t="s">
        <v>16</v>
      </c>
      <c r="B31" s="1" t="s">
        <v>118</v>
      </c>
      <c r="C31" s="11"/>
      <c r="D31" s="11"/>
      <c r="E31" s="11"/>
      <c r="F31" s="11"/>
      <c r="G31" s="11">
        <f t="shared" si="0"/>
        <v>0</v>
      </c>
      <c r="H31" s="17">
        <f t="shared" si="1"/>
        <v>0</v>
      </c>
      <c r="I31" s="16">
        <f t="shared" si="2"/>
        <v>0</v>
      </c>
      <c r="J31" s="16"/>
    </row>
    <row r="32" spans="1:10" x14ac:dyDescent="0.25">
      <c r="A32" s="1" t="s">
        <v>16</v>
      </c>
      <c r="B32" s="1" t="s">
        <v>33</v>
      </c>
      <c r="C32" s="11"/>
      <c r="D32" s="11"/>
      <c r="E32" s="11"/>
      <c r="F32" s="11"/>
      <c r="G32" s="11">
        <f t="shared" si="0"/>
        <v>0</v>
      </c>
      <c r="H32" s="17">
        <f t="shared" si="1"/>
        <v>0</v>
      </c>
      <c r="I32" s="16">
        <f t="shared" si="2"/>
        <v>0</v>
      </c>
      <c r="J32" s="16"/>
    </row>
    <row r="33" spans="1:10" x14ac:dyDescent="0.25">
      <c r="A33" s="1" t="s">
        <v>16</v>
      </c>
      <c r="B33" s="1" t="s">
        <v>30</v>
      </c>
      <c r="C33" s="11"/>
      <c r="D33" s="11"/>
      <c r="E33" s="11"/>
      <c r="F33" s="11"/>
      <c r="G33" s="11">
        <f t="shared" si="0"/>
        <v>0</v>
      </c>
      <c r="H33" s="17">
        <f t="shared" si="1"/>
        <v>0</v>
      </c>
      <c r="I33" s="16">
        <f t="shared" si="2"/>
        <v>0</v>
      </c>
      <c r="J33" s="16"/>
    </row>
    <row r="34" spans="1:10" x14ac:dyDescent="0.25">
      <c r="A34" s="1" t="s">
        <v>16</v>
      </c>
      <c r="B34" s="1" t="s">
        <v>32</v>
      </c>
      <c r="C34" s="11"/>
      <c r="D34" s="11"/>
      <c r="E34" s="11"/>
      <c r="F34" s="11"/>
      <c r="G34" s="11">
        <f t="shared" si="0"/>
        <v>0</v>
      </c>
      <c r="H34" s="17">
        <f t="shared" si="1"/>
        <v>0</v>
      </c>
      <c r="I34" s="16">
        <f t="shared" si="2"/>
        <v>0</v>
      </c>
      <c r="J34" s="16"/>
    </row>
    <row r="35" spans="1:10" x14ac:dyDescent="0.25">
      <c r="A35" s="1" t="s">
        <v>16</v>
      </c>
      <c r="B35" s="1" t="s">
        <v>34</v>
      </c>
      <c r="C35" s="11"/>
      <c r="D35" s="11"/>
      <c r="E35" s="11"/>
      <c r="F35" s="11"/>
      <c r="G35" s="11">
        <f t="shared" si="0"/>
        <v>0</v>
      </c>
      <c r="H35" s="17">
        <f t="shared" si="1"/>
        <v>0</v>
      </c>
      <c r="I35" s="16">
        <f t="shared" si="2"/>
        <v>0</v>
      </c>
      <c r="J35" s="16"/>
    </row>
    <row r="36" spans="1:10" x14ac:dyDescent="0.25">
      <c r="A36" s="1" t="s">
        <v>44</v>
      </c>
      <c r="B36" s="1" t="s">
        <v>45</v>
      </c>
      <c r="C36" s="11">
        <v>72950</v>
      </c>
      <c r="D36" s="11"/>
      <c r="E36" s="11"/>
      <c r="F36" s="11"/>
      <c r="G36" s="11">
        <f t="shared" si="0"/>
        <v>72950</v>
      </c>
      <c r="H36" s="17">
        <f t="shared" si="1"/>
        <v>31.18</v>
      </c>
      <c r="I36" s="16">
        <f t="shared" si="2"/>
        <v>0.29599999999999999</v>
      </c>
      <c r="J36" s="16">
        <f>ROUND(G36/92520-1,2)</f>
        <v>-0.21</v>
      </c>
    </row>
    <row r="37" spans="1:10" x14ac:dyDescent="0.25">
      <c r="A37" s="1" t="s">
        <v>44</v>
      </c>
      <c r="B37" s="1" t="s">
        <v>47</v>
      </c>
      <c r="C37" s="11"/>
      <c r="D37" s="11"/>
      <c r="E37" s="11"/>
      <c r="F37" s="11">
        <v>9570</v>
      </c>
      <c r="G37" s="11">
        <f t="shared" si="0"/>
        <v>9570</v>
      </c>
      <c r="H37" s="17">
        <f t="shared" si="1"/>
        <v>4.09</v>
      </c>
      <c r="I37" s="16">
        <f t="shared" si="2"/>
        <v>3.9E-2</v>
      </c>
      <c r="J37" s="16">
        <f>ROUND(G37/3710-1,2)</f>
        <v>1.58</v>
      </c>
    </row>
    <row r="38" spans="1:10" x14ac:dyDescent="0.25">
      <c r="A38" s="1" t="s">
        <v>44</v>
      </c>
      <c r="B38" s="1" t="s">
        <v>46</v>
      </c>
      <c r="C38" s="11"/>
      <c r="D38" s="11"/>
      <c r="E38" s="11">
        <v>7435</v>
      </c>
      <c r="F38" s="11"/>
      <c r="G38" s="11">
        <f t="shared" si="0"/>
        <v>7435</v>
      </c>
      <c r="H38" s="17">
        <f t="shared" si="1"/>
        <v>3.18</v>
      </c>
      <c r="I38" s="16">
        <f t="shared" si="2"/>
        <v>0.03</v>
      </c>
      <c r="J38" s="16">
        <f>ROUND(G38/8740-1,2)</f>
        <v>-0.15</v>
      </c>
    </row>
    <row r="39" spans="1:10" x14ac:dyDescent="0.25">
      <c r="A39" s="1" t="s">
        <v>48</v>
      </c>
      <c r="B39" s="1" t="s">
        <v>86</v>
      </c>
      <c r="C39" s="11"/>
      <c r="D39" s="11"/>
      <c r="E39" s="11"/>
      <c r="F39" s="11"/>
      <c r="G39" s="11">
        <f t="shared" si="0"/>
        <v>0</v>
      </c>
      <c r="H39" s="17">
        <f t="shared" si="1"/>
        <v>0</v>
      </c>
      <c r="I39" s="16">
        <f t="shared" si="2"/>
        <v>0</v>
      </c>
      <c r="J39" s="16"/>
    </row>
    <row r="40" spans="1:10" x14ac:dyDescent="0.25">
      <c r="A40" s="1" t="s">
        <v>48</v>
      </c>
      <c r="B40" s="1" t="s">
        <v>51</v>
      </c>
      <c r="C40" s="11"/>
      <c r="D40" s="11"/>
      <c r="E40" s="11"/>
      <c r="F40" s="11"/>
      <c r="G40" s="11">
        <f t="shared" si="0"/>
        <v>0</v>
      </c>
      <c r="H40" s="17">
        <f t="shared" si="1"/>
        <v>0</v>
      </c>
      <c r="I40" s="16">
        <f t="shared" si="2"/>
        <v>0</v>
      </c>
      <c r="J40" s="16"/>
    </row>
    <row r="41" spans="1:10" x14ac:dyDescent="0.25">
      <c r="A41" s="21" t="s">
        <v>12</v>
      </c>
      <c r="B41" s="21"/>
      <c r="C41" s="12">
        <f t="shared" ref="C41:H41" si="3">SUM(C8:C40)</f>
        <v>178765</v>
      </c>
      <c r="D41" s="12">
        <f t="shared" si="3"/>
        <v>0</v>
      </c>
      <c r="E41" s="12">
        <f t="shared" si="3"/>
        <v>58490</v>
      </c>
      <c r="F41" s="12">
        <f t="shared" si="3"/>
        <v>9570</v>
      </c>
      <c r="G41" s="12">
        <f t="shared" si="3"/>
        <v>246825</v>
      </c>
      <c r="H41" s="15">
        <f t="shared" si="3"/>
        <v>105.49000000000001</v>
      </c>
      <c r="I41" s="18"/>
      <c r="J41" s="18"/>
    </row>
    <row r="42" spans="1:10" x14ac:dyDescent="0.25">
      <c r="A42" s="21" t="s">
        <v>14</v>
      </c>
      <c r="B42" s="21"/>
      <c r="C42" s="13">
        <f>ROUND(C41/G41,2)</f>
        <v>0.72</v>
      </c>
      <c r="D42" s="13">
        <f>ROUND(D41/G41,2)</f>
        <v>0</v>
      </c>
      <c r="E42" s="13">
        <f>ROUND(E41/G41,2)</f>
        <v>0.24</v>
      </c>
      <c r="F42" s="13">
        <f>ROUND(F41/G41,2)</f>
        <v>0.04</v>
      </c>
      <c r="G42" s="14"/>
      <c r="H42" s="14"/>
      <c r="I42" s="18"/>
      <c r="J42" s="18"/>
    </row>
    <row r="43" spans="1:10" x14ac:dyDescent="0.25">
      <c r="A43" s="2" t="s">
        <v>52</v>
      </c>
      <c r="B43" s="2"/>
      <c r="C43" s="14"/>
      <c r="D43" s="14"/>
      <c r="E43" s="14"/>
      <c r="F43" s="14"/>
      <c r="G43" s="14"/>
      <c r="H43" s="14"/>
      <c r="I43" s="18"/>
      <c r="J43" s="18"/>
    </row>
    <row r="44" spans="1:10" x14ac:dyDescent="0.25">
      <c r="C44" s="9"/>
      <c r="D44" s="9"/>
      <c r="E44" s="9"/>
      <c r="F44" s="9"/>
      <c r="G44" s="9"/>
      <c r="H44" s="9"/>
      <c r="I44" s="10"/>
      <c r="J44" s="10"/>
    </row>
    <row r="45" spans="1:10" x14ac:dyDescent="0.25">
      <c r="C45" s="9"/>
      <c r="D45" s="9"/>
      <c r="E45" s="9"/>
      <c r="F45" s="9"/>
      <c r="G45" s="9"/>
      <c r="H45" s="9"/>
      <c r="I45" s="10"/>
      <c r="J45" s="10"/>
    </row>
    <row r="46" spans="1:10" x14ac:dyDescent="0.25">
      <c r="C46" s="9"/>
      <c r="D46" s="9"/>
      <c r="E46" s="9"/>
      <c r="F46" s="9"/>
      <c r="G46" s="9"/>
      <c r="H46" s="9"/>
      <c r="I46" s="10"/>
      <c r="J46" s="10"/>
    </row>
    <row r="47" spans="1:10" x14ac:dyDescent="0.25">
      <c r="A47" s="21" t="s">
        <v>53</v>
      </c>
      <c r="B47" s="21"/>
      <c r="C47" s="12" t="s">
        <v>8</v>
      </c>
      <c r="D47" s="12" t="s">
        <v>9</v>
      </c>
      <c r="E47" s="12" t="s">
        <v>10</v>
      </c>
      <c r="F47" s="12" t="s">
        <v>11</v>
      </c>
      <c r="G47" s="12" t="s">
        <v>12</v>
      </c>
      <c r="H47" s="15" t="s">
        <v>13</v>
      </c>
      <c r="I47" s="18"/>
      <c r="J47" s="18"/>
    </row>
    <row r="48" spans="1:10" x14ac:dyDescent="0.25">
      <c r="A48" s="20" t="s">
        <v>54</v>
      </c>
      <c r="B48" s="20"/>
      <c r="C48" s="11">
        <v>105815</v>
      </c>
      <c r="D48" s="11">
        <v>0</v>
      </c>
      <c r="E48" s="11">
        <v>51055</v>
      </c>
      <c r="F48" s="11">
        <v>0</v>
      </c>
      <c r="G48" s="11">
        <f>SUM(C48:F48)</f>
        <v>156870</v>
      </c>
      <c r="H48" s="17">
        <f>ROUND(G48/2340,2)</f>
        <v>67.040000000000006</v>
      </c>
      <c r="I48" s="10"/>
      <c r="J48" s="10"/>
    </row>
    <row r="49" spans="1:10" x14ac:dyDescent="0.25">
      <c r="A49" s="20" t="s">
        <v>55</v>
      </c>
      <c r="B49" s="20"/>
      <c r="C49" s="11">
        <v>72950</v>
      </c>
      <c r="D49" s="11">
        <v>0</v>
      </c>
      <c r="E49" s="11">
        <v>7435</v>
      </c>
      <c r="F49" s="11">
        <v>9570</v>
      </c>
      <c r="G49" s="11">
        <f>SUM(C49:F49)</f>
        <v>89955</v>
      </c>
      <c r="H49" s="17">
        <f>ROUND(G49/2340,2)</f>
        <v>38.44</v>
      </c>
      <c r="I49" s="10"/>
      <c r="J49" s="10"/>
    </row>
    <row r="50" spans="1:10" x14ac:dyDescent="0.25">
      <c r="A50" s="20" t="s">
        <v>56</v>
      </c>
      <c r="B50" s="20"/>
      <c r="C50" s="11">
        <v>0</v>
      </c>
      <c r="D50" s="11">
        <v>0</v>
      </c>
      <c r="E50" s="11">
        <v>0</v>
      </c>
      <c r="F50" s="11">
        <v>0</v>
      </c>
      <c r="G50" s="11">
        <f>SUM(C50:F50)</f>
        <v>0</v>
      </c>
      <c r="H50" s="17">
        <f>ROUND(G50/2340,2)</f>
        <v>0</v>
      </c>
      <c r="I50" s="10"/>
      <c r="J50" s="10"/>
    </row>
    <row r="51" spans="1:10" x14ac:dyDescent="0.25">
      <c r="C51" s="9"/>
      <c r="D51" s="9"/>
      <c r="E51" s="9"/>
      <c r="F51" s="9"/>
      <c r="G51" s="9"/>
      <c r="H51" s="9"/>
      <c r="I51" s="10"/>
      <c r="J51" s="10"/>
    </row>
    <row r="52" spans="1:10" x14ac:dyDescent="0.25">
      <c r="C52" s="9"/>
      <c r="D52" s="9"/>
      <c r="E52" s="9"/>
      <c r="F52" s="9"/>
      <c r="G52" s="9"/>
      <c r="H52" s="9"/>
      <c r="I52" s="10"/>
      <c r="J52" s="10"/>
    </row>
    <row r="53" spans="1:10" x14ac:dyDescent="0.25">
      <c r="C53" s="9"/>
      <c r="D53" s="9"/>
      <c r="E53" s="9"/>
      <c r="F53" s="9"/>
      <c r="G53" s="9"/>
      <c r="H53" s="9"/>
      <c r="I53" s="10"/>
      <c r="J53" s="10"/>
    </row>
    <row r="54" spans="1:10" x14ac:dyDescent="0.25">
      <c r="C54" s="9"/>
      <c r="D54" s="9"/>
      <c r="E54" s="9"/>
      <c r="F54" s="9"/>
      <c r="G54" s="9"/>
      <c r="H54" s="9"/>
      <c r="I54" s="10"/>
      <c r="J54" s="10"/>
    </row>
    <row r="55" spans="1:10" x14ac:dyDescent="0.25">
      <c r="A55" s="21" t="s">
        <v>57</v>
      </c>
      <c r="B55" s="21"/>
      <c r="C55" s="15" t="s">
        <v>2</v>
      </c>
      <c r="D55" s="15">
        <v>2023</v>
      </c>
      <c r="E55" s="15" t="s">
        <v>59</v>
      </c>
      <c r="F55" s="14"/>
      <c r="G55" s="15" t="s">
        <v>60</v>
      </c>
      <c r="H55" s="15" t="s">
        <v>2</v>
      </c>
      <c r="I55" s="13" t="s">
        <v>61</v>
      </c>
      <c r="J55" s="13" t="s">
        <v>59</v>
      </c>
    </row>
    <row r="56" spans="1:10" x14ac:dyDescent="0.25">
      <c r="A56" s="20" t="s">
        <v>58</v>
      </c>
      <c r="B56" s="20"/>
      <c r="C56" s="16">
        <f>ROUND(0.6822, 4)</f>
        <v>0.68220000000000003</v>
      </c>
      <c r="D56" s="16">
        <f>ROUND(0.6617, 4)</f>
        <v>0.66169999999999995</v>
      </c>
      <c r="E56" s="16">
        <f>ROUND(0.777, 4)</f>
        <v>0.77700000000000002</v>
      </c>
      <c r="F56" s="9"/>
      <c r="G56" s="15" t="s">
        <v>62</v>
      </c>
      <c r="H56" s="22" t="s">
        <v>63</v>
      </c>
      <c r="I56" s="24" t="s">
        <v>64</v>
      </c>
      <c r="J56" s="24" t="s">
        <v>65</v>
      </c>
    </row>
    <row r="57" spans="1:10" x14ac:dyDescent="0.25">
      <c r="A57" s="20" t="s">
        <v>66</v>
      </c>
      <c r="B57" s="20"/>
      <c r="C57" s="16">
        <f>ROUND(0.6338, 4)</f>
        <v>0.63380000000000003</v>
      </c>
      <c r="D57" s="16">
        <f>ROUND(0.6243, 4)</f>
        <v>0.62429999999999997</v>
      </c>
      <c r="E57" s="16">
        <f>ROUND(0.7608, 4)</f>
        <v>0.76080000000000003</v>
      </c>
      <c r="F57" s="9"/>
      <c r="G57" s="15" t="s">
        <v>67</v>
      </c>
      <c r="H57" s="23"/>
      <c r="I57" s="25"/>
      <c r="J57" s="25"/>
    </row>
    <row r="58" spans="1:10" x14ac:dyDescent="0.25">
      <c r="C58" s="9"/>
      <c r="D58" s="9"/>
      <c r="E58" s="9"/>
      <c r="F58" s="9"/>
      <c r="G58" s="9"/>
      <c r="H58" s="9"/>
      <c r="I58" s="10"/>
      <c r="J58" s="10"/>
    </row>
    <row r="59" spans="1:10" x14ac:dyDescent="0.25">
      <c r="C59" s="9"/>
      <c r="D59" s="9"/>
      <c r="E59" s="9"/>
      <c r="F59" s="9"/>
      <c r="G59" s="9"/>
      <c r="H59" s="9"/>
      <c r="I59" s="10"/>
      <c r="J59" s="10"/>
    </row>
    <row r="60" spans="1:10" x14ac:dyDescent="0.25">
      <c r="C60" s="9"/>
      <c r="D60" s="9"/>
      <c r="E60" s="9"/>
      <c r="F60" s="9"/>
      <c r="G60" s="9"/>
      <c r="H60" s="9"/>
      <c r="I60" s="10"/>
      <c r="J60" s="10"/>
    </row>
    <row r="61" spans="1:10" x14ac:dyDescent="0.25">
      <c r="A61" s="21" t="s">
        <v>68</v>
      </c>
      <c r="B61" s="21"/>
      <c r="C61" s="15" t="s">
        <v>2</v>
      </c>
      <c r="D61" s="15" t="s">
        <v>246</v>
      </c>
      <c r="E61" s="15" t="s">
        <v>70</v>
      </c>
      <c r="F61" s="15" t="s">
        <v>71</v>
      </c>
      <c r="G61" s="15" t="s">
        <v>72</v>
      </c>
      <c r="H61" s="14"/>
      <c r="I61" s="18"/>
      <c r="J61" s="18"/>
    </row>
    <row r="62" spans="1:10" x14ac:dyDescent="0.25">
      <c r="A62" s="20" t="s">
        <v>73</v>
      </c>
      <c r="B62" s="20"/>
      <c r="C62" s="17">
        <v>31.18</v>
      </c>
      <c r="D62" s="17">
        <v>93.59</v>
      </c>
      <c r="E62" s="17">
        <v>81.84</v>
      </c>
      <c r="F62" s="17">
        <v>48</v>
      </c>
      <c r="G62" s="17">
        <f>12/4*C62</f>
        <v>93.539999999999992</v>
      </c>
      <c r="H62" s="9"/>
      <c r="I62" s="10"/>
      <c r="J62" s="10"/>
    </row>
    <row r="63" spans="1:10" x14ac:dyDescent="0.25">
      <c r="A63" s="20" t="s">
        <v>74</v>
      </c>
      <c r="B63" s="20"/>
      <c r="C63" s="17">
        <v>10.5</v>
      </c>
      <c r="D63" s="17">
        <v>53.64</v>
      </c>
      <c r="E63" s="17">
        <v>55.63</v>
      </c>
      <c r="F63" s="17">
        <v>55.33</v>
      </c>
      <c r="G63" s="17">
        <f>12/4*C63</f>
        <v>31.5</v>
      </c>
      <c r="H63" s="9"/>
      <c r="I63" s="10"/>
      <c r="J63" s="10"/>
    </row>
    <row r="64" spans="1:10" x14ac:dyDescent="0.25">
      <c r="A64" s="20" t="s">
        <v>75</v>
      </c>
      <c r="B64" s="20"/>
      <c r="C64" s="17">
        <v>67.040000000000006</v>
      </c>
      <c r="D64" s="17">
        <v>222.15</v>
      </c>
      <c r="E64" s="17">
        <v>257.88</v>
      </c>
      <c r="F64" s="17">
        <v>242.78</v>
      </c>
      <c r="G64" s="17">
        <f>12/4*C64</f>
        <v>201.12</v>
      </c>
      <c r="H64" s="9"/>
      <c r="I64" s="10"/>
      <c r="J64" s="10"/>
    </row>
    <row r="65" spans="1:10" x14ac:dyDescent="0.25">
      <c r="A65" s="20" t="s">
        <v>76</v>
      </c>
      <c r="B65" s="20"/>
      <c r="C65" s="17">
        <v>38.44</v>
      </c>
      <c r="D65" s="17">
        <v>112.02</v>
      </c>
      <c r="E65" s="17">
        <v>103.14</v>
      </c>
      <c r="F65" s="17">
        <v>68.31</v>
      </c>
      <c r="G65" s="17">
        <f>12/4*C65</f>
        <v>115.32</v>
      </c>
      <c r="H65" s="9"/>
      <c r="I65" s="10"/>
      <c r="J65" s="10"/>
    </row>
    <row r="66" spans="1:10" x14ac:dyDescent="0.25">
      <c r="C66" s="9"/>
      <c r="D66" s="9"/>
      <c r="E66" s="9"/>
      <c r="F66" s="9"/>
      <c r="G66" s="9"/>
      <c r="H66" s="9"/>
      <c r="I66" s="10"/>
      <c r="J66" s="10"/>
    </row>
    <row r="67" spans="1:10" x14ac:dyDescent="0.25">
      <c r="C67" s="9"/>
      <c r="D67" s="9"/>
      <c r="E67" s="9"/>
      <c r="F67" s="9"/>
      <c r="G67" s="9"/>
      <c r="H67" s="9"/>
      <c r="I67" s="10"/>
      <c r="J67" s="10"/>
    </row>
    <row r="68" spans="1:10" x14ac:dyDescent="0.25">
      <c r="A68" s="19" t="s">
        <v>60</v>
      </c>
      <c r="B68" s="26"/>
      <c r="C68" s="9"/>
      <c r="D68" s="9"/>
      <c r="E68" s="9"/>
      <c r="F68" s="9"/>
      <c r="G68" s="9"/>
      <c r="H68" s="9"/>
      <c r="I68" s="10"/>
      <c r="J68" s="10"/>
    </row>
    <row r="69" spans="1:10" x14ac:dyDescent="0.25">
      <c r="A69" s="3" t="s">
        <v>77</v>
      </c>
      <c r="B69" s="1" t="s">
        <v>247</v>
      </c>
      <c r="C69" s="9"/>
      <c r="D69" s="9"/>
      <c r="E69" s="9"/>
      <c r="F69" s="9"/>
      <c r="G69" s="9"/>
      <c r="H69" s="9"/>
      <c r="I69" s="10"/>
      <c r="J69" s="10"/>
    </row>
    <row r="70" spans="1:10" x14ac:dyDescent="0.25">
      <c r="A70" s="3" t="s">
        <v>70</v>
      </c>
      <c r="B70" s="1" t="s">
        <v>79</v>
      </c>
      <c r="C70" s="9"/>
      <c r="D70" s="9"/>
      <c r="E70" s="9"/>
      <c r="F70" s="9"/>
      <c r="G70" s="9"/>
      <c r="H70" s="9"/>
      <c r="I70" s="10"/>
      <c r="J70" s="10"/>
    </row>
    <row r="71" spans="1:10" x14ac:dyDescent="0.25">
      <c r="A71" s="3" t="s">
        <v>71</v>
      </c>
      <c r="B71" s="1" t="s">
        <v>80</v>
      </c>
      <c r="C71" s="9"/>
      <c r="D71" s="9"/>
      <c r="E71" s="9"/>
      <c r="F71" s="9"/>
      <c r="G71" s="9"/>
      <c r="H71" s="9"/>
      <c r="I71" s="10"/>
      <c r="J71" s="10"/>
    </row>
    <row r="72" spans="1:10" x14ac:dyDescent="0.25">
      <c r="A72" s="3" t="s">
        <v>72</v>
      </c>
      <c r="B72" s="1" t="s">
        <v>81</v>
      </c>
      <c r="C72" s="9"/>
      <c r="D72" s="9"/>
      <c r="E72" s="9"/>
      <c r="F72" s="9"/>
      <c r="G72" s="9"/>
      <c r="H72" s="9"/>
      <c r="I72" s="10"/>
      <c r="J72" s="10"/>
    </row>
    <row r="73" spans="1:10" x14ac:dyDescent="0.25">
      <c r="C73" s="9"/>
      <c r="D73" s="9"/>
      <c r="E73" s="9"/>
      <c r="F73" s="9"/>
      <c r="G73" s="9"/>
      <c r="H73" s="9"/>
      <c r="I73" s="10"/>
      <c r="J73" s="10"/>
    </row>
    <row r="74" spans="1:10" x14ac:dyDescent="0.25">
      <c r="C74" s="9"/>
      <c r="D74" s="9"/>
      <c r="E74" s="9"/>
      <c r="F74" s="9"/>
      <c r="G74" s="9"/>
      <c r="H74" s="9"/>
      <c r="I74" s="10"/>
      <c r="J74" s="10"/>
    </row>
  </sheetData>
  <mergeCells count="19">
    <mergeCell ref="A63:B63"/>
    <mergeCell ref="A64:B64"/>
    <mergeCell ref="A65:B65"/>
    <mergeCell ref="A68:B68"/>
    <mergeCell ref="I56:I57"/>
    <mergeCell ref="J56:J57"/>
    <mergeCell ref="A57:B57"/>
    <mergeCell ref="A61:B61"/>
    <mergeCell ref="A62:B62"/>
    <mergeCell ref="A49:B49"/>
    <mergeCell ref="A50:B50"/>
    <mergeCell ref="A55:B55"/>
    <mergeCell ref="A56:B56"/>
    <mergeCell ref="H56:H57"/>
    <mergeCell ref="C7:G7"/>
    <mergeCell ref="A41:B41"/>
    <mergeCell ref="A42:B42"/>
    <mergeCell ref="A47:B47"/>
    <mergeCell ref="A48:B48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2:J79"/>
  <sheetViews>
    <sheetView workbookViewId="0">
      <selection activeCell="C9" sqref="C9:J79"/>
    </sheetView>
  </sheetViews>
  <sheetFormatPr defaultRowHeight="15" x14ac:dyDescent="0.25"/>
  <cols>
    <col min="1" max="1" width="38.85546875" bestFit="1" customWidth="1"/>
    <col min="2" max="2" width="79" bestFit="1" customWidth="1"/>
    <col min="3" max="3" width="14" bestFit="1" customWidth="1"/>
    <col min="4" max="4" width="31.7109375" bestFit="1" customWidth="1"/>
    <col min="5" max="5" width="16.42578125" bestFit="1" customWidth="1"/>
    <col min="6" max="6" width="10.5703125" bestFit="1" customWidth="1"/>
    <col min="7" max="7" width="68.28515625" bestFit="1" customWidth="1"/>
    <col min="8" max="9" width="20" bestFit="1" customWidth="1"/>
    <col min="10" max="10" width="30.5703125" bestFit="1" customWidth="1"/>
  </cols>
  <sheetData>
    <row r="2" spans="1:10" ht="18.75" x14ac:dyDescent="0.3">
      <c r="A2" s="3" t="s">
        <v>0</v>
      </c>
      <c r="B2" s="4" t="s">
        <v>248</v>
      </c>
    </row>
    <row r="3" spans="1:10" x14ac:dyDescent="0.25">
      <c r="A3" s="3" t="s">
        <v>2</v>
      </c>
      <c r="B3" s="1" t="s">
        <v>3</v>
      </c>
    </row>
    <row r="4" spans="1:10" x14ac:dyDescent="0.25">
      <c r="A4" s="3" t="s">
        <v>4</v>
      </c>
      <c r="B4" s="1">
        <v>5480</v>
      </c>
    </row>
    <row r="7" spans="1:10" x14ac:dyDescent="0.25">
      <c r="C7" s="19" t="s">
        <v>5</v>
      </c>
      <c r="D7" s="20"/>
      <c r="E7" s="20"/>
      <c r="F7" s="20"/>
      <c r="G7" s="20"/>
    </row>
    <row r="8" spans="1:10" x14ac:dyDescent="0.25">
      <c r="A8" s="3" t="s">
        <v>6</v>
      </c>
      <c r="B8" s="3" t="s">
        <v>7</v>
      </c>
      <c r="C8" s="3" t="s">
        <v>8</v>
      </c>
      <c r="D8" s="3" t="s">
        <v>9</v>
      </c>
      <c r="E8" s="3" t="s">
        <v>10</v>
      </c>
      <c r="F8" s="3" t="s">
        <v>11</v>
      </c>
      <c r="G8" s="3" t="s">
        <v>12</v>
      </c>
      <c r="H8" s="3" t="s">
        <v>13</v>
      </c>
      <c r="I8" s="3" t="s">
        <v>14</v>
      </c>
      <c r="J8" s="3" t="s">
        <v>15</v>
      </c>
    </row>
    <row r="9" spans="1:10" x14ac:dyDescent="0.25">
      <c r="A9" s="1" t="s">
        <v>16</v>
      </c>
      <c r="B9" s="1" t="s">
        <v>17</v>
      </c>
      <c r="C9" s="11"/>
      <c r="D9" s="11"/>
      <c r="E9" s="11">
        <v>65</v>
      </c>
      <c r="F9" s="11"/>
      <c r="G9" s="11">
        <f t="shared" ref="G9:G42" si="0">SUM(C9:F9)</f>
        <v>65</v>
      </c>
      <c r="H9" s="17">
        <f t="shared" ref="H9:H42" si="1">ROUND(G9/5480,2)</f>
        <v>0.01</v>
      </c>
      <c r="I9" s="16">
        <f t="shared" ref="I9:I42" si="2">ROUND(G9/$G$43,3)</f>
        <v>0</v>
      </c>
      <c r="J9" s="16">
        <f>ROUND(G9/68-1,2)</f>
        <v>-0.04</v>
      </c>
    </row>
    <row r="10" spans="1:10" x14ac:dyDescent="0.25">
      <c r="A10" s="1" t="s">
        <v>16</v>
      </c>
      <c r="B10" s="1" t="s">
        <v>19</v>
      </c>
      <c r="C10" s="11">
        <v>74460</v>
      </c>
      <c r="D10" s="11"/>
      <c r="E10" s="11">
        <v>480</v>
      </c>
      <c r="F10" s="11">
        <v>400</v>
      </c>
      <c r="G10" s="11">
        <f t="shared" si="0"/>
        <v>75340</v>
      </c>
      <c r="H10" s="17">
        <f t="shared" si="1"/>
        <v>13.75</v>
      </c>
      <c r="I10" s="16">
        <f t="shared" si="2"/>
        <v>9.2999999999999999E-2</v>
      </c>
      <c r="J10" s="16">
        <f>ROUND(G10/68100-1,2)</f>
        <v>0.11</v>
      </c>
    </row>
    <row r="11" spans="1:10" x14ac:dyDescent="0.25">
      <c r="A11" s="1" t="s">
        <v>16</v>
      </c>
      <c r="B11" s="1" t="s">
        <v>20</v>
      </c>
      <c r="C11" s="11">
        <v>75550</v>
      </c>
      <c r="D11" s="11"/>
      <c r="E11" s="11"/>
      <c r="F11" s="11"/>
      <c r="G11" s="11">
        <f t="shared" si="0"/>
        <v>75550</v>
      </c>
      <c r="H11" s="17">
        <f t="shared" si="1"/>
        <v>13.79</v>
      </c>
      <c r="I11" s="16">
        <f t="shared" si="2"/>
        <v>9.2999999999999999E-2</v>
      </c>
      <c r="J11" s="16">
        <f>ROUND(G11/73960-1,2)</f>
        <v>0.02</v>
      </c>
    </row>
    <row r="12" spans="1:10" x14ac:dyDescent="0.25">
      <c r="A12" s="1" t="s">
        <v>16</v>
      </c>
      <c r="B12" s="1" t="s">
        <v>94</v>
      </c>
      <c r="C12" s="11"/>
      <c r="D12" s="11"/>
      <c r="E12" s="11">
        <v>88</v>
      </c>
      <c r="F12" s="11"/>
      <c r="G12" s="11">
        <f t="shared" si="0"/>
        <v>88</v>
      </c>
      <c r="H12" s="17">
        <f t="shared" si="1"/>
        <v>0.02</v>
      </c>
      <c r="I12" s="16">
        <f t="shared" si="2"/>
        <v>0</v>
      </c>
      <c r="J12" s="16">
        <f>ROUND(G12/102-1,2)</f>
        <v>-0.14000000000000001</v>
      </c>
    </row>
    <row r="13" spans="1:10" x14ac:dyDescent="0.25">
      <c r="A13" s="1" t="s">
        <v>16</v>
      </c>
      <c r="B13" s="1" t="s">
        <v>22</v>
      </c>
      <c r="C13" s="11"/>
      <c r="D13" s="11"/>
      <c r="E13" s="11">
        <v>500</v>
      </c>
      <c r="F13" s="11"/>
      <c r="G13" s="11">
        <f t="shared" si="0"/>
        <v>500</v>
      </c>
      <c r="H13" s="17">
        <f t="shared" si="1"/>
        <v>0.09</v>
      </c>
      <c r="I13" s="16">
        <f t="shared" si="2"/>
        <v>1E-3</v>
      </c>
      <c r="J13" s="16">
        <f>ROUND(G13/1000-1,2)</f>
        <v>-0.5</v>
      </c>
    </row>
    <row r="14" spans="1:10" x14ac:dyDescent="0.25">
      <c r="A14" s="1" t="s">
        <v>16</v>
      </c>
      <c r="B14" s="1" t="s">
        <v>23</v>
      </c>
      <c r="C14" s="11"/>
      <c r="D14" s="11"/>
      <c r="E14" s="11">
        <v>20040</v>
      </c>
      <c r="F14" s="11"/>
      <c r="G14" s="11">
        <f t="shared" si="0"/>
        <v>20040</v>
      </c>
      <c r="H14" s="17">
        <f t="shared" si="1"/>
        <v>3.66</v>
      </c>
      <c r="I14" s="16">
        <f t="shared" si="2"/>
        <v>2.5000000000000001E-2</v>
      </c>
      <c r="J14" s="16">
        <f>ROUND(G14/14500-1,2)</f>
        <v>0.38</v>
      </c>
    </row>
    <row r="15" spans="1:10" x14ac:dyDescent="0.25">
      <c r="A15" s="1" t="s">
        <v>16</v>
      </c>
      <c r="B15" s="1" t="s">
        <v>24</v>
      </c>
      <c r="C15" s="11">
        <v>120400</v>
      </c>
      <c r="D15" s="11"/>
      <c r="E15" s="11">
        <v>6660</v>
      </c>
      <c r="F15" s="11"/>
      <c r="G15" s="11">
        <f t="shared" si="0"/>
        <v>127060</v>
      </c>
      <c r="H15" s="17">
        <f t="shared" si="1"/>
        <v>23.19</v>
      </c>
      <c r="I15" s="16">
        <f t="shared" si="2"/>
        <v>0.156</v>
      </c>
      <c r="J15" s="16">
        <f>ROUND(G15/118540-1,2)</f>
        <v>7.0000000000000007E-2</v>
      </c>
    </row>
    <row r="16" spans="1:10" x14ac:dyDescent="0.25">
      <c r="A16" s="1" t="s">
        <v>16</v>
      </c>
      <c r="B16" s="1" t="s">
        <v>25</v>
      </c>
      <c r="C16" s="11"/>
      <c r="D16" s="11"/>
      <c r="E16" s="11">
        <v>2720</v>
      </c>
      <c r="F16" s="11"/>
      <c r="G16" s="11">
        <f t="shared" si="0"/>
        <v>2720</v>
      </c>
      <c r="H16" s="17">
        <f t="shared" si="1"/>
        <v>0.5</v>
      </c>
      <c r="I16" s="16">
        <f t="shared" si="2"/>
        <v>3.0000000000000001E-3</v>
      </c>
      <c r="J16" s="16">
        <f>ROUND(G16/2510-1,2)</f>
        <v>0.08</v>
      </c>
    </row>
    <row r="17" spans="1:10" x14ac:dyDescent="0.25">
      <c r="A17" s="1" t="s">
        <v>16</v>
      </c>
      <c r="B17" s="1" t="s">
        <v>26</v>
      </c>
      <c r="C17" s="11">
        <v>136690</v>
      </c>
      <c r="D17" s="11"/>
      <c r="E17" s="11"/>
      <c r="F17" s="11">
        <v>420</v>
      </c>
      <c r="G17" s="11">
        <f t="shared" si="0"/>
        <v>137110</v>
      </c>
      <c r="H17" s="17">
        <f t="shared" si="1"/>
        <v>25.02</v>
      </c>
      <c r="I17" s="16">
        <f t="shared" si="2"/>
        <v>0.16800000000000001</v>
      </c>
      <c r="J17" s="16">
        <f>ROUND(G17/120220-1,2)</f>
        <v>0.14000000000000001</v>
      </c>
    </row>
    <row r="18" spans="1:10" x14ac:dyDescent="0.25">
      <c r="A18" s="1" t="s">
        <v>16</v>
      </c>
      <c r="B18" s="1" t="s">
        <v>27</v>
      </c>
      <c r="C18" s="11"/>
      <c r="D18" s="11"/>
      <c r="E18" s="11">
        <v>464</v>
      </c>
      <c r="F18" s="11"/>
      <c r="G18" s="11">
        <f t="shared" si="0"/>
        <v>464</v>
      </c>
      <c r="H18" s="17">
        <f t="shared" si="1"/>
        <v>0.08</v>
      </c>
      <c r="I18" s="16">
        <f t="shared" si="2"/>
        <v>1E-3</v>
      </c>
      <c r="J18" s="16">
        <f>ROUND(G18/236-1,2)</f>
        <v>0.97</v>
      </c>
    </row>
    <row r="19" spans="1:10" x14ac:dyDescent="0.25">
      <c r="A19" s="1" t="s">
        <v>16</v>
      </c>
      <c r="B19" s="1" t="s">
        <v>28</v>
      </c>
      <c r="C19" s="11"/>
      <c r="D19" s="11"/>
      <c r="E19" s="11">
        <v>300</v>
      </c>
      <c r="F19" s="11"/>
      <c r="G19" s="11">
        <f t="shared" si="0"/>
        <v>300</v>
      </c>
      <c r="H19" s="17">
        <f t="shared" si="1"/>
        <v>0.05</v>
      </c>
      <c r="I19" s="16">
        <f t="shared" si="2"/>
        <v>0</v>
      </c>
      <c r="J19" s="16">
        <f>ROUND(G19/120-1,2)</f>
        <v>1.5</v>
      </c>
    </row>
    <row r="20" spans="1:10" x14ac:dyDescent="0.25">
      <c r="A20" s="1" t="s">
        <v>16</v>
      </c>
      <c r="B20" s="1" t="s">
        <v>29</v>
      </c>
      <c r="C20" s="11"/>
      <c r="D20" s="11"/>
      <c r="E20" s="11">
        <v>390</v>
      </c>
      <c r="F20" s="11"/>
      <c r="G20" s="11">
        <f t="shared" si="0"/>
        <v>390</v>
      </c>
      <c r="H20" s="17">
        <f t="shared" si="1"/>
        <v>7.0000000000000007E-2</v>
      </c>
      <c r="I20" s="16">
        <f t="shared" si="2"/>
        <v>0</v>
      </c>
      <c r="J20" s="16">
        <f>ROUND(G20/360-1,2)</f>
        <v>0.08</v>
      </c>
    </row>
    <row r="21" spans="1:10" x14ac:dyDescent="0.25">
      <c r="A21" s="1" t="s">
        <v>16</v>
      </c>
      <c r="B21" s="1" t="s">
        <v>30</v>
      </c>
      <c r="C21" s="11"/>
      <c r="D21" s="11"/>
      <c r="E21" s="11">
        <v>400</v>
      </c>
      <c r="F21" s="11"/>
      <c r="G21" s="11">
        <f t="shared" si="0"/>
        <v>400</v>
      </c>
      <c r="H21" s="17">
        <f t="shared" si="1"/>
        <v>7.0000000000000007E-2</v>
      </c>
      <c r="I21" s="16">
        <f t="shared" si="2"/>
        <v>0</v>
      </c>
      <c r="J21" s="16"/>
    </row>
    <row r="22" spans="1:10" x14ac:dyDescent="0.25">
      <c r="A22" s="1" t="s">
        <v>16</v>
      </c>
      <c r="B22" s="1" t="s">
        <v>31</v>
      </c>
      <c r="C22" s="11"/>
      <c r="D22" s="11"/>
      <c r="E22" s="11">
        <v>370</v>
      </c>
      <c r="F22" s="11"/>
      <c r="G22" s="11">
        <f t="shared" si="0"/>
        <v>370</v>
      </c>
      <c r="H22" s="17">
        <f t="shared" si="1"/>
        <v>7.0000000000000007E-2</v>
      </c>
      <c r="I22" s="16">
        <f t="shared" si="2"/>
        <v>0</v>
      </c>
      <c r="J22" s="16">
        <f>ROUND(G22/1505-1,2)</f>
        <v>-0.75</v>
      </c>
    </row>
    <row r="23" spans="1:10" x14ac:dyDescent="0.25">
      <c r="A23" s="1" t="s">
        <v>16</v>
      </c>
      <c r="B23" s="1" t="s">
        <v>32</v>
      </c>
      <c r="C23" s="11"/>
      <c r="D23" s="11">
        <v>199</v>
      </c>
      <c r="E23" s="11"/>
      <c r="F23" s="11"/>
      <c r="G23" s="11">
        <f t="shared" si="0"/>
        <v>199</v>
      </c>
      <c r="H23" s="17">
        <f t="shared" si="1"/>
        <v>0.04</v>
      </c>
      <c r="I23" s="16">
        <f t="shared" si="2"/>
        <v>0</v>
      </c>
      <c r="J23" s="16">
        <f>ROUND(G23/196-1,2)</f>
        <v>0.02</v>
      </c>
    </row>
    <row r="24" spans="1:10" x14ac:dyDescent="0.25">
      <c r="A24" s="1" t="s">
        <v>16</v>
      </c>
      <c r="B24" s="1" t="s">
        <v>34</v>
      </c>
      <c r="C24" s="11"/>
      <c r="D24" s="11">
        <v>220</v>
      </c>
      <c r="E24" s="11"/>
      <c r="F24" s="11"/>
      <c r="G24" s="11">
        <f t="shared" si="0"/>
        <v>220</v>
      </c>
      <c r="H24" s="17">
        <f t="shared" si="1"/>
        <v>0.04</v>
      </c>
      <c r="I24" s="16">
        <f t="shared" si="2"/>
        <v>0</v>
      </c>
      <c r="J24" s="16">
        <f>ROUND(G24/260-1,2)</f>
        <v>-0.15</v>
      </c>
    </row>
    <row r="25" spans="1:10" x14ac:dyDescent="0.25">
      <c r="A25" s="1" t="s">
        <v>16</v>
      </c>
      <c r="B25" s="1" t="s">
        <v>35</v>
      </c>
      <c r="C25" s="11"/>
      <c r="D25" s="11"/>
      <c r="E25" s="11">
        <v>36500</v>
      </c>
      <c r="F25" s="11"/>
      <c r="G25" s="11">
        <f t="shared" si="0"/>
        <v>36500</v>
      </c>
      <c r="H25" s="17">
        <f t="shared" si="1"/>
        <v>6.66</v>
      </c>
      <c r="I25" s="16">
        <f t="shared" si="2"/>
        <v>4.4999999999999998E-2</v>
      </c>
      <c r="J25" s="16">
        <f>ROUND(G25/26080-1,2)</f>
        <v>0.4</v>
      </c>
    </row>
    <row r="26" spans="1:10" x14ac:dyDescent="0.25">
      <c r="A26" s="1" t="s">
        <v>16</v>
      </c>
      <c r="B26" s="1" t="s">
        <v>36</v>
      </c>
      <c r="C26" s="11"/>
      <c r="D26" s="11"/>
      <c r="E26" s="11">
        <v>1920</v>
      </c>
      <c r="F26" s="11"/>
      <c r="G26" s="11">
        <f t="shared" si="0"/>
        <v>1920</v>
      </c>
      <c r="H26" s="17">
        <f t="shared" si="1"/>
        <v>0.35</v>
      </c>
      <c r="I26" s="16">
        <f t="shared" si="2"/>
        <v>2E-3</v>
      </c>
      <c r="J26" s="16">
        <f>ROUND(G26/1750-1,2)</f>
        <v>0.1</v>
      </c>
    </row>
    <row r="27" spans="1:10" x14ac:dyDescent="0.25">
      <c r="A27" s="1" t="s">
        <v>16</v>
      </c>
      <c r="B27" s="1" t="s">
        <v>37</v>
      </c>
      <c r="C27" s="11"/>
      <c r="D27" s="11"/>
      <c r="E27" s="11">
        <v>4030</v>
      </c>
      <c r="F27" s="11"/>
      <c r="G27" s="11">
        <f t="shared" si="0"/>
        <v>4030</v>
      </c>
      <c r="H27" s="17">
        <f t="shared" si="1"/>
        <v>0.74</v>
      </c>
      <c r="I27" s="16">
        <f t="shared" si="2"/>
        <v>5.0000000000000001E-3</v>
      </c>
      <c r="J27" s="16">
        <f>ROUND(G27/5620-1,2)</f>
        <v>-0.28000000000000003</v>
      </c>
    </row>
    <row r="28" spans="1:10" x14ac:dyDescent="0.25">
      <c r="A28" s="1" t="s">
        <v>16</v>
      </c>
      <c r="B28" s="1" t="s">
        <v>38</v>
      </c>
      <c r="C28" s="11"/>
      <c r="D28" s="11">
        <v>147580</v>
      </c>
      <c r="E28" s="11">
        <v>16330</v>
      </c>
      <c r="F28" s="11">
        <v>2200</v>
      </c>
      <c r="G28" s="11">
        <f t="shared" si="0"/>
        <v>166110</v>
      </c>
      <c r="H28" s="17">
        <f t="shared" si="1"/>
        <v>30.31</v>
      </c>
      <c r="I28" s="16">
        <f t="shared" si="2"/>
        <v>0.20399999999999999</v>
      </c>
      <c r="J28" s="16">
        <f>ROUND(G28/212740-1,2)</f>
        <v>-0.22</v>
      </c>
    </row>
    <row r="29" spans="1:10" x14ac:dyDescent="0.25">
      <c r="A29" s="1" t="s">
        <v>16</v>
      </c>
      <c r="B29" s="1" t="s">
        <v>21</v>
      </c>
      <c r="C29" s="11"/>
      <c r="D29" s="11"/>
      <c r="E29" s="11"/>
      <c r="F29" s="11"/>
      <c r="G29" s="11">
        <f t="shared" si="0"/>
        <v>0</v>
      </c>
      <c r="H29" s="17">
        <f t="shared" si="1"/>
        <v>0</v>
      </c>
      <c r="I29" s="16">
        <f t="shared" si="2"/>
        <v>0</v>
      </c>
      <c r="J29" s="16">
        <f>ROUND(G29/83-1,2)</f>
        <v>-1</v>
      </c>
    </row>
    <row r="30" spans="1:10" x14ac:dyDescent="0.25">
      <c r="A30" s="1" t="s">
        <v>16</v>
      </c>
      <c r="B30" s="1" t="s">
        <v>39</v>
      </c>
      <c r="C30" s="11"/>
      <c r="D30" s="11"/>
      <c r="E30" s="11"/>
      <c r="F30" s="11"/>
      <c r="G30" s="11">
        <f t="shared" si="0"/>
        <v>0</v>
      </c>
      <c r="H30" s="17">
        <f t="shared" si="1"/>
        <v>0</v>
      </c>
      <c r="I30" s="16">
        <f t="shared" si="2"/>
        <v>0</v>
      </c>
      <c r="J30" s="16"/>
    </row>
    <row r="31" spans="1:10" x14ac:dyDescent="0.25">
      <c r="A31" s="1" t="s">
        <v>16</v>
      </c>
      <c r="B31" s="1" t="s">
        <v>40</v>
      </c>
      <c r="C31" s="11"/>
      <c r="D31" s="11"/>
      <c r="E31" s="11"/>
      <c r="F31" s="11"/>
      <c r="G31" s="11">
        <f t="shared" si="0"/>
        <v>0</v>
      </c>
      <c r="H31" s="17">
        <f t="shared" si="1"/>
        <v>0</v>
      </c>
      <c r="I31" s="16">
        <f t="shared" si="2"/>
        <v>0</v>
      </c>
      <c r="J31" s="16">
        <f>ROUND(G31/2390-1,2)</f>
        <v>-1</v>
      </c>
    </row>
    <row r="32" spans="1:10" x14ac:dyDescent="0.25">
      <c r="A32" s="1" t="s">
        <v>16</v>
      </c>
      <c r="B32" s="1" t="s">
        <v>41</v>
      </c>
      <c r="C32" s="11"/>
      <c r="D32" s="11"/>
      <c r="E32" s="11"/>
      <c r="F32" s="11"/>
      <c r="G32" s="11">
        <f t="shared" si="0"/>
        <v>0</v>
      </c>
      <c r="H32" s="17">
        <f t="shared" si="1"/>
        <v>0</v>
      </c>
      <c r="I32" s="16">
        <f t="shared" si="2"/>
        <v>0</v>
      </c>
      <c r="J32" s="16">
        <f>ROUND(G32/2130-1,2)</f>
        <v>-1</v>
      </c>
    </row>
    <row r="33" spans="1:10" x14ac:dyDescent="0.25">
      <c r="A33" s="1" t="s">
        <v>16</v>
      </c>
      <c r="B33" s="1" t="s">
        <v>42</v>
      </c>
      <c r="C33" s="11"/>
      <c r="D33" s="11"/>
      <c r="E33" s="11"/>
      <c r="F33" s="11"/>
      <c r="G33" s="11">
        <f t="shared" si="0"/>
        <v>0</v>
      </c>
      <c r="H33" s="17">
        <f t="shared" si="1"/>
        <v>0</v>
      </c>
      <c r="I33" s="16">
        <f t="shared" si="2"/>
        <v>0</v>
      </c>
      <c r="J33" s="16">
        <f>ROUND(G33/3766-1,2)</f>
        <v>-1</v>
      </c>
    </row>
    <row r="34" spans="1:10" x14ac:dyDescent="0.25">
      <c r="A34" s="1" t="s">
        <v>16</v>
      </c>
      <c r="B34" s="1" t="s">
        <v>43</v>
      </c>
      <c r="C34" s="11"/>
      <c r="D34" s="11"/>
      <c r="E34" s="11"/>
      <c r="F34" s="11"/>
      <c r="G34" s="11">
        <f t="shared" si="0"/>
        <v>0</v>
      </c>
      <c r="H34" s="17">
        <f t="shared" si="1"/>
        <v>0</v>
      </c>
      <c r="I34" s="16">
        <f t="shared" si="2"/>
        <v>0</v>
      </c>
      <c r="J34" s="16">
        <f>ROUND(G34/3050-1,2)</f>
        <v>-1</v>
      </c>
    </row>
    <row r="35" spans="1:10" x14ac:dyDescent="0.25">
      <c r="A35" s="1" t="s">
        <v>16</v>
      </c>
      <c r="B35" s="1" t="s">
        <v>33</v>
      </c>
      <c r="C35" s="11"/>
      <c r="D35" s="11"/>
      <c r="E35" s="11"/>
      <c r="F35" s="11"/>
      <c r="G35" s="11">
        <f t="shared" si="0"/>
        <v>0</v>
      </c>
      <c r="H35" s="17">
        <f t="shared" si="1"/>
        <v>0</v>
      </c>
      <c r="I35" s="16">
        <f t="shared" si="2"/>
        <v>0</v>
      </c>
      <c r="J35" s="16"/>
    </row>
    <row r="36" spans="1:10" x14ac:dyDescent="0.25">
      <c r="A36" s="1" t="s">
        <v>44</v>
      </c>
      <c r="B36" s="1" t="s">
        <v>45</v>
      </c>
      <c r="C36" s="11">
        <v>133690</v>
      </c>
      <c r="D36" s="11"/>
      <c r="E36" s="11"/>
      <c r="F36" s="11">
        <v>800</v>
      </c>
      <c r="G36" s="11">
        <f t="shared" si="0"/>
        <v>134490</v>
      </c>
      <c r="H36" s="17">
        <f t="shared" si="1"/>
        <v>24.54</v>
      </c>
      <c r="I36" s="16">
        <f t="shared" si="2"/>
        <v>0.16500000000000001</v>
      </c>
      <c r="J36" s="16">
        <f>ROUND(G36/182000-1,2)</f>
        <v>-0.26</v>
      </c>
    </row>
    <row r="37" spans="1:10" x14ac:dyDescent="0.25">
      <c r="A37" s="1" t="s">
        <v>44</v>
      </c>
      <c r="B37" s="1" t="s">
        <v>47</v>
      </c>
      <c r="C37" s="11"/>
      <c r="D37" s="11"/>
      <c r="E37" s="11"/>
      <c r="F37" s="11">
        <v>7390</v>
      </c>
      <c r="G37" s="11">
        <f t="shared" si="0"/>
        <v>7390</v>
      </c>
      <c r="H37" s="17">
        <f t="shared" si="1"/>
        <v>1.35</v>
      </c>
      <c r="I37" s="16">
        <f t="shared" si="2"/>
        <v>8.9999999999999993E-3</v>
      </c>
      <c r="J37" s="16">
        <f>ROUND(G37/19680-1,2)</f>
        <v>-0.62</v>
      </c>
    </row>
    <row r="38" spans="1:10" x14ac:dyDescent="0.25">
      <c r="A38" s="1" t="s">
        <v>44</v>
      </c>
      <c r="B38" s="1" t="s">
        <v>46</v>
      </c>
      <c r="C38" s="11"/>
      <c r="D38" s="11"/>
      <c r="E38" s="11">
        <v>22560</v>
      </c>
      <c r="F38" s="11"/>
      <c r="G38" s="11">
        <f t="shared" si="0"/>
        <v>22560</v>
      </c>
      <c r="H38" s="17">
        <f t="shared" si="1"/>
        <v>4.12</v>
      </c>
      <c r="I38" s="16">
        <f t="shared" si="2"/>
        <v>2.8000000000000001E-2</v>
      </c>
      <c r="J38" s="16">
        <f>ROUND(G38/15440-1,2)</f>
        <v>0.46</v>
      </c>
    </row>
    <row r="39" spans="1:10" x14ac:dyDescent="0.25">
      <c r="A39" s="1" t="s">
        <v>48</v>
      </c>
      <c r="B39" s="1" t="s">
        <v>51</v>
      </c>
      <c r="C39" s="11"/>
      <c r="D39" s="11"/>
      <c r="E39" s="11"/>
      <c r="F39" s="11"/>
      <c r="G39" s="11">
        <f t="shared" si="0"/>
        <v>0</v>
      </c>
      <c r="H39" s="17">
        <f t="shared" si="1"/>
        <v>0</v>
      </c>
      <c r="I39" s="16">
        <f t="shared" si="2"/>
        <v>0</v>
      </c>
      <c r="J39" s="16"/>
    </row>
    <row r="40" spans="1:10" x14ac:dyDescent="0.25">
      <c r="A40" s="1" t="s">
        <v>48</v>
      </c>
      <c r="B40" s="1" t="s">
        <v>49</v>
      </c>
      <c r="C40" s="11"/>
      <c r="D40" s="11"/>
      <c r="E40" s="11"/>
      <c r="F40" s="11"/>
      <c r="G40" s="11">
        <f t="shared" si="0"/>
        <v>0</v>
      </c>
      <c r="H40" s="17">
        <f t="shared" si="1"/>
        <v>0</v>
      </c>
      <c r="I40" s="16">
        <f t="shared" si="2"/>
        <v>0</v>
      </c>
      <c r="J40" s="16"/>
    </row>
    <row r="41" spans="1:10" x14ac:dyDescent="0.25">
      <c r="A41" s="1" t="s">
        <v>48</v>
      </c>
      <c r="B41" s="1" t="s">
        <v>86</v>
      </c>
      <c r="C41" s="11"/>
      <c r="D41" s="11"/>
      <c r="E41" s="11"/>
      <c r="F41" s="11"/>
      <c r="G41" s="11">
        <f t="shared" si="0"/>
        <v>0</v>
      </c>
      <c r="H41" s="17">
        <f t="shared" si="1"/>
        <v>0</v>
      </c>
      <c r="I41" s="16">
        <f t="shared" si="2"/>
        <v>0</v>
      </c>
      <c r="J41" s="16">
        <f>ROUND(G41/230-1,2)</f>
        <v>-1</v>
      </c>
    </row>
    <row r="42" spans="1:10" x14ac:dyDescent="0.25">
      <c r="A42" s="1" t="s">
        <v>48</v>
      </c>
      <c r="B42" s="1" t="s">
        <v>50</v>
      </c>
      <c r="C42" s="11"/>
      <c r="D42" s="11"/>
      <c r="E42" s="11"/>
      <c r="F42" s="11"/>
      <c r="G42" s="11">
        <f t="shared" si="0"/>
        <v>0</v>
      </c>
      <c r="H42" s="17">
        <f t="shared" si="1"/>
        <v>0</v>
      </c>
      <c r="I42" s="16">
        <f t="shared" si="2"/>
        <v>0</v>
      </c>
      <c r="J42" s="16"/>
    </row>
    <row r="43" spans="1:10" x14ac:dyDescent="0.25">
      <c r="A43" s="21" t="s">
        <v>12</v>
      </c>
      <c r="B43" s="21"/>
      <c r="C43" s="12">
        <f t="shared" ref="C43:H43" si="3">SUM(C8:C42)</f>
        <v>540790</v>
      </c>
      <c r="D43" s="12">
        <f t="shared" si="3"/>
        <v>147999</v>
      </c>
      <c r="E43" s="12">
        <f t="shared" si="3"/>
        <v>113817</v>
      </c>
      <c r="F43" s="12">
        <f t="shared" si="3"/>
        <v>11210</v>
      </c>
      <c r="G43" s="12">
        <f t="shared" si="3"/>
        <v>813816</v>
      </c>
      <c r="H43" s="15">
        <f t="shared" si="3"/>
        <v>148.51999999999998</v>
      </c>
      <c r="I43" s="18"/>
      <c r="J43" s="18"/>
    </row>
    <row r="44" spans="1:10" x14ac:dyDescent="0.25">
      <c r="A44" s="21" t="s">
        <v>14</v>
      </c>
      <c r="B44" s="21"/>
      <c r="C44" s="13">
        <f>ROUND(C43/G43,2)</f>
        <v>0.66</v>
      </c>
      <c r="D44" s="13">
        <f>ROUND(D43/G43,2)</f>
        <v>0.18</v>
      </c>
      <c r="E44" s="13">
        <f>ROUND(E43/G43,2)</f>
        <v>0.14000000000000001</v>
      </c>
      <c r="F44" s="13">
        <f>ROUND(F43/G43,2)</f>
        <v>0.01</v>
      </c>
      <c r="G44" s="14"/>
      <c r="H44" s="14"/>
      <c r="I44" s="18"/>
      <c r="J44" s="18"/>
    </row>
    <row r="45" spans="1:10" x14ac:dyDescent="0.25">
      <c r="A45" s="2" t="s">
        <v>52</v>
      </c>
      <c r="B45" s="2"/>
      <c r="C45" s="14"/>
      <c r="D45" s="14"/>
      <c r="E45" s="14"/>
      <c r="F45" s="14"/>
      <c r="G45" s="14"/>
      <c r="H45" s="14"/>
      <c r="I45" s="18"/>
      <c r="J45" s="18"/>
    </row>
    <row r="46" spans="1:10" x14ac:dyDescent="0.25">
      <c r="C46" s="9"/>
      <c r="D46" s="9"/>
      <c r="E46" s="9"/>
      <c r="F46" s="9"/>
      <c r="G46" s="9"/>
      <c r="H46" s="9"/>
      <c r="I46" s="10"/>
      <c r="J46" s="10"/>
    </row>
    <row r="47" spans="1:10" x14ac:dyDescent="0.25">
      <c r="C47" s="9"/>
      <c r="D47" s="9"/>
      <c r="E47" s="9"/>
      <c r="F47" s="9"/>
      <c r="G47" s="9"/>
      <c r="H47" s="9"/>
      <c r="I47" s="10"/>
      <c r="J47" s="10"/>
    </row>
    <row r="48" spans="1:10" x14ac:dyDescent="0.25">
      <c r="C48" s="9"/>
      <c r="D48" s="9"/>
      <c r="E48" s="9"/>
      <c r="F48" s="9"/>
      <c r="G48" s="9"/>
      <c r="H48" s="9"/>
      <c r="I48" s="10"/>
      <c r="J48" s="10"/>
    </row>
    <row r="49" spans="1:10" x14ac:dyDescent="0.25">
      <c r="A49" s="21" t="s">
        <v>53</v>
      </c>
      <c r="B49" s="21"/>
      <c r="C49" s="12" t="s">
        <v>8</v>
      </c>
      <c r="D49" s="12" t="s">
        <v>9</v>
      </c>
      <c r="E49" s="12" t="s">
        <v>10</v>
      </c>
      <c r="F49" s="12" t="s">
        <v>11</v>
      </c>
      <c r="G49" s="12" t="s">
        <v>12</v>
      </c>
      <c r="H49" s="15" t="s">
        <v>13</v>
      </c>
      <c r="I49" s="18"/>
      <c r="J49" s="18"/>
    </row>
    <row r="50" spans="1:10" x14ac:dyDescent="0.25">
      <c r="A50" s="20" t="s">
        <v>54</v>
      </c>
      <c r="B50" s="20"/>
      <c r="C50" s="11">
        <v>407100</v>
      </c>
      <c r="D50" s="11">
        <v>147999</v>
      </c>
      <c r="E50" s="11">
        <v>91257</v>
      </c>
      <c r="F50" s="11">
        <v>3020</v>
      </c>
      <c r="G50" s="11">
        <f>SUM(C50:F50)</f>
        <v>649376</v>
      </c>
      <c r="H50" s="17">
        <f>ROUND(G50/5480,2)</f>
        <v>118.5</v>
      </c>
      <c r="I50" s="10"/>
      <c r="J50" s="10"/>
    </row>
    <row r="51" spans="1:10" x14ac:dyDescent="0.25">
      <c r="A51" s="20" t="s">
        <v>55</v>
      </c>
      <c r="B51" s="20"/>
      <c r="C51" s="11">
        <v>133690</v>
      </c>
      <c r="D51" s="11">
        <v>0</v>
      </c>
      <c r="E51" s="11">
        <v>22560</v>
      </c>
      <c r="F51" s="11">
        <v>8190</v>
      </c>
      <c r="G51" s="11">
        <f>SUM(C51:F51)</f>
        <v>164440</v>
      </c>
      <c r="H51" s="17">
        <f>ROUND(G51/5480,2)</f>
        <v>30.01</v>
      </c>
      <c r="I51" s="10"/>
      <c r="J51" s="10"/>
    </row>
    <row r="52" spans="1:10" x14ac:dyDescent="0.25">
      <c r="A52" s="20" t="s">
        <v>56</v>
      </c>
      <c r="B52" s="20"/>
      <c r="C52" s="11">
        <v>0</v>
      </c>
      <c r="D52" s="11">
        <v>0</v>
      </c>
      <c r="E52" s="11">
        <v>0</v>
      </c>
      <c r="F52" s="11">
        <v>0</v>
      </c>
      <c r="G52" s="11">
        <f>SUM(C52:F52)</f>
        <v>0</v>
      </c>
      <c r="H52" s="17">
        <f>ROUND(G52/5480,2)</f>
        <v>0</v>
      </c>
      <c r="I52" s="10"/>
      <c r="J52" s="10"/>
    </row>
    <row r="53" spans="1:10" x14ac:dyDescent="0.25">
      <c r="C53" s="9"/>
      <c r="D53" s="9"/>
      <c r="E53" s="9"/>
      <c r="F53" s="9"/>
      <c r="G53" s="9"/>
      <c r="H53" s="9"/>
      <c r="I53" s="10"/>
      <c r="J53" s="10"/>
    </row>
    <row r="54" spans="1:10" x14ac:dyDescent="0.25">
      <c r="C54" s="9"/>
      <c r="D54" s="9"/>
      <c r="E54" s="9"/>
      <c r="F54" s="9"/>
      <c r="G54" s="9"/>
      <c r="H54" s="9"/>
      <c r="I54" s="10"/>
      <c r="J54" s="10"/>
    </row>
    <row r="55" spans="1:10" x14ac:dyDescent="0.25">
      <c r="C55" s="9"/>
      <c r="D55" s="9"/>
      <c r="E55" s="9"/>
      <c r="F55" s="9"/>
      <c r="G55" s="9"/>
      <c r="H55" s="9"/>
      <c r="I55" s="10"/>
      <c r="J55" s="10"/>
    </row>
    <row r="56" spans="1:10" x14ac:dyDescent="0.25">
      <c r="C56" s="9"/>
      <c r="D56" s="9"/>
      <c r="E56" s="9"/>
      <c r="F56" s="9"/>
      <c r="G56" s="9"/>
      <c r="H56" s="9"/>
      <c r="I56" s="10"/>
      <c r="J56" s="10"/>
    </row>
    <row r="57" spans="1:10" x14ac:dyDescent="0.25">
      <c r="A57" s="21" t="s">
        <v>57</v>
      </c>
      <c r="B57" s="21"/>
      <c r="C57" s="15" t="s">
        <v>2</v>
      </c>
      <c r="D57" s="15">
        <v>2023</v>
      </c>
      <c r="E57" s="15" t="s">
        <v>59</v>
      </c>
      <c r="F57" s="14"/>
      <c r="G57" s="15" t="s">
        <v>60</v>
      </c>
      <c r="H57" s="15" t="s">
        <v>2</v>
      </c>
      <c r="I57" s="13" t="s">
        <v>61</v>
      </c>
      <c r="J57" s="13" t="s">
        <v>59</v>
      </c>
    </row>
    <row r="58" spans="1:10" x14ac:dyDescent="0.25">
      <c r="A58" s="20" t="s">
        <v>58</v>
      </c>
      <c r="B58" s="20"/>
      <c r="C58" s="16">
        <f>ROUND(0.8261, 4)</f>
        <v>0.82609999999999995</v>
      </c>
      <c r="D58" s="16">
        <f>ROUND(0.7944, 4)</f>
        <v>0.7944</v>
      </c>
      <c r="E58" s="16">
        <f>ROUND(0.777, 4)</f>
        <v>0.77700000000000002</v>
      </c>
      <c r="F58" s="9"/>
      <c r="G58" s="15" t="s">
        <v>62</v>
      </c>
      <c r="H58" s="22" t="s">
        <v>63</v>
      </c>
      <c r="I58" s="24" t="s">
        <v>64</v>
      </c>
      <c r="J58" s="24" t="s">
        <v>65</v>
      </c>
    </row>
    <row r="59" spans="1:10" x14ac:dyDescent="0.25">
      <c r="A59" s="20" t="s">
        <v>66</v>
      </c>
      <c r="B59" s="20"/>
      <c r="C59" s="16">
        <f>ROUND(0.8139, 4)</f>
        <v>0.81389999999999996</v>
      </c>
      <c r="D59" s="16">
        <f>ROUND(0.7845, 4)</f>
        <v>0.78449999999999998</v>
      </c>
      <c r="E59" s="16">
        <f>ROUND(0.7608, 4)</f>
        <v>0.76080000000000003</v>
      </c>
      <c r="F59" s="9"/>
      <c r="G59" s="15" t="s">
        <v>67</v>
      </c>
      <c r="H59" s="23"/>
      <c r="I59" s="25"/>
      <c r="J59" s="25"/>
    </row>
    <row r="60" spans="1:10" x14ac:dyDescent="0.25">
      <c r="C60" s="9"/>
      <c r="D60" s="9"/>
      <c r="E60" s="9"/>
      <c r="F60" s="9"/>
      <c r="G60" s="9"/>
      <c r="H60" s="9"/>
      <c r="I60" s="10"/>
      <c r="J60" s="10"/>
    </row>
    <row r="61" spans="1:10" x14ac:dyDescent="0.25">
      <c r="C61" s="9"/>
      <c r="D61" s="9"/>
      <c r="E61" s="9"/>
      <c r="F61" s="9"/>
      <c r="G61" s="9"/>
      <c r="H61" s="9"/>
      <c r="I61" s="10"/>
      <c r="J61" s="10"/>
    </row>
    <row r="62" spans="1:10" x14ac:dyDescent="0.25">
      <c r="C62" s="9"/>
      <c r="D62" s="9"/>
      <c r="E62" s="9"/>
      <c r="F62" s="9"/>
      <c r="G62" s="9"/>
      <c r="H62" s="9"/>
      <c r="I62" s="10"/>
      <c r="J62" s="10"/>
    </row>
    <row r="63" spans="1:10" x14ac:dyDescent="0.25">
      <c r="A63" s="21" t="s">
        <v>68</v>
      </c>
      <c r="B63" s="21"/>
      <c r="C63" s="15" t="s">
        <v>2</v>
      </c>
      <c r="D63" s="15" t="s">
        <v>249</v>
      </c>
      <c r="E63" s="15" t="s">
        <v>70</v>
      </c>
      <c r="F63" s="15" t="s">
        <v>71</v>
      </c>
      <c r="G63" s="15" t="s">
        <v>72</v>
      </c>
      <c r="H63" s="14"/>
      <c r="I63" s="18"/>
      <c r="J63" s="18"/>
    </row>
    <row r="64" spans="1:10" x14ac:dyDescent="0.25">
      <c r="A64" s="20" t="s">
        <v>73</v>
      </c>
      <c r="B64" s="20"/>
      <c r="C64" s="17">
        <v>24.54</v>
      </c>
      <c r="D64" s="17">
        <v>89.28</v>
      </c>
      <c r="E64" s="17">
        <v>81.84</v>
      </c>
      <c r="F64" s="17">
        <v>48</v>
      </c>
      <c r="G64" s="17">
        <f>12/4*C64</f>
        <v>73.62</v>
      </c>
      <c r="H64" s="9"/>
      <c r="I64" s="10"/>
      <c r="J64" s="10"/>
    </row>
    <row r="65" spans="1:10" x14ac:dyDescent="0.25">
      <c r="A65" s="20" t="s">
        <v>74</v>
      </c>
      <c r="B65" s="20"/>
      <c r="C65" s="17">
        <v>25.02</v>
      </c>
      <c r="D65" s="17">
        <v>66.319999999999993</v>
      </c>
      <c r="E65" s="17">
        <v>55.63</v>
      </c>
      <c r="F65" s="17">
        <v>55.33</v>
      </c>
      <c r="G65" s="17">
        <f>12/4*C65</f>
        <v>75.06</v>
      </c>
      <c r="H65" s="9"/>
      <c r="I65" s="10"/>
      <c r="J65" s="10"/>
    </row>
    <row r="66" spans="1:10" x14ac:dyDescent="0.25">
      <c r="A66" s="20" t="s">
        <v>75</v>
      </c>
      <c r="B66" s="20"/>
      <c r="C66" s="17">
        <v>118.5</v>
      </c>
      <c r="D66" s="17">
        <v>350.73</v>
      </c>
      <c r="E66" s="17">
        <v>257.88</v>
      </c>
      <c r="F66" s="17">
        <v>242.78</v>
      </c>
      <c r="G66" s="17">
        <f>12/4*C66</f>
        <v>355.5</v>
      </c>
      <c r="H66" s="9"/>
      <c r="I66" s="10"/>
      <c r="J66" s="10"/>
    </row>
    <row r="67" spans="1:10" x14ac:dyDescent="0.25">
      <c r="A67" s="20" t="s">
        <v>76</v>
      </c>
      <c r="B67" s="20"/>
      <c r="C67" s="17">
        <v>30.01</v>
      </c>
      <c r="D67" s="17">
        <v>105.59</v>
      </c>
      <c r="E67" s="17">
        <v>103.14</v>
      </c>
      <c r="F67" s="17">
        <v>68.31</v>
      </c>
      <c r="G67" s="17">
        <f>12/4*C67</f>
        <v>90.03</v>
      </c>
      <c r="H67" s="9"/>
      <c r="I67" s="10"/>
      <c r="J67" s="10"/>
    </row>
    <row r="68" spans="1:10" x14ac:dyDescent="0.25">
      <c r="C68" s="9"/>
      <c r="D68" s="9"/>
      <c r="E68" s="9"/>
      <c r="F68" s="9"/>
      <c r="G68" s="9"/>
      <c r="H68" s="9"/>
      <c r="I68" s="10"/>
      <c r="J68" s="10"/>
    </row>
    <row r="69" spans="1:10" x14ac:dyDescent="0.25">
      <c r="C69" s="9"/>
      <c r="D69" s="9"/>
      <c r="E69" s="9"/>
      <c r="F69" s="9"/>
      <c r="G69" s="9"/>
      <c r="H69" s="9"/>
      <c r="I69" s="10"/>
      <c r="J69" s="10"/>
    </row>
    <row r="70" spans="1:10" x14ac:dyDescent="0.25">
      <c r="A70" s="19" t="s">
        <v>60</v>
      </c>
      <c r="B70" s="26"/>
      <c r="C70" s="9"/>
      <c r="D70" s="9"/>
      <c r="E70" s="9"/>
      <c r="F70" s="9"/>
      <c r="G70" s="9"/>
      <c r="H70" s="9"/>
      <c r="I70" s="10"/>
      <c r="J70" s="10"/>
    </row>
    <row r="71" spans="1:10" x14ac:dyDescent="0.25">
      <c r="A71" s="3" t="s">
        <v>77</v>
      </c>
      <c r="B71" s="1" t="s">
        <v>250</v>
      </c>
      <c r="C71" s="9"/>
      <c r="D71" s="9"/>
      <c r="E71" s="9"/>
      <c r="F71" s="9"/>
      <c r="G71" s="9"/>
      <c r="H71" s="9"/>
      <c r="I71" s="10"/>
      <c r="J71" s="10"/>
    </row>
    <row r="72" spans="1:10" x14ac:dyDescent="0.25">
      <c r="A72" s="3" t="s">
        <v>70</v>
      </c>
      <c r="B72" s="1" t="s">
        <v>79</v>
      </c>
      <c r="C72" s="9"/>
      <c r="D72" s="9"/>
      <c r="E72" s="9"/>
      <c r="F72" s="9"/>
      <c r="G72" s="9"/>
      <c r="H72" s="9"/>
      <c r="I72" s="10"/>
      <c r="J72" s="10"/>
    </row>
    <row r="73" spans="1:10" x14ac:dyDescent="0.25">
      <c r="A73" s="3" t="s">
        <v>71</v>
      </c>
      <c r="B73" s="1" t="s">
        <v>80</v>
      </c>
      <c r="C73" s="9"/>
      <c r="D73" s="9"/>
      <c r="E73" s="9"/>
      <c r="F73" s="9"/>
      <c r="G73" s="9"/>
      <c r="H73" s="9"/>
      <c r="I73" s="10"/>
      <c r="J73" s="10"/>
    </row>
    <row r="74" spans="1:10" x14ac:dyDescent="0.25">
      <c r="A74" s="3" t="s">
        <v>72</v>
      </c>
      <c r="B74" s="1" t="s">
        <v>81</v>
      </c>
      <c r="C74" s="9"/>
      <c r="D74" s="9"/>
      <c r="E74" s="9"/>
      <c r="F74" s="9"/>
      <c r="G74" s="9"/>
      <c r="H74" s="9"/>
      <c r="I74" s="10"/>
      <c r="J74" s="10"/>
    </row>
    <row r="75" spans="1:10" x14ac:dyDescent="0.25">
      <c r="C75" s="9"/>
      <c r="D75" s="9"/>
      <c r="E75" s="9"/>
      <c r="F75" s="9"/>
      <c r="G75" s="9"/>
      <c r="H75" s="9"/>
      <c r="I75" s="10"/>
      <c r="J75" s="10"/>
    </row>
    <row r="76" spans="1:10" x14ac:dyDescent="0.25">
      <c r="C76" s="9"/>
      <c r="D76" s="9"/>
      <c r="E76" s="9"/>
      <c r="F76" s="9"/>
      <c r="G76" s="9"/>
      <c r="H76" s="9"/>
      <c r="I76" s="10"/>
      <c r="J76" s="10"/>
    </row>
    <row r="77" spans="1:10" x14ac:dyDescent="0.25">
      <c r="C77" s="9"/>
      <c r="D77" s="9"/>
      <c r="E77" s="9"/>
      <c r="F77" s="9"/>
      <c r="G77" s="9"/>
      <c r="H77" s="9"/>
      <c r="I77" s="10"/>
      <c r="J77" s="10"/>
    </row>
    <row r="78" spans="1:10" x14ac:dyDescent="0.25">
      <c r="C78" s="9"/>
      <c r="D78" s="9"/>
      <c r="E78" s="9"/>
      <c r="F78" s="9"/>
      <c r="G78" s="9"/>
      <c r="H78" s="9"/>
      <c r="I78" s="10"/>
      <c r="J78" s="10"/>
    </row>
    <row r="79" spans="1:10" x14ac:dyDescent="0.25">
      <c r="C79" s="9"/>
      <c r="D79" s="9"/>
      <c r="E79" s="9"/>
      <c r="F79" s="9"/>
      <c r="G79" s="9"/>
      <c r="H79" s="9"/>
      <c r="I79" s="10"/>
      <c r="J79" s="10"/>
    </row>
  </sheetData>
  <mergeCells count="19">
    <mergeCell ref="A65:B65"/>
    <mergeCell ref="A66:B66"/>
    <mergeCell ref="A67:B67"/>
    <mergeCell ref="A70:B70"/>
    <mergeCell ref="I58:I59"/>
    <mergeCell ref="J58:J59"/>
    <mergeCell ref="A59:B59"/>
    <mergeCell ref="A63:B63"/>
    <mergeCell ref="A64:B64"/>
    <mergeCell ref="A51:B51"/>
    <mergeCell ref="A52:B52"/>
    <mergeCell ref="A57:B57"/>
    <mergeCell ref="A58:B58"/>
    <mergeCell ref="H58:H59"/>
    <mergeCell ref="C7:G7"/>
    <mergeCell ref="A43:B43"/>
    <mergeCell ref="A44:B44"/>
    <mergeCell ref="A49:B49"/>
    <mergeCell ref="A50:B5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2:J79"/>
  <sheetViews>
    <sheetView workbookViewId="0">
      <selection activeCell="C9" sqref="C9:J77"/>
    </sheetView>
  </sheetViews>
  <sheetFormatPr defaultRowHeight="15" x14ac:dyDescent="0.25"/>
  <cols>
    <col min="1" max="1" width="38.85546875" bestFit="1" customWidth="1"/>
    <col min="2" max="2" width="80.140625" bestFit="1" customWidth="1"/>
    <col min="3" max="3" width="14" bestFit="1" customWidth="1"/>
    <col min="4" max="4" width="37.7109375" bestFit="1" customWidth="1"/>
    <col min="5" max="5" width="16.42578125" bestFit="1" customWidth="1"/>
    <col min="6" max="6" width="10.5703125" bestFit="1" customWidth="1"/>
    <col min="7" max="7" width="68.28515625" bestFit="1" customWidth="1"/>
    <col min="8" max="9" width="20" bestFit="1" customWidth="1"/>
    <col min="10" max="10" width="30.5703125" bestFit="1" customWidth="1"/>
  </cols>
  <sheetData>
    <row r="2" spans="1:10" ht="18.75" x14ac:dyDescent="0.3">
      <c r="A2" s="3" t="s">
        <v>0</v>
      </c>
      <c r="B2" s="4" t="s">
        <v>251</v>
      </c>
    </row>
    <row r="3" spans="1:10" x14ac:dyDescent="0.25">
      <c r="A3" s="3" t="s">
        <v>2</v>
      </c>
      <c r="B3" s="1" t="s">
        <v>3</v>
      </c>
    </row>
    <row r="4" spans="1:10" x14ac:dyDescent="0.25">
      <c r="A4" s="3" t="s">
        <v>4</v>
      </c>
      <c r="B4" s="1">
        <v>6878</v>
      </c>
    </row>
    <row r="7" spans="1:10" x14ac:dyDescent="0.25">
      <c r="C7" s="19" t="s">
        <v>5</v>
      </c>
      <c r="D7" s="20"/>
      <c r="E7" s="20"/>
      <c r="F7" s="20"/>
      <c r="G7" s="20"/>
    </row>
    <row r="8" spans="1:10" x14ac:dyDescent="0.25">
      <c r="A8" s="3" t="s">
        <v>6</v>
      </c>
      <c r="B8" s="3" t="s">
        <v>7</v>
      </c>
      <c r="C8" s="3" t="s">
        <v>8</v>
      </c>
      <c r="D8" s="3" t="s">
        <v>9</v>
      </c>
      <c r="E8" s="3" t="s">
        <v>10</v>
      </c>
      <c r="F8" s="3" t="s">
        <v>11</v>
      </c>
      <c r="G8" s="3" t="s">
        <v>12</v>
      </c>
      <c r="H8" s="3" t="s">
        <v>13</v>
      </c>
      <c r="I8" s="3" t="s">
        <v>14</v>
      </c>
      <c r="J8" s="3" t="s">
        <v>15</v>
      </c>
    </row>
    <row r="9" spans="1:10" x14ac:dyDescent="0.25">
      <c r="A9" s="1" t="s">
        <v>16</v>
      </c>
      <c r="B9" s="1" t="s">
        <v>17</v>
      </c>
      <c r="C9" s="11"/>
      <c r="D9" s="11"/>
      <c r="E9" s="11">
        <v>40</v>
      </c>
      <c r="F9" s="11"/>
      <c r="G9" s="11">
        <f t="shared" ref="G9:G47" si="0">SUM(C9:F9)</f>
        <v>40</v>
      </c>
      <c r="H9" s="17">
        <f t="shared" ref="H9:H47" si="1">ROUND(G9/6878,2)</f>
        <v>0.01</v>
      </c>
      <c r="I9" s="16">
        <f t="shared" ref="I9:I47" si="2">ROUND(G9/$G$48,3)</f>
        <v>0</v>
      </c>
      <c r="J9" s="16"/>
    </row>
    <row r="10" spans="1:10" x14ac:dyDescent="0.25">
      <c r="A10" s="1" t="s">
        <v>16</v>
      </c>
      <c r="B10" s="1" t="s">
        <v>19</v>
      </c>
      <c r="C10" s="11">
        <v>73270</v>
      </c>
      <c r="D10" s="11"/>
      <c r="E10" s="11">
        <v>860</v>
      </c>
      <c r="F10" s="11"/>
      <c r="G10" s="11">
        <f t="shared" si="0"/>
        <v>74130</v>
      </c>
      <c r="H10" s="17">
        <f t="shared" si="1"/>
        <v>10.78</v>
      </c>
      <c r="I10" s="16">
        <f t="shared" si="2"/>
        <v>9.5000000000000001E-2</v>
      </c>
      <c r="J10" s="16">
        <f>ROUND(G10/65880-1,2)</f>
        <v>0.13</v>
      </c>
    </row>
    <row r="11" spans="1:10" x14ac:dyDescent="0.25">
      <c r="A11" s="1" t="s">
        <v>16</v>
      </c>
      <c r="B11" s="1" t="s">
        <v>20</v>
      </c>
      <c r="C11" s="11">
        <v>87650</v>
      </c>
      <c r="D11" s="11"/>
      <c r="E11" s="11"/>
      <c r="F11" s="11"/>
      <c r="G11" s="11">
        <f t="shared" si="0"/>
        <v>87650</v>
      </c>
      <c r="H11" s="17">
        <f t="shared" si="1"/>
        <v>12.74</v>
      </c>
      <c r="I11" s="16">
        <f t="shared" si="2"/>
        <v>0.112</v>
      </c>
      <c r="J11" s="16">
        <f>ROUND(G11/84620-1,2)</f>
        <v>0.04</v>
      </c>
    </row>
    <row r="12" spans="1:10" x14ac:dyDescent="0.25">
      <c r="A12" s="1" t="s">
        <v>16</v>
      </c>
      <c r="B12" s="1" t="s">
        <v>94</v>
      </c>
      <c r="C12" s="11"/>
      <c r="D12" s="11"/>
      <c r="E12" s="11">
        <v>181</v>
      </c>
      <c r="F12" s="11"/>
      <c r="G12" s="11">
        <f t="shared" si="0"/>
        <v>181</v>
      </c>
      <c r="H12" s="17">
        <f t="shared" si="1"/>
        <v>0.03</v>
      </c>
      <c r="I12" s="16">
        <f t="shared" si="2"/>
        <v>0</v>
      </c>
      <c r="J12" s="16">
        <f>ROUND(G12/31-1,2)</f>
        <v>4.84</v>
      </c>
    </row>
    <row r="13" spans="1:10" x14ac:dyDescent="0.25">
      <c r="A13" s="1" t="s">
        <v>16</v>
      </c>
      <c r="B13" s="1" t="s">
        <v>21</v>
      </c>
      <c r="C13" s="11"/>
      <c r="D13" s="11"/>
      <c r="E13" s="11">
        <v>207</v>
      </c>
      <c r="F13" s="11"/>
      <c r="G13" s="11">
        <f t="shared" si="0"/>
        <v>207</v>
      </c>
      <c r="H13" s="17">
        <f t="shared" si="1"/>
        <v>0.03</v>
      </c>
      <c r="I13" s="16">
        <f t="shared" si="2"/>
        <v>0</v>
      </c>
      <c r="J13" s="16">
        <f>ROUND(G13/63-1,2)</f>
        <v>2.29</v>
      </c>
    </row>
    <row r="14" spans="1:10" x14ac:dyDescent="0.25">
      <c r="A14" s="1" t="s">
        <v>16</v>
      </c>
      <c r="B14" s="1" t="s">
        <v>22</v>
      </c>
      <c r="C14" s="11"/>
      <c r="D14" s="11"/>
      <c r="E14" s="11">
        <v>940</v>
      </c>
      <c r="F14" s="11">
        <v>800</v>
      </c>
      <c r="G14" s="11">
        <f t="shared" si="0"/>
        <v>1740</v>
      </c>
      <c r="H14" s="17">
        <f t="shared" si="1"/>
        <v>0.25</v>
      </c>
      <c r="I14" s="16">
        <f t="shared" si="2"/>
        <v>2E-3</v>
      </c>
      <c r="J14" s="16">
        <f>ROUND(G14/1000-1,2)</f>
        <v>0.74</v>
      </c>
    </row>
    <row r="15" spans="1:10" x14ac:dyDescent="0.25">
      <c r="A15" s="1" t="s">
        <v>16</v>
      </c>
      <c r="B15" s="1" t="s">
        <v>23</v>
      </c>
      <c r="C15" s="11"/>
      <c r="D15" s="11"/>
      <c r="E15" s="11">
        <v>51880</v>
      </c>
      <c r="F15" s="11"/>
      <c r="G15" s="11">
        <f t="shared" si="0"/>
        <v>51880</v>
      </c>
      <c r="H15" s="17">
        <f t="shared" si="1"/>
        <v>7.54</v>
      </c>
      <c r="I15" s="16">
        <f t="shared" si="2"/>
        <v>6.6000000000000003E-2</v>
      </c>
      <c r="J15" s="16">
        <f>ROUND(G15/30860-1,2)</f>
        <v>0.68</v>
      </c>
    </row>
    <row r="16" spans="1:10" x14ac:dyDescent="0.25">
      <c r="A16" s="1" t="s">
        <v>16</v>
      </c>
      <c r="B16" s="1" t="s">
        <v>24</v>
      </c>
      <c r="C16" s="11">
        <v>102240</v>
      </c>
      <c r="D16" s="11"/>
      <c r="E16" s="11">
        <v>7360</v>
      </c>
      <c r="F16" s="11"/>
      <c r="G16" s="11">
        <f t="shared" si="0"/>
        <v>109600</v>
      </c>
      <c r="H16" s="17">
        <f t="shared" si="1"/>
        <v>15.93</v>
      </c>
      <c r="I16" s="16">
        <f t="shared" si="2"/>
        <v>0.14000000000000001</v>
      </c>
      <c r="J16" s="16">
        <f>ROUND(G16/105240-1,2)</f>
        <v>0.04</v>
      </c>
    </row>
    <row r="17" spans="1:10" x14ac:dyDescent="0.25">
      <c r="A17" s="1" t="s">
        <v>16</v>
      </c>
      <c r="B17" s="1" t="s">
        <v>25</v>
      </c>
      <c r="C17" s="11"/>
      <c r="D17" s="11"/>
      <c r="E17" s="11">
        <v>4880</v>
      </c>
      <c r="F17" s="11"/>
      <c r="G17" s="11">
        <f t="shared" si="0"/>
        <v>4880</v>
      </c>
      <c r="H17" s="17">
        <f t="shared" si="1"/>
        <v>0.71</v>
      </c>
      <c r="I17" s="16">
        <f t="shared" si="2"/>
        <v>6.0000000000000001E-3</v>
      </c>
      <c r="J17" s="16">
        <f>ROUND(G17/2115-1,2)</f>
        <v>1.31</v>
      </c>
    </row>
    <row r="18" spans="1:10" x14ac:dyDescent="0.25">
      <c r="A18" s="1" t="s">
        <v>16</v>
      </c>
      <c r="B18" s="1" t="s">
        <v>26</v>
      </c>
      <c r="C18" s="11">
        <v>166560</v>
      </c>
      <c r="D18" s="11"/>
      <c r="E18" s="11"/>
      <c r="F18" s="11"/>
      <c r="G18" s="11">
        <f t="shared" si="0"/>
        <v>166560</v>
      </c>
      <c r="H18" s="17">
        <f t="shared" si="1"/>
        <v>24.22</v>
      </c>
      <c r="I18" s="16">
        <f t="shared" si="2"/>
        <v>0.21299999999999999</v>
      </c>
      <c r="J18" s="16">
        <f>ROUND(G18/150940-1,2)</f>
        <v>0.1</v>
      </c>
    </row>
    <row r="19" spans="1:10" x14ac:dyDescent="0.25">
      <c r="A19" s="1" t="s">
        <v>16</v>
      </c>
      <c r="B19" s="1" t="s">
        <v>27</v>
      </c>
      <c r="C19" s="11"/>
      <c r="D19" s="11"/>
      <c r="E19" s="11">
        <v>493</v>
      </c>
      <c r="F19" s="11"/>
      <c r="G19" s="11">
        <f t="shared" si="0"/>
        <v>493</v>
      </c>
      <c r="H19" s="17">
        <f t="shared" si="1"/>
        <v>7.0000000000000007E-2</v>
      </c>
      <c r="I19" s="16">
        <f t="shared" si="2"/>
        <v>1E-3</v>
      </c>
      <c r="J19" s="16">
        <f>ROUND(G19/790-1,2)</f>
        <v>-0.38</v>
      </c>
    </row>
    <row r="20" spans="1:10" x14ac:dyDescent="0.25">
      <c r="A20" s="1" t="s">
        <v>16</v>
      </c>
      <c r="B20" s="1" t="s">
        <v>28</v>
      </c>
      <c r="C20" s="11"/>
      <c r="D20" s="11"/>
      <c r="E20" s="11">
        <v>360</v>
      </c>
      <c r="F20" s="11"/>
      <c r="G20" s="11">
        <f t="shared" si="0"/>
        <v>360</v>
      </c>
      <c r="H20" s="17">
        <f t="shared" si="1"/>
        <v>0.05</v>
      </c>
      <c r="I20" s="16">
        <f t="shared" si="2"/>
        <v>0</v>
      </c>
      <c r="J20" s="16">
        <f>ROUND(G20/419-1,2)</f>
        <v>-0.14000000000000001</v>
      </c>
    </row>
    <row r="21" spans="1:10" x14ac:dyDescent="0.25">
      <c r="A21" s="1" t="s">
        <v>16</v>
      </c>
      <c r="B21" s="1" t="s">
        <v>29</v>
      </c>
      <c r="C21" s="11"/>
      <c r="D21" s="11"/>
      <c r="E21" s="11">
        <v>680</v>
      </c>
      <c r="F21" s="11"/>
      <c r="G21" s="11">
        <f t="shared" si="0"/>
        <v>680</v>
      </c>
      <c r="H21" s="17">
        <f t="shared" si="1"/>
        <v>0.1</v>
      </c>
      <c r="I21" s="16">
        <f t="shared" si="2"/>
        <v>1E-3</v>
      </c>
      <c r="J21" s="16">
        <f>ROUND(G21/650-1,2)</f>
        <v>0.05</v>
      </c>
    </row>
    <row r="22" spans="1:10" x14ac:dyDescent="0.25">
      <c r="A22" s="1" t="s">
        <v>16</v>
      </c>
      <c r="B22" s="1" t="s">
        <v>31</v>
      </c>
      <c r="C22" s="11"/>
      <c r="D22" s="11"/>
      <c r="E22" s="11">
        <v>1375</v>
      </c>
      <c r="F22" s="11"/>
      <c r="G22" s="11">
        <f t="shared" si="0"/>
        <v>1375</v>
      </c>
      <c r="H22" s="17">
        <f t="shared" si="1"/>
        <v>0.2</v>
      </c>
      <c r="I22" s="16">
        <f t="shared" si="2"/>
        <v>2E-3</v>
      </c>
      <c r="J22" s="16">
        <f>ROUND(G22/355-1,2)</f>
        <v>2.87</v>
      </c>
    </row>
    <row r="23" spans="1:10" x14ac:dyDescent="0.25">
      <c r="A23" s="1" t="s">
        <v>16</v>
      </c>
      <c r="B23" s="1" t="s">
        <v>32</v>
      </c>
      <c r="C23" s="11"/>
      <c r="D23" s="11">
        <v>253</v>
      </c>
      <c r="E23" s="11"/>
      <c r="F23" s="11"/>
      <c r="G23" s="11">
        <f t="shared" si="0"/>
        <v>253</v>
      </c>
      <c r="H23" s="17">
        <f t="shared" si="1"/>
        <v>0.04</v>
      </c>
      <c r="I23" s="16">
        <f t="shared" si="2"/>
        <v>0</v>
      </c>
      <c r="J23" s="16">
        <f>ROUND(G23/261-1,2)</f>
        <v>-0.03</v>
      </c>
    </row>
    <row r="24" spans="1:10" x14ac:dyDescent="0.25">
      <c r="A24" s="1" t="s">
        <v>16</v>
      </c>
      <c r="B24" s="1" t="s">
        <v>34</v>
      </c>
      <c r="C24" s="11"/>
      <c r="D24" s="11"/>
      <c r="E24" s="11">
        <v>290</v>
      </c>
      <c r="F24" s="11"/>
      <c r="G24" s="11">
        <f t="shared" si="0"/>
        <v>290</v>
      </c>
      <c r="H24" s="17">
        <f t="shared" si="1"/>
        <v>0.04</v>
      </c>
      <c r="I24" s="16">
        <f t="shared" si="2"/>
        <v>0</v>
      </c>
      <c r="J24" s="16">
        <f>ROUND(G24/512-1,2)</f>
        <v>-0.43</v>
      </c>
    </row>
    <row r="25" spans="1:10" x14ac:dyDescent="0.25">
      <c r="A25" s="1" t="s">
        <v>16</v>
      </c>
      <c r="B25" s="1" t="s">
        <v>35</v>
      </c>
      <c r="C25" s="11"/>
      <c r="D25" s="11"/>
      <c r="E25" s="11">
        <v>42400</v>
      </c>
      <c r="F25" s="11"/>
      <c r="G25" s="11">
        <f t="shared" si="0"/>
        <v>42400</v>
      </c>
      <c r="H25" s="17">
        <f t="shared" si="1"/>
        <v>6.16</v>
      </c>
      <c r="I25" s="16">
        <f t="shared" si="2"/>
        <v>5.3999999999999999E-2</v>
      </c>
      <c r="J25" s="16">
        <f>ROUND(G25/35960-1,2)</f>
        <v>0.18</v>
      </c>
    </row>
    <row r="26" spans="1:10" x14ac:dyDescent="0.25">
      <c r="A26" s="1" t="s">
        <v>16</v>
      </c>
      <c r="B26" s="1" t="s">
        <v>36</v>
      </c>
      <c r="C26" s="11"/>
      <c r="D26" s="11"/>
      <c r="E26" s="11">
        <v>4590</v>
      </c>
      <c r="F26" s="11"/>
      <c r="G26" s="11">
        <f t="shared" si="0"/>
        <v>4590</v>
      </c>
      <c r="H26" s="17">
        <f t="shared" si="1"/>
        <v>0.67</v>
      </c>
      <c r="I26" s="16">
        <f t="shared" si="2"/>
        <v>6.0000000000000001E-3</v>
      </c>
      <c r="J26" s="16">
        <f>ROUND(G26/4260-1,2)</f>
        <v>0.08</v>
      </c>
    </row>
    <row r="27" spans="1:10" x14ac:dyDescent="0.25">
      <c r="A27" s="1" t="s">
        <v>16</v>
      </c>
      <c r="B27" s="1" t="s">
        <v>37</v>
      </c>
      <c r="C27" s="11"/>
      <c r="D27" s="11"/>
      <c r="E27" s="11">
        <v>12500</v>
      </c>
      <c r="F27" s="11"/>
      <c r="G27" s="11">
        <f t="shared" si="0"/>
        <v>12500</v>
      </c>
      <c r="H27" s="17">
        <f t="shared" si="1"/>
        <v>1.82</v>
      </c>
      <c r="I27" s="16">
        <f t="shared" si="2"/>
        <v>1.6E-2</v>
      </c>
      <c r="J27" s="16">
        <f>ROUND(G27/10810-1,2)</f>
        <v>0.16</v>
      </c>
    </row>
    <row r="28" spans="1:10" x14ac:dyDescent="0.25">
      <c r="A28" s="1" t="s">
        <v>16</v>
      </c>
      <c r="B28" s="1" t="s">
        <v>38</v>
      </c>
      <c r="C28" s="11"/>
      <c r="D28" s="11"/>
      <c r="E28" s="11">
        <v>60320</v>
      </c>
      <c r="F28" s="11">
        <v>7100</v>
      </c>
      <c r="G28" s="11">
        <f t="shared" si="0"/>
        <v>67420</v>
      </c>
      <c r="H28" s="17">
        <f t="shared" si="1"/>
        <v>9.8000000000000007</v>
      </c>
      <c r="I28" s="16">
        <f t="shared" si="2"/>
        <v>8.5999999999999993E-2</v>
      </c>
      <c r="J28" s="16">
        <f>ROUND(G28/34120-1,2)</f>
        <v>0.98</v>
      </c>
    </row>
    <row r="29" spans="1:10" x14ac:dyDescent="0.25">
      <c r="A29" s="1" t="s">
        <v>16</v>
      </c>
      <c r="B29" s="1" t="s">
        <v>241</v>
      </c>
      <c r="C29" s="11"/>
      <c r="D29" s="11"/>
      <c r="E29" s="11"/>
      <c r="F29" s="11"/>
      <c r="G29" s="11">
        <f t="shared" si="0"/>
        <v>0</v>
      </c>
      <c r="H29" s="17">
        <f t="shared" si="1"/>
        <v>0</v>
      </c>
      <c r="I29" s="16">
        <f t="shared" si="2"/>
        <v>0</v>
      </c>
      <c r="J29" s="16"/>
    </row>
    <row r="30" spans="1:10" x14ac:dyDescent="0.25">
      <c r="A30" s="1" t="s">
        <v>16</v>
      </c>
      <c r="B30" s="1" t="s">
        <v>39</v>
      </c>
      <c r="C30" s="11"/>
      <c r="D30" s="11"/>
      <c r="E30" s="11"/>
      <c r="F30" s="11"/>
      <c r="G30" s="11">
        <f t="shared" si="0"/>
        <v>0</v>
      </c>
      <c r="H30" s="17">
        <f t="shared" si="1"/>
        <v>0</v>
      </c>
      <c r="I30" s="16">
        <f t="shared" si="2"/>
        <v>0</v>
      </c>
      <c r="J30" s="16">
        <f>ROUND(G30/185-1,2)</f>
        <v>-1</v>
      </c>
    </row>
    <row r="31" spans="1:10" x14ac:dyDescent="0.25">
      <c r="A31" s="1" t="s">
        <v>16</v>
      </c>
      <c r="B31" s="1" t="s">
        <v>40</v>
      </c>
      <c r="C31" s="11"/>
      <c r="D31" s="11"/>
      <c r="E31" s="11"/>
      <c r="F31" s="11"/>
      <c r="G31" s="11">
        <f t="shared" si="0"/>
        <v>0</v>
      </c>
      <c r="H31" s="17">
        <f t="shared" si="1"/>
        <v>0</v>
      </c>
      <c r="I31" s="16">
        <f t="shared" si="2"/>
        <v>0</v>
      </c>
      <c r="J31" s="16">
        <f>ROUND(G31/3550-1,2)</f>
        <v>-1</v>
      </c>
    </row>
    <row r="32" spans="1:10" x14ac:dyDescent="0.25">
      <c r="A32" s="1" t="s">
        <v>16</v>
      </c>
      <c r="B32" s="1" t="s">
        <v>30</v>
      </c>
      <c r="C32" s="11"/>
      <c r="D32" s="11"/>
      <c r="E32" s="11"/>
      <c r="F32" s="11"/>
      <c r="G32" s="11">
        <f t="shared" si="0"/>
        <v>0</v>
      </c>
      <c r="H32" s="17">
        <f t="shared" si="1"/>
        <v>0</v>
      </c>
      <c r="I32" s="16">
        <f t="shared" si="2"/>
        <v>0</v>
      </c>
      <c r="J32" s="16">
        <f>ROUND(G32/350-1,2)</f>
        <v>-1</v>
      </c>
    </row>
    <row r="33" spans="1:10" x14ac:dyDescent="0.25">
      <c r="A33" s="1" t="s">
        <v>16</v>
      </c>
      <c r="B33" s="1" t="s">
        <v>41</v>
      </c>
      <c r="C33" s="11"/>
      <c r="D33" s="11"/>
      <c r="E33" s="11"/>
      <c r="F33" s="11"/>
      <c r="G33" s="11">
        <f t="shared" si="0"/>
        <v>0</v>
      </c>
      <c r="H33" s="17">
        <f t="shared" si="1"/>
        <v>0</v>
      </c>
      <c r="I33" s="16">
        <f t="shared" si="2"/>
        <v>0</v>
      </c>
      <c r="J33" s="16">
        <f>ROUND(G33/1800-1,2)</f>
        <v>-1</v>
      </c>
    </row>
    <row r="34" spans="1:10" x14ac:dyDescent="0.25">
      <c r="A34" s="1" t="s">
        <v>16</v>
      </c>
      <c r="B34" s="1" t="s">
        <v>43</v>
      </c>
      <c r="C34" s="11"/>
      <c r="D34" s="11"/>
      <c r="E34" s="11"/>
      <c r="F34" s="11"/>
      <c r="G34" s="11">
        <f t="shared" si="0"/>
        <v>0</v>
      </c>
      <c r="H34" s="17">
        <f t="shared" si="1"/>
        <v>0</v>
      </c>
      <c r="I34" s="16">
        <f t="shared" si="2"/>
        <v>0</v>
      </c>
      <c r="J34" s="16">
        <f>ROUND(G34/4302-1,2)</f>
        <v>-1</v>
      </c>
    </row>
    <row r="35" spans="1:10" x14ac:dyDescent="0.25">
      <c r="A35" s="1" t="s">
        <v>16</v>
      </c>
      <c r="B35" s="1" t="s">
        <v>42</v>
      </c>
      <c r="C35" s="11"/>
      <c r="D35" s="11"/>
      <c r="E35" s="11"/>
      <c r="F35" s="11"/>
      <c r="G35" s="11">
        <f t="shared" si="0"/>
        <v>0</v>
      </c>
      <c r="H35" s="17">
        <f t="shared" si="1"/>
        <v>0</v>
      </c>
      <c r="I35" s="16">
        <f t="shared" si="2"/>
        <v>0</v>
      </c>
      <c r="J35" s="16">
        <f>ROUND(G35/2500-1,2)</f>
        <v>-1</v>
      </c>
    </row>
    <row r="36" spans="1:10" x14ac:dyDescent="0.25">
      <c r="A36" s="1" t="s">
        <v>16</v>
      </c>
      <c r="B36" s="1" t="s">
        <v>125</v>
      </c>
      <c r="C36" s="11"/>
      <c r="D36" s="11"/>
      <c r="E36" s="11"/>
      <c r="F36" s="11"/>
      <c r="G36" s="11">
        <f t="shared" si="0"/>
        <v>0</v>
      </c>
      <c r="H36" s="17">
        <f t="shared" si="1"/>
        <v>0</v>
      </c>
      <c r="I36" s="16">
        <f t="shared" si="2"/>
        <v>0</v>
      </c>
      <c r="J36" s="16">
        <f>ROUND(G36/368-1,2)</f>
        <v>-1</v>
      </c>
    </row>
    <row r="37" spans="1:10" x14ac:dyDescent="0.25">
      <c r="A37" s="1" t="s">
        <v>16</v>
      </c>
      <c r="B37" s="1" t="s">
        <v>33</v>
      </c>
      <c r="C37" s="11"/>
      <c r="D37" s="11"/>
      <c r="E37" s="11"/>
      <c r="F37" s="11"/>
      <c r="G37" s="11">
        <f t="shared" si="0"/>
        <v>0</v>
      </c>
      <c r="H37" s="17">
        <f t="shared" si="1"/>
        <v>0</v>
      </c>
      <c r="I37" s="16">
        <f t="shared" si="2"/>
        <v>0</v>
      </c>
      <c r="J37" s="16"/>
    </row>
    <row r="38" spans="1:10" x14ac:dyDescent="0.25">
      <c r="A38" s="1" t="s">
        <v>16</v>
      </c>
      <c r="B38" s="1" t="s">
        <v>127</v>
      </c>
      <c r="C38" s="11"/>
      <c r="D38" s="11"/>
      <c r="E38" s="11"/>
      <c r="F38" s="11"/>
      <c r="G38" s="11">
        <f t="shared" si="0"/>
        <v>0</v>
      </c>
      <c r="H38" s="17">
        <f t="shared" si="1"/>
        <v>0</v>
      </c>
      <c r="I38" s="16">
        <f t="shared" si="2"/>
        <v>0</v>
      </c>
      <c r="J38" s="16"/>
    </row>
    <row r="39" spans="1:10" x14ac:dyDescent="0.25">
      <c r="A39" s="1" t="s">
        <v>16</v>
      </c>
      <c r="B39" s="1" t="s">
        <v>143</v>
      </c>
      <c r="C39" s="11"/>
      <c r="D39" s="11"/>
      <c r="E39" s="11"/>
      <c r="F39" s="11"/>
      <c r="G39" s="11">
        <f t="shared" si="0"/>
        <v>0</v>
      </c>
      <c r="H39" s="17">
        <f t="shared" si="1"/>
        <v>0</v>
      </c>
      <c r="I39" s="16">
        <f t="shared" si="2"/>
        <v>0</v>
      </c>
      <c r="J39" s="16"/>
    </row>
    <row r="40" spans="1:10" x14ac:dyDescent="0.25">
      <c r="A40" s="1" t="s">
        <v>16</v>
      </c>
      <c r="B40" s="1" t="s">
        <v>118</v>
      </c>
      <c r="C40" s="11"/>
      <c r="D40" s="11"/>
      <c r="E40" s="11"/>
      <c r="F40" s="11"/>
      <c r="G40" s="11">
        <f t="shared" si="0"/>
        <v>0</v>
      </c>
      <c r="H40" s="17">
        <f t="shared" si="1"/>
        <v>0</v>
      </c>
      <c r="I40" s="16">
        <f t="shared" si="2"/>
        <v>0</v>
      </c>
      <c r="J40" s="16"/>
    </row>
    <row r="41" spans="1:10" x14ac:dyDescent="0.25">
      <c r="A41" s="1" t="s">
        <v>44</v>
      </c>
      <c r="B41" s="1" t="s">
        <v>45</v>
      </c>
      <c r="C41" s="11">
        <v>117960</v>
      </c>
      <c r="D41" s="11"/>
      <c r="E41" s="11"/>
      <c r="F41" s="11"/>
      <c r="G41" s="11">
        <f t="shared" si="0"/>
        <v>117960</v>
      </c>
      <c r="H41" s="17">
        <f t="shared" si="1"/>
        <v>17.149999999999999</v>
      </c>
      <c r="I41" s="16">
        <f t="shared" si="2"/>
        <v>0.151</v>
      </c>
      <c r="J41" s="16">
        <f>ROUND(G41/115470-1,2)</f>
        <v>0.02</v>
      </c>
    </row>
    <row r="42" spans="1:10" x14ac:dyDescent="0.25">
      <c r="A42" s="1" t="s">
        <v>44</v>
      </c>
      <c r="B42" s="1" t="s">
        <v>47</v>
      </c>
      <c r="C42" s="11"/>
      <c r="D42" s="11"/>
      <c r="E42" s="11"/>
      <c r="F42" s="11">
        <v>3760</v>
      </c>
      <c r="G42" s="11">
        <f t="shared" si="0"/>
        <v>3760</v>
      </c>
      <c r="H42" s="17">
        <f t="shared" si="1"/>
        <v>0.55000000000000004</v>
      </c>
      <c r="I42" s="16">
        <f t="shared" si="2"/>
        <v>5.0000000000000001E-3</v>
      </c>
      <c r="J42" s="16">
        <f>ROUND(G42/29275-1,2)</f>
        <v>-0.87</v>
      </c>
    </row>
    <row r="43" spans="1:10" x14ac:dyDescent="0.25">
      <c r="A43" s="1" t="s">
        <v>44</v>
      </c>
      <c r="B43" s="1" t="s">
        <v>46</v>
      </c>
      <c r="C43" s="11"/>
      <c r="D43" s="11"/>
      <c r="E43" s="11">
        <v>32140</v>
      </c>
      <c r="F43" s="11"/>
      <c r="G43" s="11">
        <f t="shared" si="0"/>
        <v>32140</v>
      </c>
      <c r="H43" s="17">
        <f t="shared" si="1"/>
        <v>4.67</v>
      </c>
      <c r="I43" s="16">
        <f t="shared" si="2"/>
        <v>4.1000000000000002E-2</v>
      </c>
      <c r="J43" s="16">
        <f>ROUND(G43/25470-1,2)</f>
        <v>0.26</v>
      </c>
    </row>
    <row r="44" spans="1:10" x14ac:dyDescent="0.25">
      <c r="A44" s="1" t="s">
        <v>48</v>
      </c>
      <c r="B44" s="1" t="s">
        <v>49</v>
      </c>
      <c r="C44" s="11"/>
      <c r="D44" s="11"/>
      <c r="E44" s="11"/>
      <c r="F44" s="11"/>
      <c r="G44" s="11">
        <f t="shared" si="0"/>
        <v>0</v>
      </c>
      <c r="H44" s="17">
        <f t="shared" si="1"/>
        <v>0</v>
      </c>
      <c r="I44" s="16">
        <f t="shared" si="2"/>
        <v>0</v>
      </c>
      <c r="J44" s="16">
        <f>ROUND(G44/400-1,2)</f>
        <v>-1</v>
      </c>
    </row>
    <row r="45" spans="1:10" x14ac:dyDescent="0.25">
      <c r="A45" s="1" t="s">
        <v>48</v>
      </c>
      <c r="B45" s="1" t="s">
        <v>50</v>
      </c>
      <c r="C45" s="11"/>
      <c r="D45" s="11"/>
      <c r="E45" s="11"/>
      <c r="F45" s="11"/>
      <c r="G45" s="11">
        <f t="shared" si="0"/>
        <v>0</v>
      </c>
      <c r="H45" s="17">
        <f t="shared" si="1"/>
        <v>0</v>
      </c>
      <c r="I45" s="16">
        <f t="shared" si="2"/>
        <v>0</v>
      </c>
      <c r="J45" s="16">
        <f>ROUND(G45/975-1,2)</f>
        <v>-1</v>
      </c>
    </row>
    <row r="46" spans="1:10" x14ac:dyDescent="0.25">
      <c r="A46" s="1" t="s">
        <v>48</v>
      </c>
      <c r="B46" s="1" t="s">
        <v>51</v>
      </c>
      <c r="C46" s="11"/>
      <c r="D46" s="11"/>
      <c r="E46" s="11"/>
      <c r="F46" s="11"/>
      <c r="G46" s="11">
        <f t="shared" si="0"/>
        <v>0</v>
      </c>
      <c r="H46" s="17">
        <f t="shared" si="1"/>
        <v>0</v>
      </c>
      <c r="I46" s="16">
        <f t="shared" si="2"/>
        <v>0</v>
      </c>
      <c r="J46" s="16"/>
    </row>
    <row r="47" spans="1:10" x14ac:dyDescent="0.25">
      <c r="A47" s="1" t="s">
        <v>48</v>
      </c>
      <c r="B47" s="1" t="s">
        <v>86</v>
      </c>
      <c r="C47" s="11"/>
      <c r="D47" s="11"/>
      <c r="E47" s="11"/>
      <c r="F47" s="11"/>
      <c r="G47" s="11">
        <f t="shared" si="0"/>
        <v>0</v>
      </c>
      <c r="H47" s="17">
        <f t="shared" si="1"/>
        <v>0</v>
      </c>
      <c r="I47" s="16">
        <f t="shared" si="2"/>
        <v>0</v>
      </c>
      <c r="J47" s="16">
        <f>ROUND(G47/70-1,2)</f>
        <v>-1</v>
      </c>
    </row>
    <row r="48" spans="1:10" x14ac:dyDescent="0.25">
      <c r="A48" s="21" t="s">
        <v>12</v>
      </c>
      <c r="B48" s="21"/>
      <c r="C48" s="12">
        <f t="shared" ref="C48:H48" si="3">SUM(C8:C47)</f>
        <v>547680</v>
      </c>
      <c r="D48" s="12">
        <f t="shared" si="3"/>
        <v>253</v>
      </c>
      <c r="E48" s="12">
        <f t="shared" si="3"/>
        <v>221496</v>
      </c>
      <c r="F48" s="12">
        <f t="shared" si="3"/>
        <v>11660</v>
      </c>
      <c r="G48" s="12">
        <f t="shared" si="3"/>
        <v>781089</v>
      </c>
      <c r="H48" s="15">
        <f t="shared" si="3"/>
        <v>113.56</v>
      </c>
      <c r="I48" s="18"/>
      <c r="J48" s="18"/>
    </row>
    <row r="49" spans="1:10" x14ac:dyDescent="0.25">
      <c r="A49" s="21" t="s">
        <v>14</v>
      </c>
      <c r="B49" s="21"/>
      <c r="C49" s="13">
        <f>ROUND(C48/G48,2)</f>
        <v>0.7</v>
      </c>
      <c r="D49" s="13">
        <f>ROUND(D48/G48,2)</f>
        <v>0</v>
      </c>
      <c r="E49" s="13">
        <f>ROUND(E48/G48,2)</f>
        <v>0.28000000000000003</v>
      </c>
      <c r="F49" s="13">
        <f>ROUND(F48/G48,2)</f>
        <v>0.01</v>
      </c>
      <c r="G49" s="14"/>
      <c r="H49" s="14"/>
      <c r="I49" s="18"/>
      <c r="J49" s="18"/>
    </row>
    <row r="50" spans="1:10" x14ac:dyDescent="0.25">
      <c r="A50" s="2" t="s">
        <v>52</v>
      </c>
      <c r="B50" s="2"/>
      <c r="C50" s="14"/>
      <c r="D50" s="14"/>
      <c r="E50" s="14"/>
      <c r="F50" s="14"/>
      <c r="G50" s="14"/>
      <c r="H50" s="14"/>
      <c r="I50" s="18"/>
      <c r="J50" s="18"/>
    </row>
    <row r="51" spans="1:10" x14ac:dyDescent="0.25">
      <c r="C51" s="9"/>
      <c r="D51" s="9"/>
      <c r="E51" s="9"/>
      <c r="F51" s="9"/>
      <c r="G51" s="9"/>
      <c r="H51" s="9"/>
      <c r="I51" s="10"/>
      <c r="J51" s="10"/>
    </row>
    <row r="52" spans="1:10" x14ac:dyDescent="0.25">
      <c r="C52" s="9"/>
      <c r="D52" s="9"/>
      <c r="E52" s="9"/>
      <c r="F52" s="9"/>
      <c r="G52" s="9"/>
      <c r="H52" s="9"/>
      <c r="I52" s="10"/>
      <c r="J52" s="10"/>
    </row>
    <row r="53" spans="1:10" x14ac:dyDescent="0.25">
      <c r="C53" s="9"/>
      <c r="D53" s="9"/>
      <c r="E53" s="9"/>
      <c r="F53" s="9"/>
      <c r="G53" s="9"/>
      <c r="H53" s="9"/>
      <c r="I53" s="10"/>
      <c r="J53" s="10"/>
    </row>
    <row r="54" spans="1:10" x14ac:dyDescent="0.25">
      <c r="A54" s="21" t="s">
        <v>53</v>
      </c>
      <c r="B54" s="21"/>
      <c r="C54" s="12" t="s">
        <v>8</v>
      </c>
      <c r="D54" s="12" t="s">
        <v>9</v>
      </c>
      <c r="E54" s="12" t="s">
        <v>10</v>
      </c>
      <c r="F54" s="12" t="s">
        <v>11</v>
      </c>
      <c r="G54" s="12" t="s">
        <v>12</v>
      </c>
      <c r="H54" s="15" t="s">
        <v>13</v>
      </c>
      <c r="I54" s="18"/>
      <c r="J54" s="18"/>
    </row>
    <row r="55" spans="1:10" x14ac:dyDescent="0.25">
      <c r="A55" s="20" t="s">
        <v>54</v>
      </c>
      <c r="B55" s="20"/>
      <c r="C55" s="11">
        <v>429720</v>
      </c>
      <c r="D55" s="11">
        <v>253</v>
      </c>
      <c r="E55" s="11">
        <v>189356</v>
      </c>
      <c r="F55" s="11">
        <v>7900</v>
      </c>
      <c r="G55" s="11">
        <f>SUM(C55:F55)</f>
        <v>627229</v>
      </c>
      <c r="H55" s="17">
        <f>ROUND(G55/6878,2)</f>
        <v>91.19</v>
      </c>
      <c r="I55" s="10"/>
      <c r="J55" s="10"/>
    </row>
    <row r="56" spans="1:10" x14ac:dyDescent="0.25">
      <c r="A56" s="20" t="s">
        <v>55</v>
      </c>
      <c r="B56" s="20"/>
      <c r="C56" s="11">
        <v>117960</v>
      </c>
      <c r="D56" s="11">
        <v>0</v>
      </c>
      <c r="E56" s="11">
        <v>32140</v>
      </c>
      <c r="F56" s="11">
        <v>3760</v>
      </c>
      <c r="G56" s="11">
        <f>SUM(C56:F56)</f>
        <v>153860</v>
      </c>
      <c r="H56" s="17">
        <f>ROUND(G56/6878,2)</f>
        <v>22.37</v>
      </c>
      <c r="I56" s="10"/>
      <c r="J56" s="10"/>
    </row>
    <row r="57" spans="1:10" x14ac:dyDescent="0.25">
      <c r="A57" s="20" t="s">
        <v>56</v>
      </c>
      <c r="B57" s="20"/>
      <c r="C57" s="11">
        <v>0</v>
      </c>
      <c r="D57" s="11">
        <v>0</v>
      </c>
      <c r="E57" s="11">
        <v>0</v>
      </c>
      <c r="F57" s="11">
        <v>0</v>
      </c>
      <c r="G57" s="11">
        <f>SUM(C57:F57)</f>
        <v>0</v>
      </c>
      <c r="H57" s="17">
        <f>ROUND(G57/6878,2)</f>
        <v>0</v>
      </c>
      <c r="I57" s="10"/>
      <c r="J57" s="10"/>
    </row>
    <row r="58" spans="1:10" x14ac:dyDescent="0.25">
      <c r="C58" s="9"/>
      <c r="D58" s="9"/>
      <c r="E58" s="9"/>
      <c r="F58" s="9"/>
      <c r="G58" s="9"/>
      <c r="H58" s="9"/>
      <c r="I58" s="10"/>
      <c r="J58" s="10"/>
    </row>
    <row r="59" spans="1:10" x14ac:dyDescent="0.25">
      <c r="C59" s="9"/>
      <c r="D59" s="9"/>
      <c r="E59" s="9"/>
      <c r="F59" s="9"/>
      <c r="G59" s="9"/>
      <c r="H59" s="9"/>
      <c r="I59" s="10"/>
      <c r="J59" s="10"/>
    </row>
    <row r="60" spans="1:10" x14ac:dyDescent="0.25">
      <c r="C60" s="9"/>
      <c r="D60" s="9"/>
      <c r="E60" s="9"/>
      <c r="F60" s="9"/>
      <c r="G60" s="9"/>
      <c r="H60" s="9"/>
      <c r="I60" s="10"/>
      <c r="J60" s="10"/>
    </row>
    <row r="61" spans="1:10" x14ac:dyDescent="0.25">
      <c r="C61" s="9"/>
      <c r="D61" s="9"/>
      <c r="E61" s="9"/>
      <c r="F61" s="9"/>
      <c r="G61" s="9"/>
      <c r="H61" s="9"/>
      <c r="I61" s="10"/>
      <c r="J61" s="10"/>
    </row>
    <row r="62" spans="1:10" x14ac:dyDescent="0.25">
      <c r="A62" s="21" t="s">
        <v>57</v>
      </c>
      <c r="B62" s="21"/>
      <c r="C62" s="15" t="s">
        <v>2</v>
      </c>
      <c r="D62" s="15">
        <v>2023</v>
      </c>
      <c r="E62" s="15" t="s">
        <v>59</v>
      </c>
      <c r="F62" s="14"/>
      <c r="G62" s="15" t="s">
        <v>60</v>
      </c>
      <c r="H62" s="15" t="s">
        <v>2</v>
      </c>
      <c r="I62" s="13" t="s">
        <v>61</v>
      </c>
      <c r="J62" s="13" t="s">
        <v>59</v>
      </c>
    </row>
    <row r="63" spans="1:10" x14ac:dyDescent="0.25">
      <c r="A63" s="20" t="s">
        <v>58</v>
      </c>
      <c r="B63" s="20"/>
      <c r="C63" s="16">
        <f>ROUND(0.8323, 4)</f>
        <v>0.83230000000000004</v>
      </c>
      <c r="D63" s="16">
        <f>ROUND(0.8276, 4)</f>
        <v>0.8276</v>
      </c>
      <c r="E63" s="16">
        <f>ROUND(0.777, 4)</f>
        <v>0.77700000000000002</v>
      </c>
      <c r="F63" s="9"/>
      <c r="G63" s="15" t="s">
        <v>62</v>
      </c>
      <c r="H63" s="22" t="s">
        <v>63</v>
      </c>
      <c r="I63" s="24" t="s">
        <v>64</v>
      </c>
      <c r="J63" s="24" t="s">
        <v>65</v>
      </c>
    </row>
    <row r="64" spans="1:10" x14ac:dyDescent="0.25">
      <c r="A64" s="20" t="s">
        <v>66</v>
      </c>
      <c r="B64" s="20"/>
      <c r="C64" s="16">
        <f>ROUND(0.8192, 4)</f>
        <v>0.81920000000000004</v>
      </c>
      <c r="D64" s="16">
        <f>ROUND(0.8145, 4)</f>
        <v>0.8145</v>
      </c>
      <c r="E64" s="16">
        <f>ROUND(0.7608, 4)</f>
        <v>0.76080000000000003</v>
      </c>
      <c r="F64" s="9"/>
      <c r="G64" s="15" t="s">
        <v>67</v>
      </c>
      <c r="H64" s="23"/>
      <c r="I64" s="25"/>
      <c r="J64" s="25"/>
    </row>
    <row r="65" spans="1:10" x14ac:dyDescent="0.25">
      <c r="C65" s="9"/>
      <c r="D65" s="9"/>
      <c r="E65" s="9"/>
      <c r="F65" s="9"/>
      <c r="G65" s="9"/>
      <c r="H65" s="9"/>
      <c r="I65" s="10"/>
      <c r="J65" s="10"/>
    </row>
    <row r="66" spans="1:10" x14ac:dyDescent="0.25">
      <c r="C66" s="9"/>
      <c r="D66" s="9"/>
      <c r="E66" s="9"/>
      <c r="F66" s="9"/>
      <c r="G66" s="9"/>
      <c r="H66" s="9"/>
      <c r="I66" s="10"/>
      <c r="J66" s="10"/>
    </row>
    <row r="67" spans="1:10" x14ac:dyDescent="0.25">
      <c r="C67" s="9"/>
      <c r="D67" s="9"/>
      <c r="E67" s="9"/>
      <c r="F67" s="9"/>
      <c r="G67" s="9"/>
      <c r="H67" s="9"/>
      <c r="I67" s="10"/>
      <c r="J67" s="10"/>
    </row>
    <row r="68" spans="1:10" x14ac:dyDescent="0.25">
      <c r="A68" s="21" t="s">
        <v>68</v>
      </c>
      <c r="B68" s="21"/>
      <c r="C68" s="15" t="s">
        <v>2</v>
      </c>
      <c r="D68" s="15" t="s">
        <v>252</v>
      </c>
      <c r="E68" s="15" t="s">
        <v>70</v>
      </c>
      <c r="F68" s="15" t="s">
        <v>71</v>
      </c>
      <c r="G68" s="15" t="s">
        <v>72</v>
      </c>
      <c r="H68" s="14"/>
      <c r="I68" s="18"/>
      <c r="J68" s="18"/>
    </row>
    <row r="69" spans="1:10" x14ac:dyDescent="0.25">
      <c r="A69" s="20" t="s">
        <v>73</v>
      </c>
      <c r="B69" s="20"/>
      <c r="C69" s="17">
        <v>17.149999999999999</v>
      </c>
      <c r="D69" s="17">
        <v>46.07</v>
      </c>
      <c r="E69" s="17">
        <v>81.84</v>
      </c>
      <c r="F69" s="17">
        <v>48</v>
      </c>
      <c r="G69" s="17">
        <f>12/4*C69</f>
        <v>51.449999999999996</v>
      </c>
      <c r="H69" s="9"/>
      <c r="I69" s="10"/>
      <c r="J69" s="10"/>
    </row>
    <row r="70" spans="1:10" x14ac:dyDescent="0.25">
      <c r="A70" s="20" t="s">
        <v>74</v>
      </c>
      <c r="B70" s="20"/>
      <c r="C70" s="17">
        <v>24.22</v>
      </c>
      <c r="D70" s="17">
        <v>58.37</v>
      </c>
      <c r="E70" s="17">
        <v>55.63</v>
      </c>
      <c r="F70" s="17">
        <v>55.33</v>
      </c>
      <c r="G70" s="17">
        <f>12/4*C70</f>
        <v>72.66</v>
      </c>
      <c r="H70" s="9"/>
      <c r="I70" s="10"/>
      <c r="J70" s="10"/>
    </row>
    <row r="71" spans="1:10" x14ac:dyDescent="0.25">
      <c r="A71" s="20" t="s">
        <v>75</v>
      </c>
      <c r="B71" s="20"/>
      <c r="C71" s="17">
        <v>91.19</v>
      </c>
      <c r="D71" s="17">
        <v>224.1</v>
      </c>
      <c r="E71" s="17">
        <v>257.88</v>
      </c>
      <c r="F71" s="17">
        <v>242.78</v>
      </c>
      <c r="G71" s="17">
        <f>12/4*C71</f>
        <v>273.57</v>
      </c>
      <c r="H71" s="9"/>
      <c r="I71" s="10"/>
      <c r="J71" s="10"/>
    </row>
    <row r="72" spans="1:10" x14ac:dyDescent="0.25">
      <c r="A72" s="20" t="s">
        <v>76</v>
      </c>
      <c r="B72" s="20"/>
      <c r="C72" s="17">
        <v>22.37</v>
      </c>
      <c r="D72" s="17">
        <v>58.67</v>
      </c>
      <c r="E72" s="17">
        <v>103.14</v>
      </c>
      <c r="F72" s="17">
        <v>68.31</v>
      </c>
      <c r="G72" s="17">
        <f>12/4*C72</f>
        <v>67.11</v>
      </c>
      <c r="H72" s="9"/>
      <c r="I72" s="10"/>
      <c r="J72" s="10"/>
    </row>
    <row r="73" spans="1:10" x14ac:dyDescent="0.25">
      <c r="C73" s="9"/>
      <c r="D73" s="9"/>
      <c r="E73" s="9"/>
      <c r="F73" s="9"/>
      <c r="G73" s="9"/>
      <c r="H73" s="9"/>
      <c r="I73" s="10"/>
      <c r="J73" s="10"/>
    </row>
    <row r="74" spans="1:10" x14ac:dyDescent="0.25">
      <c r="C74" s="9"/>
      <c r="D74" s="9"/>
      <c r="E74" s="9"/>
      <c r="F74" s="9"/>
      <c r="G74" s="9"/>
      <c r="H74" s="9"/>
      <c r="I74" s="10"/>
      <c r="J74" s="10"/>
    </row>
    <row r="75" spans="1:10" x14ac:dyDescent="0.25">
      <c r="A75" s="19" t="s">
        <v>60</v>
      </c>
      <c r="B75" s="26"/>
      <c r="C75" s="9"/>
      <c r="D75" s="9"/>
      <c r="E75" s="9"/>
      <c r="F75" s="9"/>
      <c r="G75" s="9"/>
      <c r="H75" s="9"/>
      <c r="I75" s="10"/>
      <c r="J75" s="10"/>
    </row>
    <row r="76" spans="1:10" x14ac:dyDescent="0.25">
      <c r="A76" s="3" t="s">
        <v>77</v>
      </c>
      <c r="B76" s="1" t="s">
        <v>253</v>
      </c>
      <c r="C76" s="9"/>
      <c r="D76" s="9"/>
      <c r="E76" s="9"/>
      <c r="F76" s="9"/>
      <c r="G76" s="9"/>
      <c r="H76" s="9"/>
      <c r="I76" s="10"/>
      <c r="J76" s="10"/>
    </row>
    <row r="77" spans="1:10" x14ac:dyDescent="0.25">
      <c r="A77" s="3" t="s">
        <v>70</v>
      </c>
      <c r="B77" s="1" t="s">
        <v>79</v>
      </c>
      <c r="C77" s="9"/>
      <c r="D77" s="9"/>
      <c r="E77" s="9"/>
      <c r="F77" s="9"/>
      <c r="G77" s="9"/>
      <c r="H77" s="9"/>
      <c r="I77" s="10"/>
      <c r="J77" s="10"/>
    </row>
    <row r="78" spans="1:10" x14ac:dyDescent="0.25">
      <c r="A78" s="3" t="s">
        <v>71</v>
      </c>
      <c r="B78" s="1" t="s">
        <v>80</v>
      </c>
    </row>
    <row r="79" spans="1:10" x14ac:dyDescent="0.25">
      <c r="A79" s="3" t="s">
        <v>72</v>
      </c>
      <c r="B79" s="1" t="s">
        <v>81</v>
      </c>
    </row>
  </sheetData>
  <mergeCells count="19">
    <mergeCell ref="A70:B70"/>
    <mergeCell ref="A71:B71"/>
    <mergeCell ref="A72:B72"/>
    <mergeCell ref="A75:B75"/>
    <mergeCell ref="I63:I64"/>
    <mergeCell ref="J63:J64"/>
    <mergeCell ref="A64:B64"/>
    <mergeCell ref="A68:B68"/>
    <mergeCell ref="A69:B69"/>
    <mergeCell ref="A56:B56"/>
    <mergeCell ref="A57:B57"/>
    <mergeCell ref="A62:B62"/>
    <mergeCell ref="A63:B63"/>
    <mergeCell ref="H63:H64"/>
    <mergeCell ref="C7:G7"/>
    <mergeCell ref="A48:B48"/>
    <mergeCell ref="A49:B49"/>
    <mergeCell ref="A54:B54"/>
    <mergeCell ref="A55:B55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2:J77"/>
  <sheetViews>
    <sheetView workbookViewId="0">
      <selection activeCell="C9" sqref="C9:J69"/>
    </sheetView>
  </sheetViews>
  <sheetFormatPr defaultRowHeight="15" x14ac:dyDescent="0.25"/>
  <cols>
    <col min="1" max="1" width="38.85546875" bestFit="1" customWidth="1"/>
    <col min="2" max="2" width="79" bestFit="1" customWidth="1"/>
    <col min="3" max="3" width="14" bestFit="1" customWidth="1"/>
    <col min="4" max="4" width="25.85546875" bestFit="1" customWidth="1"/>
    <col min="5" max="5" width="16.42578125" bestFit="1" customWidth="1"/>
    <col min="6" max="6" width="10.5703125" bestFit="1" customWidth="1"/>
    <col min="7" max="7" width="68.28515625" bestFit="1" customWidth="1"/>
    <col min="8" max="9" width="20" bestFit="1" customWidth="1"/>
    <col min="10" max="10" width="30.5703125" bestFit="1" customWidth="1"/>
  </cols>
  <sheetData>
    <row r="2" spans="1:10" ht="18.75" x14ac:dyDescent="0.3">
      <c r="A2" s="3" t="s">
        <v>0</v>
      </c>
      <c r="B2" s="4" t="s">
        <v>254</v>
      </c>
    </row>
    <row r="3" spans="1:10" x14ac:dyDescent="0.25">
      <c r="A3" s="3" t="s">
        <v>2</v>
      </c>
      <c r="B3" s="1" t="s">
        <v>3</v>
      </c>
    </row>
    <row r="4" spans="1:10" x14ac:dyDescent="0.25">
      <c r="A4" s="3" t="s">
        <v>4</v>
      </c>
      <c r="B4" s="1">
        <v>3536</v>
      </c>
    </row>
    <row r="7" spans="1:10" x14ac:dyDescent="0.25">
      <c r="C7" s="19" t="s">
        <v>5</v>
      </c>
      <c r="D7" s="20"/>
      <c r="E7" s="20"/>
      <c r="F7" s="20"/>
      <c r="G7" s="20"/>
    </row>
    <row r="8" spans="1:10" x14ac:dyDescent="0.25">
      <c r="A8" s="3" t="s">
        <v>6</v>
      </c>
      <c r="B8" s="3" t="s">
        <v>7</v>
      </c>
      <c r="C8" s="3" t="s">
        <v>8</v>
      </c>
      <c r="D8" s="3" t="s">
        <v>9</v>
      </c>
      <c r="E8" s="3" t="s">
        <v>10</v>
      </c>
      <c r="F8" s="3" t="s">
        <v>11</v>
      </c>
      <c r="G8" s="3" t="s">
        <v>12</v>
      </c>
      <c r="H8" s="3" t="s">
        <v>13</v>
      </c>
      <c r="I8" s="3" t="s">
        <v>14</v>
      </c>
      <c r="J8" s="3" t="s">
        <v>15</v>
      </c>
    </row>
    <row r="9" spans="1:10" x14ac:dyDescent="0.25">
      <c r="A9" s="1" t="s">
        <v>16</v>
      </c>
      <c r="B9" s="1" t="s">
        <v>17</v>
      </c>
      <c r="C9" s="11"/>
      <c r="D9" s="11"/>
      <c r="E9" s="11">
        <v>35</v>
      </c>
      <c r="F9" s="11"/>
      <c r="G9" s="11">
        <f t="shared" ref="G9:G45" si="0">SUM(C9:F9)</f>
        <v>35</v>
      </c>
      <c r="H9" s="17">
        <f t="shared" ref="H9:H45" si="1">ROUND(G9/3536,2)</f>
        <v>0.01</v>
      </c>
      <c r="I9" s="16">
        <f t="shared" ref="I9:I45" si="2">ROUND(G9/$G$46,3)</f>
        <v>0</v>
      </c>
      <c r="J9" s="16">
        <f>ROUND(G9/20-1,2)</f>
        <v>0.75</v>
      </c>
    </row>
    <row r="10" spans="1:10" x14ac:dyDescent="0.25">
      <c r="A10" s="1" t="s">
        <v>16</v>
      </c>
      <c r="B10" s="1" t="s">
        <v>19</v>
      </c>
      <c r="C10" s="11">
        <v>37300</v>
      </c>
      <c r="D10" s="11"/>
      <c r="E10" s="11">
        <v>360</v>
      </c>
      <c r="F10" s="11">
        <v>20</v>
      </c>
      <c r="G10" s="11">
        <f t="shared" si="0"/>
        <v>37680</v>
      </c>
      <c r="H10" s="17">
        <f t="shared" si="1"/>
        <v>10.66</v>
      </c>
      <c r="I10" s="16">
        <f t="shared" si="2"/>
        <v>7.5999999999999998E-2</v>
      </c>
      <c r="J10" s="16">
        <f>ROUND(G10/38570-1,2)</f>
        <v>-0.02</v>
      </c>
    </row>
    <row r="11" spans="1:10" x14ac:dyDescent="0.25">
      <c r="A11" s="1" t="s">
        <v>16</v>
      </c>
      <c r="B11" s="1" t="s">
        <v>20</v>
      </c>
      <c r="C11" s="11">
        <v>58150</v>
      </c>
      <c r="D11" s="11"/>
      <c r="E11" s="11"/>
      <c r="F11" s="11"/>
      <c r="G11" s="11">
        <f t="shared" si="0"/>
        <v>58150</v>
      </c>
      <c r="H11" s="17">
        <f t="shared" si="1"/>
        <v>16.45</v>
      </c>
      <c r="I11" s="16">
        <f t="shared" si="2"/>
        <v>0.11700000000000001</v>
      </c>
      <c r="J11" s="16">
        <f>ROUND(G11/52960-1,2)</f>
        <v>0.1</v>
      </c>
    </row>
    <row r="12" spans="1:10" x14ac:dyDescent="0.25">
      <c r="A12" s="1" t="s">
        <v>16</v>
      </c>
      <c r="B12" s="1" t="s">
        <v>94</v>
      </c>
      <c r="C12" s="11"/>
      <c r="D12" s="11"/>
      <c r="E12" s="11">
        <v>95</v>
      </c>
      <c r="F12" s="11"/>
      <c r="G12" s="11">
        <f t="shared" si="0"/>
        <v>95</v>
      </c>
      <c r="H12" s="17">
        <f t="shared" si="1"/>
        <v>0.03</v>
      </c>
      <c r="I12" s="16">
        <f t="shared" si="2"/>
        <v>0</v>
      </c>
      <c r="J12" s="16">
        <f>ROUND(G12/49-1,2)</f>
        <v>0.94</v>
      </c>
    </row>
    <row r="13" spans="1:10" x14ac:dyDescent="0.25">
      <c r="A13" s="1" t="s">
        <v>16</v>
      </c>
      <c r="B13" s="1" t="s">
        <v>21</v>
      </c>
      <c r="C13" s="11"/>
      <c r="D13" s="11"/>
      <c r="E13" s="11">
        <v>161</v>
      </c>
      <c r="F13" s="11"/>
      <c r="G13" s="11">
        <f t="shared" si="0"/>
        <v>161</v>
      </c>
      <c r="H13" s="17">
        <f t="shared" si="1"/>
        <v>0.05</v>
      </c>
      <c r="I13" s="16">
        <f t="shared" si="2"/>
        <v>0</v>
      </c>
      <c r="J13" s="16">
        <f>ROUND(G13/50-1,2)</f>
        <v>2.2200000000000002</v>
      </c>
    </row>
    <row r="14" spans="1:10" x14ac:dyDescent="0.25">
      <c r="A14" s="1" t="s">
        <v>16</v>
      </c>
      <c r="B14" s="1" t="s">
        <v>22</v>
      </c>
      <c r="C14" s="11"/>
      <c r="D14" s="11"/>
      <c r="E14" s="11">
        <v>900</v>
      </c>
      <c r="F14" s="11"/>
      <c r="G14" s="11">
        <f t="shared" si="0"/>
        <v>900</v>
      </c>
      <c r="H14" s="17">
        <f t="shared" si="1"/>
        <v>0.25</v>
      </c>
      <c r="I14" s="16">
        <f t="shared" si="2"/>
        <v>2E-3</v>
      </c>
      <c r="J14" s="16"/>
    </row>
    <row r="15" spans="1:10" x14ac:dyDescent="0.25">
      <c r="A15" s="1" t="s">
        <v>16</v>
      </c>
      <c r="B15" s="1" t="s">
        <v>23</v>
      </c>
      <c r="C15" s="11"/>
      <c r="D15" s="11"/>
      <c r="E15" s="11">
        <v>19660</v>
      </c>
      <c r="F15" s="11"/>
      <c r="G15" s="11">
        <f t="shared" si="0"/>
        <v>19660</v>
      </c>
      <c r="H15" s="17">
        <f t="shared" si="1"/>
        <v>5.56</v>
      </c>
      <c r="I15" s="16">
        <f t="shared" si="2"/>
        <v>0.04</v>
      </c>
      <c r="J15" s="16">
        <f>ROUND(G15/14960-1,2)</f>
        <v>0.31</v>
      </c>
    </row>
    <row r="16" spans="1:10" x14ac:dyDescent="0.25">
      <c r="A16" s="1" t="s">
        <v>16</v>
      </c>
      <c r="B16" s="1" t="s">
        <v>24</v>
      </c>
      <c r="C16" s="11">
        <v>85740</v>
      </c>
      <c r="D16" s="11"/>
      <c r="E16" s="11">
        <v>2300</v>
      </c>
      <c r="F16" s="11">
        <v>1060</v>
      </c>
      <c r="G16" s="11">
        <f t="shared" si="0"/>
        <v>89100</v>
      </c>
      <c r="H16" s="17">
        <f t="shared" si="1"/>
        <v>25.2</v>
      </c>
      <c r="I16" s="16">
        <f t="shared" si="2"/>
        <v>0.17899999999999999</v>
      </c>
      <c r="J16" s="16">
        <f>ROUND(G16/87150-1,2)</f>
        <v>0.02</v>
      </c>
    </row>
    <row r="17" spans="1:10" x14ac:dyDescent="0.25">
      <c r="A17" s="1" t="s">
        <v>16</v>
      </c>
      <c r="B17" s="1" t="s">
        <v>25</v>
      </c>
      <c r="C17" s="11"/>
      <c r="D17" s="11"/>
      <c r="E17" s="11">
        <v>2080</v>
      </c>
      <c r="F17" s="11"/>
      <c r="G17" s="11">
        <f t="shared" si="0"/>
        <v>2080</v>
      </c>
      <c r="H17" s="17">
        <f t="shared" si="1"/>
        <v>0.59</v>
      </c>
      <c r="I17" s="16">
        <f t="shared" si="2"/>
        <v>4.0000000000000001E-3</v>
      </c>
      <c r="J17" s="16"/>
    </row>
    <row r="18" spans="1:10" x14ac:dyDescent="0.25">
      <c r="A18" s="1" t="s">
        <v>16</v>
      </c>
      <c r="B18" s="1" t="s">
        <v>26</v>
      </c>
      <c r="C18" s="11">
        <v>94005</v>
      </c>
      <c r="D18" s="11"/>
      <c r="E18" s="11"/>
      <c r="F18" s="11">
        <v>545</v>
      </c>
      <c r="G18" s="11">
        <f t="shared" si="0"/>
        <v>94550</v>
      </c>
      <c r="H18" s="17">
        <f t="shared" si="1"/>
        <v>26.74</v>
      </c>
      <c r="I18" s="16">
        <f t="shared" si="2"/>
        <v>0.19</v>
      </c>
      <c r="J18" s="16">
        <f>ROUND(G18/89380-1,2)</f>
        <v>0.06</v>
      </c>
    </row>
    <row r="19" spans="1:10" x14ac:dyDescent="0.25">
      <c r="A19" s="1" t="s">
        <v>16</v>
      </c>
      <c r="B19" s="1" t="s">
        <v>27</v>
      </c>
      <c r="C19" s="11"/>
      <c r="D19" s="11"/>
      <c r="E19" s="11">
        <v>239</v>
      </c>
      <c r="F19" s="11"/>
      <c r="G19" s="11">
        <f t="shared" si="0"/>
        <v>239</v>
      </c>
      <c r="H19" s="17">
        <f t="shared" si="1"/>
        <v>7.0000000000000007E-2</v>
      </c>
      <c r="I19" s="16">
        <f t="shared" si="2"/>
        <v>0</v>
      </c>
      <c r="J19" s="16">
        <f>ROUND(G19/391-1,2)</f>
        <v>-0.39</v>
      </c>
    </row>
    <row r="20" spans="1:10" x14ac:dyDescent="0.25">
      <c r="A20" s="1" t="s">
        <v>16</v>
      </c>
      <c r="B20" s="1" t="s">
        <v>28</v>
      </c>
      <c r="C20" s="11"/>
      <c r="D20" s="11"/>
      <c r="E20" s="11">
        <v>115</v>
      </c>
      <c r="F20" s="11"/>
      <c r="G20" s="11">
        <f t="shared" si="0"/>
        <v>115</v>
      </c>
      <c r="H20" s="17">
        <f t="shared" si="1"/>
        <v>0.03</v>
      </c>
      <c r="I20" s="16">
        <f t="shared" si="2"/>
        <v>0</v>
      </c>
      <c r="J20" s="16">
        <f>ROUND(G20/100-1,2)</f>
        <v>0.15</v>
      </c>
    </row>
    <row r="21" spans="1:10" x14ac:dyDescent="0.25">
      <c r="A21" s="1" t="s">
        <v>16</v>
      </c>
      <c r="B21" s="1" t="s">
        <v>29</v>
      </c>
      <c r="C21" s="11"/>
      <c r="D21" s="11"/>
      <c r="E21" s="11">
        <v>450</v>
      </c>
      <c r="F21" s="11"/>
      <c r="G21" s="11">
        <f t="shared" si="0"/>
        <v>450</v>
      </c>
      <c r="H21" s="17">
        <f t="shared" si="1"/>
        <v>0.13</v>
      </c>
      <c r="I21" s="16">
        <f t="shared" si="2"/>
        <v>1E-3</v>
      </c>
      <c r="J21" s="16">
        <f>ROUND(G21/360-1,2)</f>
        <v>0.25</v>
      </c>
    </row>
    <row r="22" spans="1:10" x14ac:dyDescent="0.25">
      <c r="A22" s="1" t="s">
        <v>16</v>
      </c>
      <c r="B22" s="1" t="s">
        <v>30</v>
      </c>
      <c r="C22" s="11"/>
      <c r="D22" s="11"/>
      <c r="E22" s="11">
        <v>200</v>
      </c>
      <c r="F22" s="11"/>
      <c r="G22" s="11">
        <f t="shared" si="0"/>
        <v>200</v>
      </c>
      <c r="H22" s="17">
        <f t="shared" si="1"/>
        <v>0.06</v>
      </c>
      <c r="I22" s="16">
        <f t="shared" si="2"/>
        <v>0</v>
      </c>
      <c r="J22" s="16">
        <f>ROUND(G22/150-1,2)</f>
        <v>0.33</v>
      </c>
    </row>
    <row r="23" spans="1:10" x14ac:dyDescent="0.25">
      <c r="A23" s="1" t="s">
        <v>16</v>
      </c>
      <c r="B23" s="1" t="s">
        <v>31</v>
      </c>
      <c r="C23" s="11"/>
      <c r="D23" s="11"/>
      <c r="E23" s="11">
        <v>855</v>
      </c>
      <c r="F23" s="11"/>
      <c r="G23" s="11">
        <f t="shared" si="0"/>
        <v>855</v>
      </c>
      <c r="H23" s="17">
        <f t="shared" si="1"/>
        <v>0.24</v>
      </c>
      <c r="I23" s="16">
        <f t="shared" si="2"/>
        <v>2E-3</v>
      </c>
      <c r="J23" s="16">
        <f>ROUND(G23/170-1,2)</f>
        <v>4.03</v>
      </c>
    </row>
    <row r="24" spans="1:10" x14ac:dyDescent="0.25">
      <c r="A24" s="1" t="s">
        <v>16</v>
      </c>
      <c r="B24" s="1" t="s">
        <v>32</v>
      </c>
      <c r="C24" s="11"/>
      <c r="D24" s="11">
        <v>140</v>
      </c>
      <c r="E24" s="11"/>
      <c r="F24" s="11"/>
      <c r="G24" s="11">
        <f t="shared" si="0"/>
        <v>140</v>
      </c>
      <c r="H24" s="17">
        <f t="shared" si="1"/>
        <v>0.04</v>
      </c>
      <c r="I24" s="16">
        <f t="shared" si="2"/>
        <v>0</v>
      </c>
      <c r="J24" s="16">
        <f>ROUND(G24/201-1,2)</f>
        <v>-0.3</v>
      </c>
    </row>
    <row r="25" spans="1:10" x14ac:dyDescent="0.25">
      <c r="A25" s="1" t="s">
        <v>16</v>
      </c>
      <c r="B25" s="1" t="s">
        <v>34</v>
      </c>
      <c r="C25" s="11"/>
      <c r="D25" s="11">
        <v>300</v>
      </c>
      <c r="E25" s="11"/>
      <c r="F25" s="11"/>
      <c r="G25" s="11">
        <f t="shared" si="0"/>
        <v>300</v>
      </c>
      <c r="H25" s="17">
        <f t="shared" si="1"/>
        <v>0.08</v>
      </c>
      <c r="I25" s="16">
        <f t="shared" si="2"/>
        <v>1E-3</v>
      </c>
      <c r="J25" s="16">
        <f>ROUND(G25/530-1,2)</f>
        <v>-0.43</v>
      </c>
    </row>
    <row r="26" spans="1:10" x14ac:dyDescent="0.25">
      <c r="A26" s="1" t="s">
        <v>16</v>
      </c>
      <c r="B26" s="1" t="s">
        <v>35</v>
      </c>
      <c r="C26" s="11"/>
      <c r="D26" s="11"/>
      <c r="E26" s="11">
        <v>18880</v>
      </c>
      <c r="F26" s="11"/>
      <c r="G26" s="11">
        <f t="shared" si="0"/>
        <v>18880</v>
      </c>
      <c r="H26" s="17">
        <f t="shared" si="1"/>
        <v>5.34</v>
      </c>
      <c r="I26" s="16">
        <f t="shared" si="2"/>
        <v>3.7999999999999999E-2</v>
      </c>
      <c r="J26" s="16">
        <f>ROUND(G26/17760-1,2)</f>
        <v>0.06</v>
      </c>
    </row>
    <row r="27" spans="1:10" x14ac:dyDescent="0.25">
      <c r="A27" s="1" t="s">
        <v>16</v>
      </c>
      <c r="B27" s="1" t="s">
        <v>36</v>
      </c>
      <c r="C27" s="11"/>
      <c r="D27" s="11"/>
      <c r="E27" s="11">
        <v>2610</v>
      </c>
      <c r="F27" s="11"/>
      <c r="G27" s="11">
        <f t="shared" si="0"/>
        <v>2610</v>
      </c>
      <c r="H27" s="17">
        <f t="shared" si="1"/>
        <v>0.74</v>
      </c>
      <c r="I27" s="16">
        <f t="shared" si="2"/>
        <v>5.0000000000000001E-3</v>
      </c>
      <c r="J27" s="16">
        <f>ROUND(G27/805-1,2)</f>
        <v>2.2400000000000002</v>
      </c>
    </row>
    <row r="28" spans="1:10" x14ac:dyDescent="0.25">
      <c r="A28" s="1" t="s">
        <v>16</v>
      </c>
      <c r="B28" s="1" t="s">
        <v>37</v>
      </c>
      <c r="C28" s="11"/>
      <c r="D28" s="11"/>
      <c r="E28" s="11">
        <v>3840</v>
      </c>
      <c r="F28" s="11"/>
      <c r="G28" s="11">
        <f t="shared" si="0"/>
        <v>3840</v>
      </c>
      <c r="H28" s="17">
        <f t="shared" si="1"/>
        <v>1.0900000000000001</v>
      </c>
      <c r="I28" s="16">
        <f t="shared" si="2"/>
        <v>8.0000000000000002E-3</v>
      </c>
      <c r="J28" s="16">
        <f>ROUND(G28/4280-1,2)</f>
        <v>-0.1</v>
      </c>
    </row>
    <row r="29" spans="1:10" x14ac:dyDescent="0.25">
      <c r="A29" s="1" t="s">
        <v>16</v>
      </c>
      <c r="B29" s="1" t="s">
        <v>38</v>
      </c>
      <c r="C29" s="11"/>
      <c r="D29" s="11"/>
      <c r="E29" s="11">
        <v>42140</v>
      </c>
      <c r="F29" s="11">
        <v>760</v>
      </c>
      <c r="G29" s="11">
        <f t="shared" si="0"/>
        <v>42900</v>
      </c>
      <c r="H29" s="17">
        <f t="shared" si="1"/>
        <v>12.13</v>
      </c>
      <c r="I29" s="16">
        <f t="shared" si="2"/>
        <v>8.5999999999999993E-2</v>
      </c>
      <c r="J29" s="16">
        <f>ROUND(G29/23930-1,2)</f>
        <v>0.79</v>
      </c>
    </row>
    <row r="30" spans="1:10" x14ac:dyDescent="0.25">
      <c r="A30" s="1" t="s">
        <v>16</v>
      </c>
      <c r="B30" s="1" t="s">
        <v>40</v>
      </c>
      <c r="C30" s="11"/>
      <c r="D30" s="11"/>
      <c r="E30" s="11"/>
      <c r="F30" s="11"/>
      <c r="G30" s="11">
        <f t="shared" si="0"/>
        <v>0</v>
      </c>
      <c r="H30" s="17">
        <f t="shared" si="1"/>
        <v>0</v>
      </c>
      <c r="I30" s="16">
        <f t="shared" si="2"/>
        <v>0</v>
      </c>
      <c r="J30" s="16">
        <f>ROUND(G30/720-1,2)</f>
        <v>-1</v>
      </c>
    </row>
    <row r="31" spans="1:10" x14ac:dyDescent="0.25">
      <c r="A31" s="1" t="s">
        <v>16</v>
      </c>
      <c r="B31" s="1" t="s">
        <v>33</v>
      </c>
      <c r="C31" s="11"/>
      <c r="D31" s="11"/>
      <c r="E31" s="11"/>
      <c r="F31" s="11"/>
      <c r="G31" s="11">
        <f t="shared" si="0"/>
        <v>0</v>
      </c>
      <c r="H31" s="17">
        <f t="shared" si="1"/>
        <v>0</v>
      </c>
      <c r="I31" s="16">
        <f t="shared" si="2"/>
        <v>0</v>
      </c>
      <c r="J31" s="16">
        <f>ROUND(G31/440-1,2)</f>
        <v>-1</v>
      </c>
    </row>
    <row r="32" spans="1:10" x14ac:dyDescent="0.25">
      <c r="A32" s="1" t="s">
        <v>16</v>
      </c>
      <c r="B32" s="1" t="s">
        <v>41</v>
      </c>
      <c r="C32" s="11"/>
      <c r="D32" s="11"/>
      <c r="E32" s="11"/>
      <c r="F32" s="11"/>
      <c r="G32" s="11">
        <f t="shared" si="0"/>
        <v>0</v>
      </c>
      <c r="H32" s="17">
        <f t="shared" si="1"/>
        <v>0</v>
      </c>
      <c r="I32" s="16">
        <f t="shared" si="2"/>
        <v>0</v>
      </c>
      <c r="J32" s="16">
        <f>ROUND(G32/420-1,2)</f>
        <v>-1</v>
      </c>
    </row>
    <row r="33" spans="1:10" x14ac:dyDescent="0.25">
      <c r="A33" s="1" t="s">
        <v>16</v>
      </c>
      <c r="B33" s="1" t="s">
        <v>42</v>
      </c>
      <c r="C33" s="11"/>
      <c r="D33" s="11"/>
      <c r="E33" s="11"/>
      <c r="F33" s="11"/>
      <c r="G33" s="11">
        <f t="shared" si="0"/>
        <v>0</v>
      </c>
      <c r="H33" s="17">
        <f t="shared" si="1"/>
        <v>0</v>
      </c>
      <c r="I33" s="16">
        <f t="shared" si="2"/>
        <v>0</v>
      </c>
      <c r="J33" s="16">
        <f>ROUND(G33/2840-1,2)</f>
        <v>-1</v>
      </c>
    </row>
    <row r="34" spans="1:10" x14ac:dyDescent="0.25">
      <c r="A34" s="1" t="s">
        <v>16</v>
      </c>
      <c r="B34" s="1" t="s">
        <v>43</v>
      </c>
      <c r="C34" s="11"/>
      <c r="D34" s="11"/>
      <c r="E34" s="11"/>
      <c r="F34" s="11"/>
      <c r="G34" s="11">
        <f t="shared" si="0"/>
        <v>0</v>
      </c>
      <c r="H34" s="17">
        <f t="shared" si="1"/>
        <v>0</v>
      </c>
      <c r="I34" s="16">
        <f t="shared" si="2"/>
        <v>0</v>
      </c>
      <c r="J34" s="16">
        <f>ROUND(G34/2890-1,2)</f>
        <v>-1</v>
      </c>
    </row>
    <row r="35" spans="1:10" x14ac:dyDescent="0.25">
      <c r="A35" s="1" t="s">
        <v>16</v>
      </c>
      <c r="B35" s="1" t="s">
        <v>39</v>
      </c>
      <c r="C35" s="11"/>
      <c r="D35" s="11"/>
      <c r="E35" s="11"/>
      <c r="F35" s="11"/>
      <c r="G35" s="11">
        <f t="shared" si="0"/>
        <v>0</v>
      </c>
      <c r="H35" s="17">
        <f t="shared" si="1"/>
        <v>0</v>
      </c>
      <c r="I35" s="16">
        <f t="shared" si="2"/>
        <v>0</v>
      </c>
      <c r="J35" s="16"/>
    </row>
    <row r="36" spans="1:10" x14ac:dyDescent="0.25">
      <c r="A36" s="1" t="s">
        <v>16</v>
      </c>
      <c r="B36" s="1" t="s">
        <v>95</v>
      </c>
      <c r="C36" s="11"/>
      <c r="D36" s="11"/>
      <c r="E36" s="11"/>
      <c r="F36" s="11"/>
      <c r="G36" s="11">
        <f t="shared" si="0"/>
        <v>0</v>
      </c>
      <c r="H36" s="17">
        <f t="shared" si="1"/>
        <v>0</v>
      </c>
      <c r="I36" s="16">
        <f t="shared" si="2"/>
        <v>0</v>
      </c>
      <c r="J36" s="16"/>
    </row>
    <row r="37" spans="1:10" x14ac:dyDescent="0.25">
      <c r="A37" s="1" t="s">
        <v>16</v>
      </c>
      <c r="B37" s="1" t="s">
        <v>143</v>
      </c>
      <c r="C37" s="11"/>
      <c r="D37" s="11"/>
      <c r="E37" s="11"/>
      <c r="F37" s="11"/>
      <c r="G37" s="11">
        <f t="shared" si="0"/>
        <v>0</v>
      </c>
      <c r="H37" s="17">
        <f t="shared" si="1"/>
        <v>0</v>
      </c>
      <c r="I37" s="16">
        <f t="shared" si="2"/>
        <v>0</v>
      </c>
      <c r="J37" s="16"/>
    </row>
    <row r="38" spans="1:10" x14ac:dyDescent="0.25">
      <c r="A38" s="1" t="s">
        <v>44</v>
      </c>
      <c r="B38" s="1" t="s">
        <v>45</v>
      </c>
      <c r="C38" s="11">
        <v>99820</v>
      </c>
      <c r="D38" s="11"/>
      <c r="E38" s="11"/>
      <c r="F38" s="11">
        <v>340</v>
      </c>
      <c r="G38" s="11">
        <f t="shared" si="0"/>
        <v>100160</v>
      </c>
      <c r="H38" s="17">
        <f t="shared" si="1"/>
        <v>28.33</v>
      </c>
      <c r="I38" s="16">
        <f t="shared" si="2"/>
        <v>0.20200000000000001</v>
      </c>
      <c r="J38" s="16">
        <f>ROUND(G38/102200-1,2)</f>
        <v>-0.02</v>
      </c>
    </row>
    <row r="39" spans="1:10" x14ac:dyDescent="0.25">
      <c r="A39" s="1" t="s">
        <v>44</v>
      </c>
      <c r="B39" s="1" t="s">
        <v>47</v>
      </c>
      <c r="C39" s="11"/>
      <c r="D39" s="11"/>
      <c r="E39" s="11"/>
      <c r="F39" s="11">
        <v>8020</v>
      </c>
      <c r="G39" s="11">
        <f t="shared" si="0"/>
        <v>8020</v>
      </c>
      <c r="H39" s="17">
        <f t="shared" si="1"/>
        <v>2.27</v>
      </c>
      <c r="I39" s="16">
        <f t="shared" si="2"/>
        <v>1.6E-2</v>
      </c>
      <c r="J39" s="16">
        <f>ROUND(G39/9300-1,2)</f>
        <v>-0.14000000000000001</v>
      </c>
    </row>
    <row r="40" spans="1:10" x14ac:dyDescent="0.25">
      <c r="A40" s="1" t="s">
        <v>44</v>
      </c>
      <c r="B40" s="1" t="s">
        <v>46</v>
      </c>
      <c r="C40" s="11"/>
      <c r="D40" s="11"/>
      <c r="E40" s="11">
        <v>15480</v>
      </c>
      <c r="F40" s="11"/>
      <c r="G40" s="11">
        <f t="shared" si="0"/>
        <v>15480</v>
      </c>
      <c r="H40" s="17">
        <f t="shared" si="1"/>
        <v>4.38</v>
      </c>
      <c r="I40" s="16">
        <f t="shared" si="2"/>
        <v>3.1E-2</v>
      </c>
      <c r="J40" s="16">
        <f>ROUND(G40/10580-1,2)</f>
        <v>0.46</v>
      </c>
    </row>
    <row r="41" spans="1:10" x14ac:dyDescent="0.25">
      <c r="A41" s="1" t="s">
        <v>48</v>
      </c>
      <c r="B41" s="1" t="s">
        <v>51</v>
      </c>
      <c r="C41" s="11"/>
      <c r="D41" s="11"/>
      <c r="E41" s="11"/>
      <c r="F41" s="11"/>
      <c r="G41" s="11">
        <f t="shared" si="0"/>
        <v>0</v>
      </c>
      <c r="H41" s="17">
        <f t="shared" si="1"/>
        <v>0</v>
      </c>
      <c r="I41" s="16">
        <f t="shared" si="2"/>
        <v>0</v>
      </c>
      <c r="J41" s="16"/>
    </row>
    <row r="42" spans="1:10" x14ac:dyDescent="0.25">
      <c r="A42" s="1" t="s">
        <v>48</v>
      </c>
      <c r="B42" s="1" t="s">
        <v>49</v>
      </c>
      <c r="C42" s="11"/>
      <c r="D42" s="11"/>
      <c r="E42" s="11"/>
      <c r="F42" s="11"/>
      <c r="G42" s="11">
        <f t="shared" si="0"/>
        <v>0</v>
      </c>
      <c r="H42" s="17">
        <f t="shared" si="1"/>
        <v>0</v>
      </c>
      <c r="I42" s="16">
        <f t="shared" si="2"/>
        <v>0</v>
      </c>
      <c r="J42" s="16"/>
    </row>
    <row r="43" spans="1:10" x14ac:dyDescent="0.25">
      <c r="A43" s="1" t="s">
        <v>48</v>
      </c>
      <c r="B43" s="1" t="s">
        <v>86</v>
      </c>
      <c r="C43" s="11"/>
      <c r="D43" s="11"/>
      <c r="E43" s="11"/>
      <c r="F43" s="11"/>
      <c r="G43" s="11">
        <f t="shared" si="0"/>
        <v>0</v>
      </c>
      <c r="H43" s="17">
        <f t="shared" si="1"/>
        <v>0</v>
      </c>
      <c r="I43" s="16">
        <f t="shared" si="2"/>
        <v>0</v>
      </c>
      <c r="J43" s="16"/>
    </row>
    <row r="44" spans="1:10" x14ac:dyDescent="0.25">
      <c r="A44" s="1" t="s">
        <v>48</v>
      </c>
      <c r="B44" s="1" t="s">
        <v>50</v>
      </c>
      <c r="C44" s="11"/>
      <c r="D44" s="11"/>
      <c r="E44" s="11"/>
      <c r="F44" s="11"/>
      <c r="G44" s="11">
        <f t="shared" si="0"/>
        <v>0</v>
      </c>
      <c r="H44" s="17">
        <f t="shared" si="1"/>
        <v>0</v>
      </c>
      <c r="I44" s="16">
        <f t="shared" si="2"/>
        <v>0</v>
      </c>
      <c r="J44" s="16"/>
    </row>
    <row r="45" spans="1:10" x14ac:dyDescent="0.25">
      <c r="A45" s="1" t="s">
        <v>48</v>
      </c>
      <c r="B45" s="1" t="s">
        <v>97</v>
      </c>
      <c r="C45" s="11"/>
      <c r="D45" s="11"/>
      <c r="E45" s="11"/>
      <c r="F45" s="11"/>
      <c r="G45" s="11">
        <f t="shared" si="0"/>
        <v>0</v>
      </c>
      <c r="H45" s="17">
        <f t="shared" si="1"/>
        <v>0</v>
      </c>
      <c r="I45" s="16">
        <f t="shared" si="2"/>
        <v>0</v>
      </c>
      <c r="J45" s="16"/>
    </row>
    <row r="46" spans="1:10" x14ac:dyDescent="0.25">
      <c r="A46" s="21" t="s">
        <v>12</v>
      </c>
      <c r="B46" s="21"/>
      <c r="C46" s="12">
        <f t="shared" ref="C46:H46" si="3">SUM(C8:C45)</f>
        <v>375015</v>
      </c>
      <c r="D46" s="12">
        <f t="shared" si="3"/>
        <v>440</v>
      </c>
      <c r="E46" s="12">
        <f t="shared" si="3"/>
        <v>110400</v>
      </c>
      <c r="F46" s="12">
        <f t="shared" si="3"/>
        <v>10745</v>
      </c>
      <c r="G46" s="12">
        <f t="shared" si="3"/>
        <v>496600</v>
      </c>
      <c r="H46" s="15">
        <f t="shared" si="3"/>
        <v>140.47</v>
      </c>
      <c r="I46" s="18"/>
      <c r="J46" s="18"/>
    </row>
    <row r="47" spans="1:10" x14ac:dyDescent="0.25">
      <c r="A47" s="21" t="s">
        <v>14</v>
      </c>
      <c r="B47" s="21"/>
      <c r="C47" s="13">
        <f>ROUND(C46/G46,2)</f>
        <v>0.76</v>
      </c>
      <c r="D47" s="13">
        <f>ROUND(D46/G46,2)</f>
        <v>0</v>
      </c>
      <c r="E47" s="13">
        <f>ROUND(E46/G46,2)</f>
        <v>0.22</v>
      </c>
      <c r="F47" s="13">
        <f>ROUND(F46/G46,2)</f>
        <v>0.02</v>
      </c>
      <c r="G47" s="14"/>
      <c r="H47" s="14"/>
      <c r="I47" s="18"/>
      <c r="J47" s="18"/>
    </row>
    <row r="48" spans="1:10" x14ac:dyDescent="0.25">
      <c r="A48" s="2" t="s">
        <v>52</v>
      </c>
      <c r="B48" s="2"/>
      <c r="C48" s="14"/>
      <c r="D48" s="14"/>
      <c r="E48" s="14"/>
      <c r="F48" s="14"/>
      <c r="G48" s="14"/>
      <c r="H48" s="14"/>
      <c r="I48" s="18"/>
      <c r="J48" s="18"/>
    </row>
    <row r="49" spans="1:10" x14ac:dyDescent="0.25">
      <c r="C49" s="9"/>
      <c r="D49" s="9"/>
      <c r="E49" s="9"/>
      <c r="F49" s="9"/>
      <c r="G49" s="9"/>
      <c r="H49" s="9"/>
      <c r="I49" s="10"/>
      <c r="J49" s="10"/>
    </row>
    <row r="50" spans="1:10" x14ac:dyDescent="0.25">
      <c r="C50" s="9"/>
      <c r="D50" s="9"/>
      <c r="E50" s="9"/>
      <c r="F50" s="9"/>
      <c r="G50" s="9"/>
      <c r="H50" s="9"/>
      <c r="I50" s="10"/>
      <c r="J50" s="10"/>
    </row>
    <row r="51" spans="1:10" x14ac:dyDescent="0.25">
      <c r="C51" s="9"/>
      <c r="D51" s="9"/>
      <c r="E51" s="9"/>
      <c r="F51" s="9"/>
      <c r="G51" s="9"/>
      <c r="H51" s="9"/>
      <c r="I51" s="10"/>
      <c r="J51" s="10"/>
    </row>
    <row r="52" spans="1:10" x14ac:dyDescent="0.25">
      <c r="A52" s="21" t="s">
        <v>53</v>
      </c>
      <c r="B52" s="21"/>
      <c r="C52" s="12" t="s">
        <v>8</v>
      </c>
      <c r="D52" s="12" t="s">
        <v>9</v>
      </c>
      <c r="E52" s="12" t="s">
        <v>10</v>
      </c>
      <c r="F52" s="12" t="s">
        <v>11</v>
      </c>
      <c r="G52" s="12" t="s">
        <v>12</v>
      </c>
      <c r="H52" s="15" t="s">
        <v>13</v>
      </c>
      <c r="I52" s="18"/>
      <c r="J52" s="18"/>
    </row>
    <row r="53" spans="1:10" x14ac:dyDescent="0.25">
      <c r="A53" s="20" t="s">
        <v>54</v>
      </c>
      <c r="B53" s="20"/>
      <c r="C53" s="11">
        <v>275195</v>
      </c>
      <c r="D53" s="11">
        <v>440</v>
      </c>
      <c r="E53" s="11">
        <v>94920</v>
      </c>
      <c r="F53" s="11">
        <v>2385</v>
      </c>
      <c r="G53" s="11">
        <f>SUM(C53:F53)</f>
        <v>372940</v>
      </c>
      <c r="H53" s="17">
        <f>ROUND(G53/3536,2)</f>
        <v>105.47</v>
      </c>
      <c r="I53" s="10"/>
      <c r="J53" s="10"/>
    </row>
    <row r="54" spans="1:10" x14ac:dyDescent="0.25">
      <c r="A54" s="20" t="s">
        <v>55</v>
      </c>
      <c r="B54" s="20"/>
      <c r="C54" s="11">
        <v>99820</v>
      </c>
      <c r="D54" s="11">
        <v>0</v>
      </c>
      <c r="E54" s="11">
        <v>15480</v>
      </c>
      <c r="F54" s="11">
        <v>8360</v>
      </c>
      <c r="G54" s="11">
        <f>SUM(C54:F54)</f>
        <v>123660</v>
      </c>
      <c r="H54" s="17">
        <f>ROUND(G54/3536,2)</f>
        <v>34.97</v>
      </c>
      <c r="I54" s="10"/>
      <c r="J54" s="10"/>
    </row>
    <row r="55" spans="1:10" x14ac:dyDescent="0.25">
      <c r="A55" s="20" t="s">
        <v>56</v>
      </c>
      <c r="B55" s="20"/>
      <c r="C55" s="11">
        <v>0</v>
      </c>
      <c r="D55" s="11">
        <v>0</v>
      </c>
      <c r="E55" s="11">
        <v>0</v>
      </c>
      <c r="F55" s="11">
        <v>0</v>
      </c>
      <c r="G55" s="11">
        <f>SUM(C55:F55)</f>
        <v>0</v>
      </c>
      <c r="H55" s="17">
        <f>ROUND(G55/3536,2)</f>
        <v>0</v>
      </c>
      <c r="I55" s="10"/>
      <c r="J55" s="10"/>
    </row>
    <row r="56" spans="1:10" x14ac:dyDescent="0.25">
      <c r="C56" s="9"/>
      <c r="D56" s="9"/>
      <c r="E56" s="9"/>
      <c r="F56" s="9"/>
      <c r="G56" s="9"/>
      <c r="H56" s="9"/>
      <c r="I56" s="10"/>
      <c r="J56" s="10"/>
    </row>
    <row r="57" spans="1:10" x14ac:dyDescent="0.25">
      <c r="C57" s="9"/>
      <c r="D57" s="9"/>
      <c r="E57" s="9"/>
      <c r="F57" s="9"/>
      <c r="G57" s="9"/>
      <c r="H57" s="9"/>
      <c r="I57" s="10"/>
      <c r="J57" s="10"/>
    </row>
    <row r="58" spans="1:10" x14ac:dyDescent="0.25">
      <c r="C58" s="9"/>
      <c r="D58" s="9"/>
      <c r="E58" s="9"/>
      <c r="F58" s="9"/>
      <c r="G58" s="9"/>
      <c r="H58" s="9"/>
      <c r="I58" s="10"/>
      <c r="J58" s="10"/>
    </row>
    <row r="59" spans="1:10" x14ac:dyDescent="0.25">
      <c r="C59" s="9"/>
      <c r="D59" s="9"/>
      <c r="E59" s="9"/>
      <c r="F59" s="9"/>
      <c r="G59" s="9"/>
      <c r="H59" s="9"/>
      <c r="I59" s="10"/>
      <c r="J59" s="10"/>
    </row>
    <row r="60" spans="1:10" x14ac:dyDescent="0.25">
      <c r="A60" s="21" t="s">
        <v>57</v>
      </c>
      <c r="B60" s="21"/>
      <c r="C60" s="15" t="s">
        <v>2</v>
      </c>
      <c r="D60" s="15">
        <v>2023</v>
      </c>
      <c r="E60" s="15" t="s">
        <v>59</v>
      </c>
      <c r="F60" s="14"/>
      <c r="G60" s="15" t="s">
        <v>60</v>
      </c>
      <c r="H60" s="15" t="s">
        <v>2</v>
      </c>
      <c r="I60" s="13" t="s">
        <v>61</v>
      </c>
      <c r="J60" s="13" t="s">
        <v>59</v>
      </c>
    </row>
    <row r="61" spans="1:10" x14ac:dyDescent="0.25">
      <c r="A61" s="20" t="s">
        <v>58</v>
      </c>
      <c r="B61" s="20"/>
      <c r="C61" s="16">
        <f>ROUND(0.7837, 4)</f>
        <v>0.78369999999999995</v>
      </c>
      <c r="D61" s="16">
        <f>ROUND(0.7769, 4)</f>
        <v>0.77690000000000003</v>
      </c>
      <c r="E61" s="16">
        <f>ROUND(0.777, 4)</f>
        <v>0.77700000000000002</v>
      </c>
      <c r="F61" s="9"/>
      <c r="G61" s="15" t="s">
        <v>62</v>
      </c>
      <c r="H61" s="22" t="s">
        <v>63</v>
      </c>
      <c r="I61" s="24" t="s">
        <v>64</v>
      </c>
      <c r="J61" s="24" t="s">
        <v>65</v>
      </c>
    </row>
    <row r="62" spans="1:10" x14ac:dyDescent="0.25">
      <c r="A62" s="20" t="s">
        <v>66</v>
      </c>
      <c r="B62" s="20"/>
      <c r="C62" s="16">
        <f>ROUND(0.7735, 4)</f>
        <v>0.77349999999999997</v>
      </c>
      <c r="D62" s="16">
        <f>ROUND(0.7651, 4)</f>
        <v>0.7651</v>
      </c>
      <c r="E62" s="16">
        <f>ROUND(0.7608, 4)</f>
        <v>0.76080000000000003</v>
      </c>
      <c r="F62" s="9"/>
      <c r="G62" s="15" t="s">
        <v>67</v>
      </c>
      <c r="H62" s="23"/>
      <c r="I62" s="25"/>
      <c r="J62" s="25"/>
    </row>
    <row r="63" spans="1:10" x14ac:dyDescent="0.25">
      <c r="C63" s="9"/>
      <c r="D63" s="9"/>
      <c r="E63" s="9"/>
      <c r="F63" s="9"/>
      <c r="G63" s="9"/>
      <c r="H63" s="9"/>
      <c r="I63" s="10"/>
      <c r="J63" s="10"/>
    </row>
    <row r="64" spans="1:10" x14ac:dyDescent="0.25">
      <c r="C64" s="9"/>
      <c r="D64" s="9"/>
      <c r="E64" s="9"/>
      <c r="F64" s="9"/>
      <c r="G64" s="9"/>
      <c r="H64" s="9"/>
      <c r="I64" s="10"/>
      <c r="J64" s="10"/>
    </row>
    <row r="65" spans="1:10" x14ac:dyDescent="0.25">
      <c r="C65" s="9"/>
      <c r="D65" s="9"/>
      <c r="E65" s="9"/>
      <c r="F65" s="9"/>
      <c r="G65" s="9"/>
      <c r="H65" s="9"/>
      <c r="I65" s="10"/>
      <c r="J65" s="10"/>
    </row>
    <row r="66" spans="1:10" x14ac:dyDescent="0.25">
      <c r="A66" s="21" t="s">
        <v>68</v>
      </c>
      <c r="B66" s="21"/>
      <c r="C66" s="15" t="s">
        <v>2</v>
      </c>
      <c r="D66" s="15" t="s">
        <v>255</v>
      </c>
      <c r="E66" s="15" t="s">
        <v>70</v>
      </c>
      <c r="F66" s="15" t="s">
        <v>71</v>
      </c>
      <c r="G66" s="15" t="s">
        <v>72</v>
      </c>
      <c r="H66" s="14"/>
      <c r="I66" s="18"/>
      <c r="J66" s="18"/>
    </row>
    <row r="67" spans="1:10" x14ac:dyDescent="0.25">
      <c r="A67" s="20" t="s">
        <v>73</v>
      </c>
      <c r="B67" s="20"/>
      <c r="C67" s="17">
        <v>28.33</v>
      </c>
      <c r="D67" s="17">
        <v>71.31</v>
      </c>
      <c r="E67" s="17">
        <v>81.84</v>
      </c>
      <c r="F67" s="17">
        <v>48</v>
      </c>
      <c r="G67" s="17">
        <f>12/4*C67</f>
        <v>84.99</v>
      </c>
      <c r="H67" s="9"/>
      <c r="I67" s="10"/>
      <c r="J67" s="10"/>
    </row>
    <row r="68" spans="1:10" x14ac:dyDescent="0.25">
      <c r="A68" s="20" t="s">
        <v>74</v>
      </c>
      <c r="B68" s="20"/>
      <c r="C68" s="17">
        <v>26.74</v>
      </c>
      <c r="D68" s="17">
        <v>66.739999999999995</v>
      </c>
      <c r="E68" s="17">
        <v>55.63</v>
      </c>
      <c r="F68" s="17">
        <v>55.33</v>
      </c>
      <c r="G68" s="17">
        <f>12/4*C68</f>
        <v>80.22</v>
      </c>
      <c r="H68" s="9"/>
      <c r="I68" s="10"/>
      <c r="J68" s="10"/>
    </row>
    <row r="69" spans="1:10" x14ac:dyDescent="0.25">
      <c r="A69" s="20" t="s">
        <v>75</v>
      </c>
      <c r="B69" s="20"/>
      <c r="C69" s="17">
        <v>105.47</v>
      </c>
      <c r="D69" s="17">
        <v>283.01</v>
      </c>
      <c r="E69" s="17">
        <v>257.88</v>
      </c>
      <c r="F69" s="17">
        <v>242.78</v>
      </c>
      <c r="G69" s="17">
        <f>12/4*C69</f>
        <v>316.40999999999997</v>
      </c>
      <c r="H69" s="9"/>
      <c r="I69" s="10"/>
      <c r="J69" s="10"/>
    </row>
    <row r="70" spans="1:10" x14ac:dyDescent="0.25">
      <c r="A70" s="20" t="s">
        <v>76</v>
      </c>
      <c r="B70" s="20"/>
      <c r="C70" s="1">
        <v>34.97</v>
      </c>
      <c r="D70" s="1">
        <v>92.13</v>
      </c>
      <c r="E70" s="1">
        <v>103.14</v>
      </c>
      <c r="F70" s="1">
        <v>68.31</v>
      </c>
      <c r="G70" s="1">
        <f>12/4*C70</f>
        <v>104.91</v>
      </c>
    </row>
    <row r="73" spans="1:10" x14ac:dyDescent="0.25">
      <c r="A73" s="19" t="s">
        <v>60</v>
      </c>
      <c r="B73" s="26"/>
    </row>
    <row r="74" spans="1:10" x14ac:dyDescent="0.25">
      <c r="A74" s="3" t="s">
        <v>77</v>
      </c>
      <c r="B74" s="1" t="s">
        <v>256</v>
      </c>
    </row>
    <row r="75" spans="1:10" x14ac:dyDescent="0.25">
      <c r="A75" s="3" t="s">
        <v>70</v>
      </c>
      <c r="B75" s="1" t="s">
        <v>79</v>
      </c>
    </row>
    <row r="76" spans="1:10" x14ac:dyDescent="0.25">
      <c r="A76" s="3" t="s">
        <v>71</v>
      </c>
      <c r="B76" s="1" t="s">
        <v>80</v>
      </c>
    </row>
    <row r="77" spans="1:10" x14ac:dyDescent="0.25">
      <c r="A77" s="3" t="s">
        <v>72</v>
      </c>
      <c r="B77" s="1" t="s">
        <v>81</v>
      </c>
    </row>
  </sheetData>
  <mergeCells count="19">
    <mergeCell ref="A68:B68"/>
    <mergeCell ref="A69:B69"/>
    <mergeCell ref="A70:B70"/>
    <mergeCell ref="A73:B73"/>
    <mergeCell ref="I61:I62"/>
    <mergeCell ref="J61:J62"/>
    <mergeCell ref="A62:B62"/>
    <mergeCell ref="A66:B66"/>
    <mergeCell ref="A67:B67"/>
    <mergeCell ref="A54:B54"/>
    <mergeCell ref="A55:B55"/>
    <mergeCell ref="A60:B60"/>
    <mergeCell ref="A61:B61"/>
    <mergeCell ref="H61:H62"/>
    <mergeCell ref="C7:G7"/>
    <mergeCell ref="A46:B46"/>
    <mergeCell ref="A47:B47"/>
    <mergeCell ref="A52:B52"/>
    <mergeCell ref="A53:B53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2:J73"/>
  <sheetViews>
    <sheetView workbookViewId="0">
      <selection activeCell="C9" sqref="C9:J73"/>
    </sheetView>
  </sheetViews>
  <sheetFormatPr defaultRowHeight="15" x14ac:dyDescent="0.25"/>
  <cols>
    <col min="1" max="1" width="38.85546875" bestFit="1" customWidth="1"/>
    <col min="2" max="2" width="79" bestFit="1" customWidth="1"/>
    <col min="3" max="3" width="14" bestFit="1" customWidth="1"/>
    <col min="4" max="4" width="30.5703125" bestFit="1" customWidth="1"/>
    <col min="5" max="5" width="16.42578125" bestFit="1" customWidth="1"/>
    <col min="6" max="6" width="10.5703125" bestFit="1" customWidth="1"/>
    <col min="7" max="7" width="68.28515625" bestFit="1" customWidth="1"/>
    <col min="8" max="9" width="20" bestFit="1" customWidth="1"/>
    <col min="10" max="10" width="30.5703125" bestFit="1" customWidth="1"/>
  </cols>
  <sheetData>
    <row r="2" spans="1:10" ht="18.75" x14ac:dyDescent="0.3">
      <c r="A2" s="3" t="s">
        <v>0</v>
      </c>
      <c r="B2" s="4" t="s">
        <v>257</v>
      </c>
    </row>
    <row r="3" spans="1:10" x14ac:dyDescent="0.25">
      <c r="A3" s="3" t="s">
        <v>2</v>
      </c>
      <c r="B3" s="1" t="s">
        <v>3</v>
      </c>
    </row>
    <row r="4" spans="1:10" x14ac:dyDescent="0.25">
      <c r="A4" s="3" t="s">
        <v>4</v>
      </c>
      <c r="B4" s="1">
        <v>825</v>
      </c>
    </row>
    <row r="7" spans="1:10" x14ac:dyDescent="0.25">
      <c r="C7" s="19" t="s">
        <v>5</v>
      </c>
      <c r="D7" s="20"/>
      <c r="E7" s="20"/>
      <c r="F7" s="20"/>
      <c r="G7" s="20"/>
    </row>
    <row r="8" spans="1:10" x14ac:dyDescent="0.25">
      <c r="A8" s="3" t="s">
        <v>6</v>
      </c>
      <c r="B8" s="3" t="s">
        <v>7</v>
      </c>
      <c r="C8" s="3" t="s">
        <v>8</v>
      </c>
      <c r="D8" s="3" t="s">
        <v>9</v>
      </c>
      <c r="E8" s="3" t="s">
        <v>10</v>
      </c>
      <c r="F8" s="3" t="s">
        <v>11</v>
      </c>
      <c r="G8" s="3" t="s">
        <v>12</v>
      </c>
      <c r="H8" s="3" t="s">
        <v>13</v>
      </c>
      <c r="I8" s="3" t="s">
        <v>14</v>
      </c>
      <c r="J8" s="3" t="s">
        <v>15</v>
      </c>
    </row>
    <row r="9" spans="1:10" x14ac:dyDescent="0.25">
      <c r="A9" s="1" t="s">
        <v>16</v>
      </c>
      <c r="B9" s="1" t="s">
        <v>17</v>
      </c>
      <c r="C9" s="11"/>
      <c r="D9" s="11"/>
      <c r="E9" s="11">
        <v>6</v>
      </c>
      <c r="F9" s="11"/>
      <c r="G9" s="11">
        <f t="shared" ref="G9:G37" si="0">SUM(C9:F9)</f>
        <v>6</v>
      </c>
      <c r="H9" s="17">
        <f t="shared" ref="H9:H37" si="1">ROUND(G9/825,2)</f>
        <v>0.01</v>
      </c>
      <c r="I9" s="16">
        <f t="shared" ref="I9:I37" si="2">ROUND(G9/$G$38,3)</f>
        <v>0</v>
      </c>
      <c r="J9" s="16"/>
    </row>
    <row r="10" spans="1:10" x14ac:dyDescent="0.25">
      <c r="A10" s="1" t="s">
        <v>16</v>
      </c>
      <c r="B10" s="1" t="s">
        <v>19</v>
      </c>
      <c r="C10" s="11">
        <v>8040</v>
      </c>
      <c r="D10" s="11"/>
      <c r="E10" s="11">
        <v>796</v>
      </c>
      <c r="F10" s="11"/>
      <c r="G10" s="11">
        <f t="shared" si="0"/>
        <v>8836</v>
      </c>
      <c r="H10" s="17">
        <f t="shared" si="1"/>
        <v>10.71</v>
      </c>
      <c r="I10" s="16">
        <f t="shared" si="2"/>
        <v>8.4000000000000005E-2</v>
      </c>
      <c r="J10" s="16">
        <f>ROUND(G10/8959.64-1,2)</f>
        <v>-0.01</v>
      </c>
    </row>
    <row r="11" spans="1:10" x14ac:dyDescent="0.25">
      <c r="A11" s="1" t="s">
        <v>16</v>
      </c>
      <c r="B11" s="1" t="s">
        <v>20</v>
      </c>
      <c r="C11" s="11">
        <v>12935</v>
      </c>
      <c r="D11" s="11"/>
      <c r="E11" s="11"/>
      <c r="F11" s="11"/>
      <c r="G11" s="11">
        <f t="shared" si="0"/>
        <v>12935</v>
      </c>
      <c r="H11" s="17">
        <f t="shared" si="1"/>
        <v>15.68</v>
      </c>
      <c r="I11" s="16">
        <f t="shared" si="2"/>
        <v>0.123</v>
      </c>
      <c r="J11" s="16">
        <f>ROUND(G11/13795-1,2)</f>
        <v>-0.06</v>
      </c>
    </row>
    <row r="12" spans="1:10" x14ac:dyDescent="0.25">
      <c r="A12" s="1" t="s">
        <v>16</v>
      </c>
      <c r="B12" s="1" t="s">
        <v>21</v>
      </c>
      <c r="C12" s="11"/>
      <c r="D12" s="11"/>
      <c r="E12" s="11">
        <v>14</v>
      </c>
      <c r="F12" s="11"/>
      <c r="G12" s="11">
        <f t="shared" si="0"/>
        <v>14</v>
      </c>
      <c r="H12" s="17">
        <f t="shared" si="1"/>
        <v>0.02</v>
      </c>
      <c r="I12" s="16">
        <f t="shared" si="2"/>
        <v>0</v>
      </c>
      <c r="J12" s="16">
        <f>ROUND(G12/38.75-1,2)</f>
        <v>-0.64</v>
      </c>
    </row>
    <row r="13" spans="1:10" x14ac:dyDescent="0.25">
      <c r="A13" s="1" t="s">
        <v>16</v>
      </c>
      <c r="B13" s="1" t="s">
        <v>22</v>
      </c>
      <c r="C13" s="11"/>
      <c r="D13" s="11"/>
      <c r="E13" s="11">
        <v>270</v>
      </c>
      <c r="F13" s="11"/>
      <c r="G13" s="11">
        <f t="shared" si="0"/>
        <v>270</v>
      </c>
      <c r="H13" s="17">
        <f t="shared" si="1"/>
        <v>0.33</v>
      </c>
      <c r="I13" s="16">
        <f t="shared" si="2"/>
        <v>3.0000000000000001E-3</v>
      </c>
      <c r="J13" s="16"/>
    </row>
    <row r="14" spans="1:10" x14ac:dyDescent="0.25">
      <c r="A14" s="1" t="s">
        <v>16</v>
      </c>
      <c r="B14" s="1" t="s">
        <v>23</v>
      </c>
      <c r="C14" s="11"/>
      <c r="D14" s="11"/>
      <c r="E14" s="11">
        <v>10392</v>
      </c>
      <c r="F14" s="11"/>
      <c r="G14" s="11">
        <f t="shared" si="0"/>
        <v>10392</v>
      </c>
      <c r="H14" s="17">
        <f t="shared" si="1"/>
        <v>12.6</v>
      </c>
      <c r="I14" s="16">
        <f t="shared" si="2"/>
        <v>9.9000000000000005E-2</v>
      </c>
      <c r="J14" s="16">
        <f>ROUND(G14/2983.62-1,2)</f>
        <v>2.48</v>
      </c>
    </row>
    <row r="15" spans="1:10" x14ac:dyDescent="0.25">
      <c r="A15" s="1" t="s">
        <v>16</v>
      </c>
      <c r="B15" s="1" t="s">
        <v>24</v>
      </c>
      <c r="C15" s="11">
        <v>10840</v>
      </c>
      <c r="D15" s="11"/>
      <c r="E15" s="11">
        <v>2782</v>
      </c>
      <c r="F15" s="11"/>
      <c r="G15" s="11">
        <f t="shared" si="0"/>
        <v>13622</v>
      </c>
      <c r="H15" s="17">
        <f t="shared" si="1"/>
        <v>16.510000000000002</v>
      </c>
      <c r="I15" s="16">
        <f t="shared" si="2"/>
        <v>0.129</v>
      </c>
      <c r="J15" s="16">
        <f>ROUND(G15/10310.77-1,2)</f>
        <v>0.32</v>
      </c>
    </row>
    <row r="16" spans="1:10" x14ac:dyDescent="0.25">
      <c r="A16" s="1" t="s">
        <v>16</v>
      </c>
      <c r="B16" s="1" t="s">
        <v>25</v>
      </c>
      <c r="C16" s="11"/>
      <c r="D16" s="11"/>
      <c r="E16" s="11">
        <v>359</v>
      </c>
      <c r="F16" s="11"/>
      <c r="G16" s="11">
        <f t="shared" si="0"/>
        <v>359</v>
      </c>
      <c r="H16" s="17">
        <f t="shared" si="1"/>
        <v>0.44</v>
      </c>
      <c r="I16" s="16">
        <f t="shared" si="2"/>
        <v>3.0000000000000001E-3</v>
      </c>
      <c r="J16" s="16"/>
    </row>
    <row r="17" spans="1:10" x14ac:dyDescent="0.25">
      <c r="A17" s="1" t="s">
        <v>16</v>
      </c>
      <c r="B17" s="1" t="s">
        <v>26</v>
      </c>
      <c r="C17" s="11">
        <v>13050</v>
      </c>
      <c r="D17" s="11"/>
      <c r="E17" s="11"/>
      <c r="F17" s="11"/>
      <c r="G17" s="11">
        <f t="shared" si="0"/>
        <v>13050</v>
      </c>
      <c r="H17" s="17">
        <f t="shared" si="1"/>
        <v>15.82</v>
      </c>
      <c r="I17" s="16">
        <f t="shared" si="2"/>
        <v>0.124</v>
      </c>
      <c r="J17" s="16">
        <f>ROUND(G17/9860-1,2)</f>
        <v>0.32</v>
      </c>
    </row>
    <row r="18" spans="1:10" x14ac:dyDescent="0.25">
      <c r="A18" s="1" t="s">
        <v>16</v>
      </c>
      <c r="B18" s="1" t="s">
        <v>27</v>
      </c>
      <c r="C18" s="11"/>
      <c r="D18" s="11"/>
      <c r="E18" s="11">
        <v>140</v>
      </c>
      <c r="F18" s="11"/>
      <c r="G18" s="11">
        <f t="shared" si="0"/>
        <v>140</v>
      </c>
      <c r="H18" s="17">
        <f t="shared" si="1"/>
        <v>0.17</v>
      </c>
      <c r="I18" s="16">
        <f t="shared" si="2"/>
        <v>1E-3</v>
      </c>
      <c r="J18" s="16"/>
    </row>
    <row r="19" spans="1:10" x14ac:dyDescent="0.25">
      <c r="A19" s="1" t="s">
        <v>16</v>
      </c>
      <c r="B19" s="1" t="s">
        <v>28</v>
      </c>
      <c r="C19" s="11"/>
      <c r="D19" s="11"/>
      <c r="E19" s="11">
        <v>84</v>
      </c>
      <c r="F19" s="11"/>
      <c r="G19" s="11">
        <f t="shared" si="0"/>
        <v>84</v>
      </c>
      <c r="H19" s="17">
        <f t="shared" si="1"/>
        <v>0.1</v>
      </c>
      <c r="I19" s="16">
        <f t="shared" si="2"/>
        <v>1E-3</v>
      </c>
      <c r="J19" s="16"/>
    </row>
    <row r="20" spans="1:10" x14ac:dyDescent="0.25">
      <c r="A20" s="1" t="s">
        <v>16</v>
      </c>
      <c r="B20" s="1" t="s">
        <v>29</v>
      </c>
      <c r="C20" s="11"/>
      <c r="D20" s="11"/>
      <c r="E20" s="11">
        <v>48</v>
      </c>
      <c r="F20" s="11"/>
      <c r="G20" s="11">
        <f t="shared" si="0"/>
        <v>48</v>
      </c>
      <c r="H20" s="17">
        <f t="shared" si="1"/>
        <v>0.06</v>
      </c>
      <c r="I20" s="16">
        <f t="shared" si="2"/>
        <v>0</v>
      </c>
      <c r="J20" s="16">
        <f>ROUND(G20/24.05-1,2)</f>
        <v>1</v>
      </c>
    </row>
    <row r="21" spans="1:10" x14ac:dyDescent="0.25">
      <c r="A21" s="1" t="s">
        <v>16</v>
      </c>
      <c r="B21" s="1" t="s">
        <v>31</v>
      </c>
      <c r="C21" s="11"/>
      <c r="D21" s="11"/>
      <c r="E21" s="11">
        <v>171</v>
      </c>
      <c r="F21" s="11"/>
      <c r="G21" s="11">
        <f t="shared" si="0"/>
        <v>171</v>
      </c>
      <c r="H21" s="17">
        <f t="shared" si="1"/>
        <v>0.21</v>
      </c>
      <c r="I21" s="16">
        <f t="shared" si="2"/>
        <v>2E-3</v>
      </c>
      <c r="J21" s="16"/>
    </row>
    <row r="22" spans="1:10" x14ac:dyDescent="0.25">
      <c r="A22" s="1" t="s">
        <v>16</v>
      </c>
      <c r="B22" s="1" t="s">
        <v>32</v>
      </c>
      <c r="C22" s="11"/>
      <c r="D22" s="11"/>
      <c r="E22" s="11">
        <v>44</v>
      </c>
      <c r="F22" s="11"/>
      <c r="G22" s="11">
        <f t="shared" si="0"/>
        <v>44</v>
      </c>
      <c r="H22" s="17">
        <f t="shared" si="1"/>
        <v>0.05</v>
      </c>
      <c r="I22" s="16">
        <f t="shared" si="2"/>
        <v>0</v>
      </c>
      <c r="J22" s="16"/>
    </row>
    <row r="23" spans="1:10" x14ac:dyDescent="0.25">
      <c r="A23" s="1" t="s">
        <v>16</v>
      </c>
      <c r="B23" s="1" t="s">
        <v>35</v>
      </c>
      <c r="C23" s="11"/>
      <c r="D23" s="11"/>
      <c r="E23" s="11">
        <v>7637</v>
      </c>
      <c r="F23" s="11"/>
      <c r="G23" s="11">
        <f t="shared" si="0"/>
        <v>7637</v>
      </c>
      <c r="H23" s="17">
        <f t="shared" si="1"/>
        <v>9.26</v>
      </c>
      <c r="I23" s="16">
        <f t="shared" si="2"/>
        <v>7.1999999999999995E-2</v>
      </c>
      <c r="J23" s="16">
        <f>ROUND(G23/4606.33-1,2)</f>
        <v>0.66</v>
      </c>
    </row>
    <row r="24" spans="1:10" x14ac:dyDescent="0.25">
      <c r="A24" s="1" t="s">
        <v>16</v>
      </c>
      <c r="B24" s="1" t="s">
        <v>37</v>
      </c>
      <c r="C24" s="11"/>
      <c r="D24" s="11"/>
      <c r="E24" s="11">
        <v>3028</v>
      </c>
      <c r="F24" s="11"/>
      <c r="G24" s="11">
        <f t="shared" si="0"/>
        <v>3028</v>
      </c>
      <c r="H24" s="17">
        <f t="shared" si="1"/>
        <v>3.67</v>
      </c>
      <c r="I24" s="16">
        <f t="shared" si="2"/>
        <v>2.9000000000000001E-2</v>
      </c>
      <c r="J24" s="16">
        <f>ROUND(G24/2517.69-1,2)</f>
        <v>0.2</v>
      </c>
    </row>
    <row r="25" spans="1:10" x14ac:dyDescent="0.25">
      <c r="A25" s="1" t="s">
        <v>16</v>
      </c>
      <c r="B25" s="1" t="s">
        <v>38</v>
      </c>
      <c r="C25" s="11"/>
      <c r="D25" s="11"/>
      <c r="E25" s="11">
        <v>986</v>
      </c>
      <c r="F25" s="11"/>
      <c r="G25" s="11">
        <f t="shared" si="0"/>
        <v>986</v>
      </c>
      <c r="H25" s="17">
        <f t="shared" si="1"/>
        <v>1.2</v>
      </c>
      <c r="I25" s="16">
        <f t="shared" si="2"/>
        <v>8.9999999999999993E-3</v>
      </c>
      <c r="J25" s="16">
        <f>ROUND(G25/449.97-1,2)</f>
        <v>1.19</v>
      </c>
    </row>
    <row r="26" spans="1:10" x14ac:dyDescent="0.25">
      <c r="A26" s="1" t="s">
        <v>16</v>
      </c>
      <c r="B26" s="1" t="s">
        <v>42</v>
      </c>
      <c r="C26" s="11"/>
      <c r="D26" s="11"/>
      <c r="E26" s="11"/>
      <c r="F26" s="11"/>
      <c r="G26" s="11">
        <f t="shared" si="0"/>
        <v>0</v>
      </c>
      <c r="H26" s="17">
        <f t="shared" si="1"/>
        <v>0</v>
      </c>
      <c r="I26" s="16">
        <f t="shared" si="2"/>
        <v>0</v>
      </c>
      <c r="J26" s="16">
        <f>ROUND(G26/70.97-1,2)</f>
        <v>-1</v>
      </c>
    </row>
    <row r="27" spans="1:10" x14ac:dyDescent="0.25">
      <c r="A27" s="1" t="s">
        <v>16</v>
      </c>
      <c r="B27" s="1" t="s">
        <v>40</v>
      </c>
      <c r="C27" s="11"/>
      <c r="D27" s="11"/>
      <c r="E27" s="11"/>
      <c r="F27" s="11"/>
      <c r="G27" s="11">
        <f t="shared" si="0"/>
        <v>0</v>
      </c>
      <c r="H27" s="17">
        <f t="shared" si="1"/>
        <v>0</v>
      </c>
      <c r="I27" s="16">
        <f t="shared" si="2"/>
        <v>0</v>
      </c>
      <c r="J27" s="16"/>
    </row>
    <row r="28" spans="1:10" x14ac:dyDescent="0.25">
      <c r="A28" s="1" t="s">
        <v>16</v>
      </c>
      <c r="B28" s="1" t="s">
        <v>41</v>
      </c>
      <c r="C28" s="11"/>
      <c r="D28" s="11"/>
      <c r="E28" s="11"/>
      <c r="F28" s="11"/>
      <c r="G28" s="11">
        <f t="shared" si="0"/>
        <v>0</v>
      </c>
      <c r="H28" s="17">
        <f t="shared" si="1"/>
        <v>0</v>
      </c>
      <c r="I28" s="16">
        <f t="shared" si="2"/>
        <v>0</v>
      </c>
      <c r="J28" s="16">
        <f>ROUND(G28/233.54-1,2)</f>
        <v>-1</v>
      </c>
    </row>
    <row r="29" spans="1:10" x14ac:dyDescent="0.25">
      <c r="A29" s="1" t="s">
        <v>16</v>
      </c>
      <c r="B29" s="1" t="s">
        <v>34</v>
      </c>
      <c r="C29" s="11"/>
      <c r="D29" s="11"/>
      <c r="E29" s="11"/>
      <c r="F29" s="11"/>
      <c r="G29" s="11">
        <f t="shared" si="0"/>
        <v>0</v>
      </c>
      <c r="H29" s="17">
        <f t="shared" si="1"/>
        <v>0</v>
      </c>
      <c r="I29" s="16">
        <f t="shared" si="2"/>
        <v>0</v>
      </c>
      <c r="J29" s="16">
        <f>ROUND(G29/37.67-1,2)</f>
        <v>-1</v>
      </c>
    </row>
    <row r="30" spans="1:10" x14ac:dyDescent="0.25">
      <c r="A30" s="1" t="s">
        <v>16</v>
      </c>
      <c r="B30" s="1" t="s">
        <v>39</v>
      </c>
      <c r="C30" s="11"/>
      <c r="D30" s="11"/>
      <c r="E30" s="11"/>
      <c r="F30" s="11"/>
      <c r="G30" s="11">
        <f t="shared" si="0"/>
        <v>0</v>
      </c>
      <c r="H30" s="17">
        <f t="shared" si="1"/>
        <v>0</v>
      </c>
      <c r="I30" s="16">
        <f t="shared" si="2"/>
        <v>0</v>
      </c>
      <c r="J30" s="16"/>
    </row>
    <row r="31" spans="1:10" x14ac:dyDescent="0.25">
      <c r="A31" s="1" t="s">
        <v>16</v>
      </c>
      <c r="B31" s="1" t="s">
        <v>118</v>
      </c>
      <c r="C31" s="11"/>
      <c r="D31" s="11"/>
      <c r="E31" s="11"/>
      <c r="F31" s="11"/>
      <c r="G31" s="11">
        <f t="shared" si="0"/>
        <v>0</v>
      </c>
      <c r="H31" s="17">
        <f t="shared" si="1"/>
        <v>0</v>
      </c>
      <c r="I31" s="16">
        <f t="shared" si="2"/>
        <v>0</v>
      </c>
      <c r="J31" s="16"/>
    </row>
    <row r="32" spans="1:10" x14ac:dyDescent="0.25">
      <c r="A32" s="1" t="s">
        <v>16</v>
      </c>
      <c r="B32" s="1" t="s">
        <v>30</v>
      </c>
      <c r="C32" s="11"/>
      <c r="D32" s="11"/>
      <c r="E32" s="11"/>
      <c r="F32" s="11"/>
      <c r="G32" s="11">
        <f t="shared" si="0"/>
        <v>0</v>
      </c>
      <c r="H32" s="17">
        <f t="shared" si="1"/>
        <v>0</v>
      </c>
      <c r="I32" s="16">
        <f t="shared" si="2"/>
        <v>0</v>
      </c>
      <c r="J32" s="16"/>
    </row>
    <row r="33" spans="1:10" x14ac:dyDescent="0.25">
      <c r="A33" s="1" t="s">
        <v>16</v>
      </c>
      <c r="B33" s="1" t="s">
        <v>36</v>
      </c>
      <c r="C33" s="11"/>
      <c r="D33" s="11"/>
      <c r="E33" s="11"/>
      <c r="F33" s="11"/>
      <c r="G33" s="11">
        <f t="shared" si="0"/>
        <v>0</v>
      </c>
      <c r="H33" s="17">
        <f t="shared" si="1"/>
        <v>0</v>
      </c>
      <c r="I33" s="16">
        <f t="shared" si="2"/>
        <v>0</v>
      </c>
      <c r="J33" s="16"/>
    </row>
    <row r="34" spans="1:10" x14ac:dyDescent="0.25">
      <c r="A34" s="1" t="s">
        <v>44</v>
      </c>
      <c r="B34" s="1" t="s">
        <v>45</v>
      </c>
      <c r="C34" s="11">
        <v>29200</v>
      </c>
      <c r="D34" s="11"/>
      <c r="E34" s="11"/>
      <c r="F34" s="11"/>
      <c r="G34" s="11">
        <f t="shared" si="0"/>
        <v>29200</v>
      </c>
      <c r="H34" s="17">
        <f t="shared" si="1"/>
        <v>35.39</v>
      </c>
      <c r="I34" s="16">
        <f t="shared" si="2"/>
        <v>0.27700000000000002</v>
      </c>
      <c r="J34" s="16">
        <f>ROUND(G34/26980-1,2)</f>
        <v>0.08</v>
      </c>
    </row>
    <row r="35" spans="1:10" x14ac:dyDescent="0.25">
      <c r="A35" s="1" t="s">
        <v>44</v>
      </c>
      <c r="B35" s="1" t="s">
        <v>46</v>
      </c>
      <c r="C35" s="11"/>
      <c r="D35" s="11"/>
      <c r="E35" s="11">
        <v>4557</v>
      </c>
      <c r="F35" s="11"/>
      <c r="G35" s="11">
        <f t="shared" si="0"/>
        <v>4557</v>
      </c>
      <c r="H35" s="17">
        <f t="shared" si="1"/>
        <v>5.52</v>
      </c>
      <c r="I35" s="16">
        <f t="shared" si="2"/>
        <v>4.2999999999999997E-2</v>
      </c>
      <c r="J35" s="16">
        <f>ROUND(G35/3388.95-1,2)</f>
        <v>0.34</v>
      </c>
    </row>
    <row r="36" spans="1:10" x14ac:dyDescent="0.25">
      <c r="A36" s="1" t="s">
        <v>44</v>
      </c>
      <c r="B36" s="1" t="s">
        <v>47</v>
      </c>
      <c r="C36" s="11"/>
      <c r="D36" s="11"/>
      <c r="E36" s="11"/>
      <c r="F36" s="11"/>
      <c r="G36" s="11">
        <f t="shared" si="0"/>
        <v>0</v>
      </c>
      <c r="H36" s="17">
        <f t="shared" si="1"/>
        <v>0</v>
      </c>
      <c r="I36" s="16">
        <f t="shared" si="2"/>
        <v>0</v>
      </c>
      <c r="J36" s="16"/>
    </row>
    <row r="37" spans="1:10" x14ac:dyDescent="0.25">
      <c r="A37" s="1" t="s">
        <v>48</v>
      </c>
      <c r="B37" s="1" t="s">
        <v>51</v>
      </c>
      <c r="C37" s="11"/>
      <c r="D37" s="11"/>
      <c r="E37" s="11"/>
      <c r="F37" s="11"/>
      <c r="G37" s="11">
        <f t="shared" si="0"/>
        <v>0</v>
      </c>
      <c r="H37" s="17">
        <f t="shared" si="1"/>
        <v>0</v>
      </c>
      <c r="I37" s="16">
        <f t="shared" si="2"/>
        <v>0</v>
      </c>
      <c r="J37" s="16"/>
    </row>
    <row r="38" spans="1:10" x14ac:dyDescent="0.25">
      <c r="A38" s="21" t="s">
        <v>12</v>
      </c>
      <c r="B38" s="21"/>
      <c r="C38" s="12">
        <f t="shared" ref="C38:H38" si="3">SUM(C8:C37)</f>
        <v>74065</v>
      </c>
      <c r="D38" s="12">
        <f t="shared" si="3"/>
        <v>0</v>
      </c>
      <c r="E38" s="12">
        <f t="shared" si="3"/>
        <v>31314</v>
      </c>
      <c r="F38" s="12">
        <f t="shared" si="3"/>
        <v>0</v>
      </c>
      <c r="G38" s="12">
        <f t="shared" si="3"/>
        <v>105379</v>
      </c>
      <c r="H38" s="15">
        <f t="shared" si="3"/>
        <v>127.75</v>
      </c>
      <c r="I38" s="18"/>
      <c r="J38" s="18"/>
    </row>
    <row r="39" spans="1:10" x14ac:dyDescent="0.25">
      <c r="A39" s="21" t="s">
        <v>14</v>
      </c>
      <c r="B39" s="21"/>
      <c r="C39" s="13">
        <f>ROUND(C38/G38,2)</f>
        <v>0.7</v>
      </c>
      <c r="D39" s="13">
        <f>ROUND(D38/G38,2)</f>
        <v>0</v>
      </c>
      <c r="E39" s="13">
        <f>ROUND(E38/G38,2)</f>
        <v>0.3</v>
      </c>
      <c r="F39" s="13">
        <f>ROUND(F38/G38,2)</f>
        <v>0</v>
      </c>
      <c r="G39" s="14"/>
      <c r="H39" s="14"/>
      <c r="I39" s="18"/>
      <c r="J39" s="18"/>
    </row>
    <row r="40" spans="1:10" x14ac:dyDescent="0.25">
      <c r="A40" s="2" t="s">
        <v>52</v>
      </c>
      <c r="B40" s="2"/>
      <c r="C40" s="14"/>
      <c r="D40" s="14"/>
      <c r="E40" s="14"/>
      <c r="F40" s="14"/>
      <c r="G40" s="14"/>
      <c r="H40" s="14"/>
      <c r="I40" s="18"/>
      <c r="J40" s="18"/>
    </row>
    <row r="41" spans="1:10" x14ac:dyDescent="0.25">
      <c r="C41" s="9"/>
      <c r="D41" s="9"/>
      <c r="E41" s="9"/>
      <c r="F41" s="9"/>
      <c r="G41" s="9"/>
      <c r="H41" s="9"/>
      <c r="I41" s="10"/>
      <c r="J41" s="10"/>
    </row>
    <row r="42" spans="1:10" x14ac:dyDescent="0.25">
      <c r="C42" s="9"/>
      <c r="D42" s="9"/>
      <c r="E42" s="9"/>
      <c r="F42" s="9"/>
      <c r="G42" s="9"/>
      <c r="H42" s="9"/>
      <c r="I42" s="10"/>
      <c r="J42" s="10"/>
    </row>
    <row r="43" spans="1:10" x14ac:dyDescent="0.25">
      <c r="C43" s="9"/>
      <c r="D43" s="9"/>
      <c r="E43" s="9"/>
      <c r="F43" s="9"/>
      <c r="G43" s="9"/>
      <c r="H43" s="9"/>
      <c r="I43" s="10"/>
      <c r="J43" s="10"/>
    </row>
    <row r="44" spans="1:10" x14ac:dyDescent="0.25">
      <c r="A44" s="21" t="s">
        <v>53</v>
      </c>
      <c r="B44" s="21"/>
      <c r="C44" s="12" t="s">
        <v>8</v>
      </c>
      <c r="D44" s="12" t="s">
        <v>9</v>
      </c>
      <c r="E44" s="12" t="s">
        <v>10</v>
      </c>
      <c r="F44" s="12" t="s">
        <v>11</v>
      </c>
      <c r="G44" s="12" t="s">
        <v>12</v>
      </c>
      <c r="H44" s="15" t="s">
        <v>13</v>
      </c>
      <c r="I44" s="18"/>
      <c r="J44" s="18"/>
    </row>
    <row r="45" spans="1:10" x14ac:dyDescent="0.25">
      <c r="A45" s="20" t="s">
        <v>54</v>
      </c>
      <c r="B45" s="20"/>
      <c r="C45" s="11">
        <v>44865</v>
      </c>
      <c r="D45" s="11">
        <v>0</v>
      </c>
      <c r="E45" s="11">
        <v>26757</v>
      </c>
      <c r="F45" s="11">
        <v>0</v>
      </c>
      <c r="G45" s="11">
        <f>SUM(C45:F45)</f>
        <v>71622</v>
      </c>
      <c r="H45" s="17">
        <f>ROUND(G45/825,2)</f>
        <v>86.81</v>
      </c>
      <c r="I45" s="10"/>
      <c r="J45" s="10"/>
    </row>
    <row r="46" spans="1:10" x14ac:dyDescent="0.25">
      <c r="A46" s="20" t="s">
        <v>55</v>
      </c>
      <c r="B46" s="20"/>
      <c r="C46" s="11">
        <v>29200</v>
      </c>
      <c r="D46" s="11">
        <v>0</v>
      </c>
      <c r="E46" s="11">
        <v>4557</v>
      </c>
      <c r="F46" s="11">
        <v>0</v>
      </c>
      <c r="G46" s="11">
        <f>SUM(C46:F46)</f>
        <v>33757</v>
      </c>
      <c r="H46" s="17">
        <f>ROUND(G46/825,2)</f>
        <v>40.92</v>
      </c>
      <c r="I46" s="10"/>
      <c r="J46" s="10"/>
    </row>
    <row r="47" spans="1:10" x14ac:dyDescent="0.25">
      <c r="A47" s="20" t="s">
        <v>56</v>
      </c>
      <c r="B47" s="20"/>
      <c r="C47" s="11">
        <v>0</v>
      </c>
      <c r="D47" s="11">
        <v>0</v>
      </c>
      <c r="E47" s="11">
        <v>0</v>
      </c>
      <c r="F47" s="11">
        <v>0</v>
      </c>
      <c r="G47" s="11">
        <f>SUM(C47:F47)</f>
        <v>0</v>
      </c>
      <c r="H47" s="17">
        <f>ROUND(G47/825,2)</f>
        <v>0</v>
      </c>
      <c r="I47" s="10"/>
      <c r="J47" s="10"/>
    </row>
    <row r="48" spans="1:10" x14ac:dyDescent="0.25">
      <c r="C48" s="9"/>
      <c r="D48" s="9"/>
      <c r="E48" s="9"/>
      <c r="F48" s="9"/>
      <c r="G48" s="9"/>
      <c r="H48" s="9"/>
      <c r="I48" s="10"/>
      <c r="J48" s="10"/>
    </row>
    <row r="49" spans="1:10" x14ac:dyDescent="0.25">
      <c r="C49" s="9"/>
      <c r="D49" s="9"/>
      <c r="E49" s="9"/>
      <c r="F49" s="9"/>
      <c r="G49" s="9"/>
      <c r="H49" s="9"/>
      <c r="I49" s="10"/>
      <c r="J49" s="10"/>
    </row>
    <row r="50" spans="1:10" x14ac:dyDescent="0.25">
      <c r="C50" s="9"/>
      <c r="D50" s="9"/>
      <c r="E50" s="9"/>
      <c r="F50" s="9"/>
      <c r="G50" s="9"/>
      <c r="H50" s="9"/>
      <c r="I50" s="10"/>
      <c r="J50" s="10"/>
    </row>
    <row r="51" spans="1:10" x14ac:dyDescent="0.25">
      <c r="C51" s="9"/>
      <c r="D51" s="9"/>
      <c r="E51" s="9"/>
      <c r="F51" s="9"/>
      <c r="G51" s="9"/>
      <c r="H51" s="9"/>
      <c r="I51" s="10"/>
      <c r="J51" s="10"/>
    </row>
    <row r="52" spans="1:10" x14ac:dyDescent="0.25">
      <c r="A52" s="21" t="s">
        <v>57</v>
      </c>
      <c r="B52" s="21"/>
      <c r="C52" s="15" t="s">
        <v>2</v>
      </c>
      <c r="D52" s="15">
        <v>2023</v>
      </c>
      <c r="E52" s="15" t="s">
        <v>59</v>
      </c>
      <c r="F52" s="14"/>
      <c r="G52" s="15" t="s">
        <v>60</v>
      </c>
      <c r="H52" s="15" t="s">
        <v>2</v>
      </c>
      <c r="I52" s="13" t="s">
        <v>61</v>
      </c>
      <c r="J52" s="13" t="s">
        <v>59</v>
      </c>
    </row>
    <row r="53" spans="1:10" x14ac:dyDescent="0.25">
      <c r="A53" s="20" t="s">
        <v>58</v>
      </c>
      <c r="B53" s="20"/>
      <c r="C53" s="16">
        <f>ROUND(0.6918, 4)</f>
        <v>0.69179999999999997</v>
      </c>
      <c r="D53" s="16">
        <f>ROUND(0.6227, 4)</f>
        <v>0.62270000000000003</v>
      </c>
      <c r="E53" s="16">
        <f>ROUND(0.777, 4)</f>
        <v>0.77700000000000002</v>
      </c>
      <c r="F53" s="9"/>
      <c r="G53" s="15" t="s">
        <v>62</v>
      </c>
      <c r="H53" s="22" t="s">
        <v>63</v>
      </c>
      <c r="I53" s="24" t="s">
        <v>64</v>
      </c>
      <c r="J53" s="24" t="s">
        <v>65</v>
      </c>
    </row>
    <row r="54" spans="1:10" x14ac:dyDescent="0.25">
      <c r="A54" s="20" t="s">
        <v>66</v>
      </c>
      <c r="B54" s="20"/>
      <c r="C54" s="16">
        <f>ROUND(0.6571, 4)</f>
        <v>0.65710000000000002</v>
      </c>
      <c r="D54" s="16">
        <f>ROUND(0.5833, 4)</f>
        <v>0.58330000000000004</v>
      </c>
      <c r="E54" s="16">
        <f>ROUND(0.7608, 4)</f>
        <v>0.76080000000000003</v>
      </c>
      <c r="F54" s="9"/>
      <c r="G54" s="15" t="s">
        <v>67</v>
      </c>
      <c r="H54" s="23"/>
      <c r="I54" s="25"/>
      <c r="J54" s="25"/>
    </row>
    <row r="55" spans="1:10" x14ac:dyDescent="0.25">
      <c r="C55" s="9"/>
      <c r="D55" s="9"/>
      <c r="E55" s="9"/>
      <c r="F55" s="9"/>
      <c r="G55" s="9"/>
      <c r="H55" s="9"/>
      <c r="I55" s="10"/>
      <c r="J55" s="10"/>
    </row>
    <row r="56" spans="1:10" x14ac:dyDescent="0.25">
      <c r="C56" s="9"/>
      <c r="D56" s="9"/>
      <c r="E56" s="9"/>
      <c r="F56" s="9"/>
      <c r="G56" s="9"/>
      <c r="H56" s="9"/>
      <c r="I56" s="10"/>
      <c r="J56" s="10"/>
    </row>
    <row r="57" spans="1:10" x14ac:dyDescent="0.25">
      <c r="C57" s="9"/>
      <c r="D57" s="9"/>
      <c r="E57" s="9"/>
      <c r="F57" s="9"/>
      <c r="G57" s="9"/>
      <c r="H57" s="9"/>
      <c r="I57" s="10"/>
      <c r="J57" s="10"/>
    </row>
    <row r="58" spans="1:10" x14ac:dyDescent="0.25">
      <c r="A58" s="21" t="s">
        <v>68</v>
      </c>
      <c r="B58" s="21"/>
      <c r="C58" s="15" t="s">
        <v>2</v>
      </c>
      <c r="D58" s="15" t="s">
        <v>258</v>
      </c>
      <c r="E58" s="15" t="s">
        <v>70</v>
      </c>
      <c r="F58" s="15" t="s">
        <v>71</v>
      </c>
      <c r="G58" s="15" t="s">
        <v>72</v>
      </c>
      <c r="H58" s="14"/>
      <c r="I58" s="18"/>
      <c r="J58" s="18"/>
    </row>
    <row r="59" spans="1:10" x14ac:dyDescent="0.25">
      <c r="A59" s="20" t="s">
        <v>73</v>
      </c>
      <c r="B59" s="20"/>
      <c r="C59" s="17">
        <v>35.39</v>
      </c>
      <c r="D59" s="17">
        <v>86.44</v>
      </c>
      <c r="E59" s="17">
        <v>81.84</v>
      </c>
      <c r="F59" s="17">
        <v>48</v>
      </c>
      <c r="G59" s="17">
        <f>12/4*C59</f>
        <v>106.17</v>
      </c>
      <c r="H59" s="9"/>
      <c r="I59" s="10"/>
      <c r="J59" s="10"/>
    </row>
    <row r="60" spans="1:10" x14ac:dyDescent="0.25">
      <c r="A60" s="20" t="s">
        <v>74</v>
      </c>
      <c r="B60" s="20"/>
      <c r="C60" s="17">
        <v>15.82</v>
      </c>
      <c r="D60" s="17">
        <v>42.79</v>
      </c>
      <c r="E60" s="17">
        <v>55.63</v>
      </c>
      <c r="F60" s="17">
        <v>55.33</v>
      </c>
      <c r="G60" s="17">
        <f>12/4*C60</f>
        <v>47.46</v>
      </c>
      <c r="H60" s="9"/>
      <c r="I60" s="10"/>
      <c r="J60" s="10"/>
    </row>
    <row r="61" spans="1:10" x14ac:dyDescent="0.25">
      <c r="A61" s="20" t="s">
        <v>75</v>
      </c>
      <c r="B61" s="20"/>
      <c r="C61" s="17">
        <v>86.81</v>
      </c>
      <c r="D61" s="17">
        <v>221.57</v>
      </c>
      <c r="E61" s="17">
        <v>257.88</v>
      </c>
      <c r="F61" s="17">
        <v>242.78</v>
      </c>
      <c r="G61" s="17">
        <f>12/4*C61</f>
        <v>260.43</v>
      </c>
      <c r="H61" s="9"/>
      <c r="I61" s="10"/>
      <c r="J61" s="10"/>
    </row>
    <row r="62" spans="1:10" x14ac:dyDescent="0.25">
      <c r="A62" s="20" t="s">
        <v>76</v>
      </c>
      <c r="B62" s="20"/>
      <c r="C62" s="17">
        <v>40.92</v>
      </c>
      <c r="D62" s="17">
        <v>100.53</v>
      </c>
      <c r="E62" s="17">
        <v>103.14</v>
      </c>
      <c r="F62" s="17">
        <v>68.31</v>
      </c>
      <c r="G62" s="17">
        <f>12/4*C62</f>
        <v>122.76</v>
      </c>
      <c r="H62" s="9"/>
      <c r="I62" s="10"/>
      <c r="J62" s="10"/>
    </row>
    <row r="63" spans="1:10" x14ac:dyDescent="0.25">
      <c r="C63" s="9"/>
      <c r="D63" s="9"/>
      <c r="E63" s="9"/>
      <c r="F63" s="9"/>
      <c r="G63" s="9"/>
      <c r="H63" s="9"/>
      <c r="I63" s="10"/>
      <c r="J63" s="10"/>
    </row>
    <row r="64" spans="1:10" x14ac:dyDescent="0.25">
      <c r="C64" s="9"/>
      <c r="D64" s="9"/>
      <c r="E64" s="9"/>
      <c r="F64" s="9"/>
      <c r="G64" s="9"/>
      <c r="H64" s="9"/>
      <c r="I64" s="10"/>
      <c r="J64" s="10"/>
    </row>
    <row r="65" spans="1:10" x14ac:dyDescent="0.25">
      <c r="A65" s="19" t="s">
        <v>60</v>
      </c>
      <c r="B65" s="26"/>
      <c r="C65" s="9"/>
      <c r="D65" s="9"/>
      <c r="E65" s="9"/>
      <c r="F65" s="9"/>
      <c r="G65" s="9"/>
      <c r="H65" s="9"/>
      <c r="I65" s="10"/>
      <c r="J65" s="10"/>
    </row>
    <row r="66" spans="1:10" x14ac:dyDescent="0.25">
      <c r="A66" s="3" t="s">
        <v>77</v>
      </c>
      <c r="B66" s="1" t="s">
        <v>259</v>
      </c>
      <c r="C66" s="9"/>
      <c r="D66" s="9"/>
      <c r="E66" s="9"/>
      <c r="F66" s="9"/>
      <c r="G66" s="9"/>
      <c r="H66" s="9"/>
      <c r="I66" s="10"/>
      <c r="J66" s="10"/>
    </row>
    <row r="67" spans="1:10" x14ac:dyDescent="0.25">
      <c r="A67" s="3" t="s">
        <v>70</v>
      </c>
      <c r="B67" s="1" t="s">
        <v>79</v>
      </c>
      <c r="C67" s="9"/>
      <c r="D67" s="9"/>
      <c r="E67" s="9"/>
      <c r="F67" s="9"/>
      <c r="G67" s="9"/>
      <c r="H67" s="9"/>
      <c r="I67" s="10"/>
      <c r="J67" s="10"/>
    </row>
    <row r="68" spans="1:10" x14ac:dyDescent="0.25">
      <c r="A68" s="3" t="s">
        <v>71</v>
      </c>
      <c r="B68" s="1" t="s">
        <v>80</v>
      </c>
      <c r="C68" s="9"/>
      <c r="D68" s="9"/>
      <c r="E68" s="9"/>
      <c r="F68" s="9"/>
      <c r="G68" s="9"/>
      <c r="H68" s="9"/>
      <c r="I68" s="10"/>
      <c r="J68" s="10"/>
    </row>
    <row r="69" spans="1:10" x14ac:dyDescent="0.25">
      <c r="A69" s="3" t="s">
        <v>72</v>
      </c>
      <c r="B69" s="1" t="s">
        <v>81</v>
      </c>
      <c r="C69" s="9"/>
      <c r="D69" s="9"/>
      <c r="E69" s="9"/>
      <c r="F69" s="9"/>
      <c r="G69" s="9"/>
      <c r="H69" s="9"/>
      <c r="I69" s="10"/>
      <c r="J69" s="10"/>
    </row>
    <row r="70" spans="1:10" x14ac:dyDescent="0.25">
      <c r="C70" s="9"/>
      <c r="D70" s="9"/>
      <c r="E70" s="9"/>
      <c r="F70" s="9"/>
      <c r="G70" s="9"/>
      <c r="H70" s="9"/>
      <c r="I70" s="10"/>
      <c r="J70" s="10"/>
    </row>
    <row r="71" spans="1:10" x14ac:dyDescent="0.25">
      <c r="C71" s="9"/>
      <c r="D71" s="9"/>
      <c r="E71" s="9"/>
      <c r="F71" s="9"/>
      <c r="G71" s="9"/>
      <c r="H71" s="9"/>
      <c r="I71" s="10"/>
      <c r="J71" s="10"/>
    </row>
    <row r="72" spans="1:10" x14ac:dyDescent="0.25">
      <c r="C72" s="9"/>
      <c r="D72" s="9"/>
      <c r="E72" s="9"/>
      <c r="F72" s="9"/>
      <c r="G72" s="9"/>
      <c r="H72" s="9"/>
      <c r="I72" s="10"/>
      <c r="J72" s="10"/>
    </row>
    <row r="73" spans="1:10" x14ac:dyDescent="0.25">
      <c r="C73" s="9"/>
      <c r="D73" s="9"/>
      <c r="E73" s="9"/>
      <c r="F73" s="9"/>
      <c r="G73" s="9"/>
      <c r="H73" s="9"/>
      <c r="I73" s="10"/>
      <c r="J73" s="10"/>
    </row>
  </sheetData>
  <mergeCells count="19">
    <mergeCell ref="A60:B60"/>
    <mergeCell ref="A61:B61"/>
    <mergeCell ref="A62:B62"/>
    <mergeCell ref="A65:B65"/>
    <mergeCell ref="I53:I54"/>
    <mergeCell ref="J53:J54"/>
    <mergeCell ref="A54:B54"/>
    <mergeCell ref="A58:B58"/>
    <mergeCell ref="A59:B59"/>
    <mergeCell ref="A46:B46"/>
    <mergeCell ref="A47:B47"/>
    <mergeCell ref="A52:B52"/>
    <mergeCell ref="A53:B53"/>
    <mergeCell ref="H53:H54"/>
    <mergeCell ref="C7:G7"/>
    <mergeCell ref="A38:B38"/>
    <mergeCell ref="A39:B39"/>
    <mergeCell ref="A44:B44"/>
    <mergeCell ref="A45:B4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J77"/>
  <sheetViews>
    <sheetView workbookViewId="0">
      <selection activeCell="C9" sqref="C9:J72"/>
    </sheetView>
  </sheetViews>
  <sheetFormatPr defaultRowHeight="15" x14ac:dyDescent="0.25"/>
  <cols>
    <col min="1" max="1" width="38.85546875" bestFit="1" customWidth="1"/>
    <col min="2" max="2" width="79" bestFit="1" customWidth="1"/>
    <col min="3" max="3" width="14" bestFit="1" customWidth="1"/>
    <col min="4" max="4" width="25.85546875" bestFit="1" customWidth="1"/>
    <col min="5" max="5" width="16.42578125" bestFit="1" customWidth="1"/>
    <col min="6" max="6" width="10.5703125" bestFit="1" customWidth="1"/>
    <col min="7" max="7" width="68.28515625" bestFit="1" customWidth="1"/>
    <col min="8" max="9" width="20" bestFit="1" customWidth="1"/>
    <col min="10" max="10" width="30.5703125" bestFit="1" customWidth="1"/>
  </cols>
  <sheetData>
    <row r="2" spans="1:10" ht="18.75" x14ac:dyDescent="0.3">
      <c r="A2" s="3" t="s">
        <v>0</v>
      </c>
      <c r="B2" s="4" t="s">
        <v>93</v>
      </c>
    </row>
    <row r="3" spans="1:10" x14ac:dyDescent="0.25">
      <c r="A3" s="3" t="s">
        <v>2</v>
      </c>
      <c r="B3" s="1" t="s">
        <v>3</v>
      </c>
    </row>
    <row r="4" spans="1:10" x14ac:dyDescent="0.25">
      <c r="A4" s="3" t="s">
        <v>4</v>
      </c>
      <c r="B4" s="1">
        <v>5150</v>
      </c>
    </row>
    <row r="7" spans="1:10" x14ac:dyDescent="0.25">
      <c r="C7" s="19" t="s">
        <v>5</v>
      </c>
      <c r="D7" s="20"/>
      <c r="E7" s="20"/>
      <c r="F7" s="20"/>
      <c r="G7" s="20"/>
    </row>
    <row r="8" spans="1:10" x14ac:dyDescent="0.25">
      <c r="A8" s="3" t="s">
        <v>6</v>
      </c>
      <c r="B8" s="3" t="s">
        <v>7</v>
      </c>
      <c r="C8" s="3" t="s">
        <v>8</v>
      </c>
      <c r="D8" s="3" t="s">
        <v>9</v>
      </c>
      <c r="E8" s="3" t="s">
        <v>10</v>
      </c>
      <c r="F8" s="3" t="s">
        <v>11</v>
      </c>
      <c r="G8" s="3" t="s">
        <v>12</v>
      </c>
      <c r="H8" s="3" t="s">
        <v>13</v>
      </c>
      <c r="I8" s="3" t="s">
        <v>14</v>
      </c>
      <c r="J8" s="3" t="s">
        <v>15</v>
      </c>
    </row>
    <row r="9" spans="1:10" x14ac:dyDescent="0.25">
      <c r="A9" s="1" t="s">
        <v>16</v>
      </c>
      <c r="B9" s="1" t="s">
        <v>17</v>
      </c>
      <c r="C9" s="11"/>
      <c r="D9" s="11"/>
      <c r="E9" s="11">
        <v>27</v>
      </c>
      <c r="F9" s="11"/>
      <c r="G9" s="11">
        <f t="shared" ref="G9:G45" si="0">SUM(C9:F9)</f>
        <v>27</v>
      </c>
      <c r="H9" s="17">
        <f t="shared" ref="H9:H45" si="1">ROUND(G9/5150,2)</f>
        <v>0.01</v>
      </c>
      <c r="I9" s="16">
        <f t="shared" ref="I9:I45" si="2">ROUND(G9/$G$46,3)</f>
        <v>0</v>
      </c>
      <c r="J9" s="16">
        <f>ROUND(G9/80-1,2)</f>
        <v>-0.66</v>
      </c>
    </row>
    <row r="10" spans="1:10" x14ac:dyDescent="0.25">
      <c r="A10" s="1" t="s">
        <v>16</v>
      </c>
      <c r="B10" s="1" t="s">
        <v>19</v>
      </c>
      <c r="C10" s="11">
        <v>54590</v>
      </c>
      <c r="D10" s="11"/>
      <c r="E10" s="11">
        <v>6080</v>
      </c>
      <c r="F10" s="11">
        <v>100</v>
      </c>
      <c r="G10" s="11">
        <f t="shared" si="0"/>
        <v>60770</v>
      </c>
      <c r="H10" s="17">
        <f t="shared" si="1"/>
        <v>11.8</v>
      </c>
      <c r="I10" s="16">
        <f t="shared" si="2"/>
        <v>8.2000000000000003E-2</v>
      </c>
      <c r="J10" s="16">
        <f>ROUND(G10/52260-1,2)</f>
        <v>0.16</v>
      </c>
    </row>
    <row r="11" spans="1:10" x14ac:dyDescent="0.25">
      <c r="A11" s="1" t="s">
        <v>16</v>
      </c>
      <c r="B11" s="1" t="s">
        <v>20</v>
      </c>
      <c r="C11" s="11">
        <v>65190</v>
      </c>
      <c r="D11" s="11"/>
      <c r="E11" s="11"/>
      <c r="F11" s="11"/>
      <c r="G11" s="11">
        <f t="shared" si="0"/>
        <v>65190</v>
      </c>
      <c r="H11" s="17">
        <f t="shared" si="1"/>
        <v>12.66</v>
      </c>
      <c r="I11" s="16">
        <f t="shared" si="2"/>
        <v>8.7999999999999995E-2</v>
      </c>
      <c r="J11" s="16">
        <f>ROUND(G11/71170-1,2)</f>
        <v>-0.08</v>
      </c>
    </row>
    <row r="12" spans="1:10" x14ac:dyDescent="0.25">
      <c r="A12" s="1" t="s">
        <v>16</v>
      </c>
      <c r="B12" s="1" t="s">
        <v>94</v>
      </c>
      <c r="C12" s="11"/>
      <c r="D12" s="11"/>
      <c r="E12" s="11">
        <v>128</v>
      </c>
      <c r="F12" s="11"/>
      <c r="G12" s="11">
        <f t="shared" si="0"/>
        <v>128</v>
      </c>
      <c r="H12" s="17">
        <f t="shared" si="1"/>
        <v>0.02</v>
      </c>
      <c r="I12" s="16">
        <f t="shared" si="2"/>
        <v>0</v>
      </c>
      <c r="J12" s="16">
        <f>ROUND(G12/136-1,2)</f>
        <v>-0.06</v>
      </c>
    </row>
    <row r="13" spans="1:10" x14ac:dyDescent="0.25">
      <c r="A13" s="1" t="s">
        <v>16</v>
      </c>
      <c r="B13" s="1" t="s">
        <v>21</v>
      </c>
      <c r="C13" s="11"/>
      <c r="D13" s="11"/>
      <c r="E13" s="11">
        <v>106</v>
      </c>
      <c r="F13" s="11"/>
      <c r="G13" s="11">
        <f t="shared" si="0"/>
        <v>106</v>
      </c>
      <c r="H13" s="17">
        <f t="shared" si="1"/>
        <v>0.02</v>
      </c>
      <c r="I13" s="16">
        <f t="shared" si="2"/>
        <v>0</v>
      </c>
      <c r="J13" s="16">
        <f>ROUND(G13/222-1,2)</f>
        <v>-0.52</v>
      </c>
    </row>
    <row r="14" spans="1:10" x14ac:dyDescent="0.25">
      <c r="A14" s="1" t="s">
        <v>16</v>
      </c>
      <c r="B14" s="1" t="s">
        <v>22</v>
      </c>
      <c r="C14" s="11"/>
      <c r="D14" s="11"/>
      <c r="E14" s="11">
        <v>1800</v>
      </c>
      <c r="F14" s="11"/>
      <c r="G14" s="11">
        <f t="shared" si="0"/>
        <v>1800</v>
      </c>
      <c r="H14" s="17">
        <f t="shared" si="1"/>
        <v>0.35</v>
      </c>
      <c r="I14" s="16">
        <f t="shared" si="2"/>
        <v>2E-3</v>
      </c>
      <c r="J14" s="16">
        <f>ROUND(G14/1500-1,2)</f>
        <v>0.2</v>
      </c>
    </row>
    <row r="15" spans="1:10" x14ac:dyDescent="0.25">
      <c r="A15" s="1" t="s">
        <v>16</v>
      </c>
      <c r="B15" s="1" t="s">
        <v>23</v>
      </c>
      <c r="C15" s="11"/>
      <c r="D15" s="11"/>
      <c r="E15" s="11">
        <v>108400</v>
      </c>
      <c r="F15" s="11"/>
      <c r="G15" s="11">
        <f t="shared" si="0"/>
        <v>108400</v>
      </c>
      <c r="H15" s="17">
        <f t="shared" si="1"/>
        <v>21.05</v>
      </c>
      <c r="I15" s="16">
        <f t="shared" si="2"/>
        <v>0.14699999999999999</v>
      </c>
      <c r="J15" s="16">
        <f>ROUND(G15/40683-1,2)</f>
        <v>1.66</v>
      </c>
    </row>
    <row r="16" spans="1:10" x14ac:dyDescent="0.25">
      <c r="A16" s="1" t="s">
        <v>16</v>
      </c>
      <c r="B16" s="1" t="s">
        <v>24</v>
      </c>
      <c r="C16" s="11">
        <v>58820</v>
      </c>
      <c r="D16" s="11"/>
      <c r="E16" s="11">
        <v>8260</v>
      </c>
      <c r="F16" s="11"/>
      <c r="G16" s="11">
        <f t="shared" si="0"/>
        <v>67080</v>
      </c>
      <c r="H16" s="17">
        <f t="shared" si="1"/>
        <v>13.03</v>
      </c>
      <c r="I16" s="16">
        <f t="shared" si="2"/>
        <v>9.0999999999999998E-2</v>
      </c>
      <c r="J16" s="16">
        <f>ROUND(G16/68230-1,2)</f>
        <v>-0.02</v>
      </c>
    </row>
    <row r="17" spans="1:10" x14ac:dyDescent="0.25">
      <c r="A17" s="1" t="s">
        <v>16</v>
      </c>
      <c r="B17" s="1" t="s">
        <v>25</v>
      </c>
      <c r="C17" s="11"/>
      <c r="D17" s="11"/>
      <c r="E17" s="11">
        <v>4050</v>
      </c>
      <c r="F17" s="11"/>
      <c r="G17" s="11">
        <f t="shared" si="0"/>
        <v>4050</v>
      </c>
      <c r="H17" s="17">
        <f t="shared" si="1"/>
        <v>0.79</v>
      </c>
      <c r="I17" s="16">
        <f t="shared" si="2"/>
        <v>5.0000000000000001E-3</v>
      </c>
      <c r="J17" s="16">
        <f>ROUND(G17/2000-1,2)</f>
        <v>1.03</v>
      </c>
    </row>
    <row r="18" spans="1:10" x14ac:dyDescent="0.25">
      <c r="A18" s="1" t="s">
        <v>16</v>
      </c>
      <c r="B18" s="1" t="s">
        <v>26</v>
      </c>
      <c r="C18" s="11">
        <v>85000</v>
      </c>
      <c r="D18" s="11"/>
      <c r="E18" s="11"/>
      <c r="F18" s="11">
        <v>100</v>
      </c>
      <c r="G18" s="11">
        <f t="shared" si="0"/>
        <v>85100</v>
      </c>
      <c r="H18" s="17">
        <f t="shared" si="1"/>
        <v>16.52</v>
      </c>
      <c r="I18" s="16">
        <f t="shared" si="2"/>
        <v>0.115</v>
      </c>
      <c r="J18" s="16">
        <f>ROUND(G18/86250-1,2)</f>
        <v>-0.01</v>
      </c>
    </row>
    <row r="19" spans="1:10" x14ac:dyDescent="0.25">
      <c r="A19" s="1" t="s">
        <v>16</v>
      </c>
      <c r="B19" s="1" t="s">
        <v>27</v>
      </c>
      <c r="C19" s="11"/>
      <c r="D19" s="11"/>
      <c r="E19" s="11">
        <v>880</v>
      </c>
      <c r="F19" s="11"/>
      <c r="G19" s="11">
        <f t="shared" si="0"/>
        <v>880</v>
      </c>
      <c r="H19" s="17">
        <f t="shared" si="1"/>
        <v>0.17</v>
      </c>
      <c r="I19" s="16">
        <f t="shared" si="2"/>
        <v>1E-3</v>
      </c>
      <c r="J19" s="16">
        <f>ROUND(G19/843-1,2)</f>
        <v>0.04</v>
      </c>
    </row>
    <row r="20" spans="1:10" x14ac:dyDescent="0.25">
      <c r="A20" s="1" t="s">
        <v>16</v>
      </c>
      <c r="B20" s="1" t="s">
        <v>28</v>
      </c>
      <c r="C20" s="11"/>
      <c r="D20" s="11"/>
      <c r="E20" s="11">
        <v>670</v>
      </c>
      <c r="F20" s="11"/>
      <c r="G20" s="11">
        <f t="shared" si="0"/>
        <v>670</v>
      </c>
      <c r="H20" s="17">
        <f t="shared" si="1"/>
        <v>0.13</v>
      </c>
      <c r="I20" s="16">
        <f t="shared" si="2"/>
        <v>1E-3</v>
      </c>
      <c r="J20" s="16">
        <f>ROUND(G20/392-1,2)</f>
        <v>0.71</v>
      </c>
    </row>
    <row r="21" spans="1:10" x14ac:dyDescent="0.25">
      <c r="A21" s="1" t="s">
        <v>16</v>
      </c>
      <c r="B21" s="1" t="s">
        <v>29</v>
      </c>
      <c r="C21" s="11"/>
      <c r="D21" s="11"/>
      <c r="E21" s="11">
        <v>970</v>
      </c>
      <c r="F21" s="11"/>
      <c r="G21" s="11">
        <f t="shared" si="0"/>
        <v>970</v>
      </c>
      <c r="H21" s="17">
        <f t="shared" si="1"/>
        <v>0.19</v>
      </c>
      <c r="I21" s="16">
        <f t="shared" si="2"/>
        <v>1E-3</v>
      </c>
      <c r="J21" s="16">
        <f>ROUND(G21/800-1,2)</f>
        <v>0.21</v>
      </c>
    </row>
    <row r="22" spans="1:10" x14ac:dyDescent="0.25">
      <c r="A22" s="1" t="s">
        <v>16</v>
      </c>
      <c r="B22" s="1" t="s">
        <v>30</v>
      </c>
      <c r="C22" s="11"/>
      <c r="D22" s="11"/>
      <c r="E22" s="11">
        <v>450</v>
      </c>
      <c r="F22" s="11"/>
      <c r="G22" s="11">
        <f t="shared" si="0"/>
        <v>450</v>
      </c>
      <c r="H22" s="17">
        <f t="shared" si="1"/>
        <v>0.09</v>
      </c>
      <c r="I22" s="16">
        <f t="shared" si="2"/>
        <v>1E-3</v>
      </c>
      <c r="J22" s="16">
        <f>ROUND(G22/980-1,2)</f>
        <v>-0.54</v>
      </c>
    </row>
    <row r="23" spans="1:10" x14ac:dyDescent="0.25">
      <c r="A23" s="1" t="s">
        <v>16</v>
      </c>
      <c r="B23" s="1" t="s">
        <v>31</v>
      </c>
      <c r="C23" s="11"/>
      <c r="D23" s="11"/>
      <c r="E23" s="11">
        <v>1720</v>
      </c>
      <c r="F23" s="11"/>
      <c r="G23" s="11">
        <f t="shared" si="0"/>
        <v>1720</v>
      </c>
      <c r="H23" s="17">
        <f t="shared" si="1"/>
        <v>0.33</v>
      </c>
      <c r="I23" s="16">
        <f t="shared" si="2"/>
        <v>2E-3</v>
      </c>
      <c r="J23" s="16">
        <f>ROUND(G23/990-1,2)</f>
        <v>0.74</v>
      </c>
    </row>
    <row r="24" spans="1:10" x14ac:dyDescent="0.25">
      <c r="A24" s="1" t="s">
        <v>16</v>
      </c>
      <c r="B24" s="1" t="s">
        <v>32</v>
      </c>
      <c r="C24" s="11"/>
      <c r="D24" s="11">
        <v>150</v>
      </c>
      <c r="E24" s="11"/>
      <c r="F24" s="11"/>
      <c r="G24" s="11">
        <f t="shared" si="0"/>
        <v>150</v>
      </c>
      <c r="H24" s="17">
        <f t="shared" si="1"/>
        <v>0.03</v>
      </c>
      <c r="I24" s="16">
        <f t="shared" si="2"/>
        <v>0</v>
      </c>
      <c r="J24" s="16">
        <f>ROUND(G24/140-1,2)</f>
        <v>7.0000000000000007E-2</v>
      </c>
    </row>
    <row r="25" spans="1:10" x14ac:dyDescent="0.25">
      <c r="A25" s="1" t="s">
        <v>16</v>
      </c>
      <c r="B25" s="1" t="s">
        <v>35</v>
      </c>
      <c r="C25" s="11"/>
      <c r="D25" s="11"/>
      <c r="E25" s="11">
        <v>67260</v>
      </c>
      <c r="F25" s="11"/>
      <c r="G25" s="11">
        <f t="shared" si="0"/>
        <v>67260</v>
      </c>
      <c r="H25" s="17">
        <f t="shared" si="1"/>
        <v>13.06</v>
      </c>
      <c r="I25" s="16">
        <f t="shared" si="2"/>
        <v>9.0999999999999998E-2</v>
      </c>
      <c r="J25" s="16">
        <f>ROUND(G25/49920-1,2)</f>
        <v>0.35</v>
      </c>
    </row>
    <row r="26" spans="1:10" x14ac:dyDescent="0.25">
      <c r="A26" s="1" t="s">
        <v>16</v>
      </c>
      <c r="B26" s="1" t="s">
        <v>36</v>
      </c>
      <c r="C26" s="11"/>
      <c r="D26" s="11"/>
      <c r="E26" s="11">
        <v>6425</v>
      </c>
      <c r="F26" s="11"/>
      <c r="G26" s="11">
        <f t="shared" si="0"/>
        <v>6425</v>
      </c>
      <c r="H26" s="17">
        <f t="shared" si="1"/>
        <v>1.25</v>
      </c>
      <c r="I26" s="16">
        <f t="shared" si="2"/>
        <v>8.9999999999999993E-3</v>
      </c>
      <c r="J26" s="16">
        <f>ROUND(G26/4085-1,2)</f>
        <v>0.56999999999999995</v>
      </c>
    </row>
    <row r="27" spans="1:10" x14ac:dyDescent="0.25">
      <c r="A27" s="1" t="s">
        <v>16</v>
      </c>
      <c r="B27" s="1" t="s">
        <v>37</v>
      </c>
      <c r="C27" s="11"/>
      <c r="D27" s="11"/>
      <c r="E27" s="11">
        <v>16360</v>
      </c>
      <c r="F27" s="11"/>
      <c r="G27" s="11">
        <f t="shared" si="0"/>
        <v>16360</v>
      </c>
      <c r="H27" s="17">
        <f t="shared" si="1"/>
        <v>3.18</v>
      </c>
      <c r="I27" s="16">
        <f t="shared" si="2"/>
        <v>2.1999999999999999E-2</v>
      </c>
      <c r="J27" s="16">
        <f>ROUND(G27/9250-1,2)</f>
        <v>0.77</v>
      </c>
    </row>
    <row r="28" spans="1:10" x14ac:dyDescent="0.25">
      <c r="A28" s="1" t="s">
        <v>16</v>
      </c>
      <c r="B28" s="1" t="s">
        <v>38</v>
      </c>
      <c r="C28" s="11"/>
      <c r="D28" s="11"/>
      <c r="E28" s="11">
        <v>114180</v>
      </c>
      <c r="F28" s="11"/>
      <c r="G28" s="11">
        <f t="shared" si="0"/>
        <v>114180</v>
      </c>
      <c r="H28" s="17">
        <f t="shared" si="1"/>
        <v>22.17</v>
      </c>
      <c r="I28" s="16">
        <f t="shared" si="2"/>
        <v>0.155</v>
      </c>
      <c r="J28" s="16">
        <f>ROUND(G28/94500-1,2)</f>
        <v>0.21</v>
      </c>
    </row>
    <row r="29" spans="1:10" x14ac:dyDescent="0.25">
      <c r="A29" s="1" t="s">
        <v>16</v>
      </c>
      <c r="B29" s="1" t="s">
        <v>95</v>
      </c>
      <c r="C29" s="11"/>
      <c r="D29" s="11"/>
      <c r="E29" s="11"/>
      <c r="F29" s="11"/>
      <c r="G29" s="11">
        <f t="shared" si="0"/>
        <v>0</v>
      </c>
      <c r="H29" s="17">
        <f t="shared" si="1"/>
        <v>0</v>
      </c>
      <c r="I29" s="16">
        <f t="shared" si="2"/>
        <v>0</v>
      </c>
      <c r="J29" s="16">
        <f>ROUND(G29/215-1,2)</f>
        <v>-1</v>
      </c>
    </row>
    <row r="30" spans="1:10" x14ac:dyDescent="0.25">
      <c r="A30" s="1" t="s">
        <v>16</v>
      </c>
      <c r="B30" s="1" t="s">
        <v>39</v>
      </c>
      <c r="C30" s="11"/>
      <c r="D30" s="11"/>
      <c r="E30" s="11"/>
      <c r="F30" s="11"/>
      <c r="G30" s="11">
        <f t="shared" si="0"/>
        <v>0</v>
      </c>
      <c r="H30" s="17">
        <f t="shared" si="1"/>
        <v>0</v>
      </c>
      <c r="I30" s="16">
        <f t="shared" si="2"/>
        <v>0</v>
      </c>
      <c r="J30" s="16">
        <f>ROUND(G30/105-1,2)</f>
        <v>-1</v>
      </c>
    </row>
    <row r="31" spans="1:10" x14ac:dyDescent="0.25">
      <c r="A31" s="1" t="s">
        <v>16</v>
      </c>
      <c r="B31" s="1" t="s">
        <v>40</v>
      </c>
      <c r="C31" s="11"/>
      <c r="D31" s="11"/>
      <c r="E31" s="11"/>
      <c r="F31" s="11"/>
      <c r="G31" s="11">
        <f t="shared" si="0"/>
        <v>0</v>
      </c>
      <c r="H31" s="17">
        <f t="shared" si="1"/>
        <v>0</v>
      </c>
      <c r="I31" s="16">
        <f t="shared" si="2"/>
        <v>0</v>
      </c>
      <c r="J31" s="16">
        <f>ROUND(G31/5080-1,2)</f>
        <v>-1</v>
      </c>
    </row>
    <row r="32" spans="1:10" x14ac:dyDescent="0.25">
      <c r="A32" s="1" t="s">
        <v>16</v>
      </c>
      <c r="B32" s="1" t="s">
        <v>33</v>
      </c>
      <c r="C32" s="11"/>
      <c r="D32" s="11"/>
      <c r="E32" s="11"/>
      <c r="F32" s="11"/>
      <c r="G32" s="11">
        <f t="shared" si="0"/>
        <v>0</v>
      </c>
      <c r="H32" s="17">
        <f t="shared" si="1"/>
        <v>0</v>
      </c>
      <c r="I32" s="16">
        <f t="shared" si="2"/>
        <v>0</v>
      </c>
      <c r="J32" s="16"/>
    </row>
    <row r="33" spans="1:10" x14ac:dyDescent="0.25">
      <c r="A33" s="1" t="s">
        <v>16</v>
      </c>
      <c r="B33" s="1" t="s">
        <v>34</v>
      </c>
      <c r="C33" s="11"/>
      <c r="D33" s="11"/>
      <c r="E33" s="11"/>
      <c r="F33" s="11"/>
      <c r="G33" s="11">
        <f t="shared" si="0"/>
        <v>0</v>
      </c>
      <c r="H33" s="17">
        <f t="shared" si="1"/>
        <v>0</v>
      </c>
      <c r="I33" s="16">
        <f t="shared" si="2"/>
        <v>0</v>
      </c>
      <c r="J33" s="16">
        <f>ROUND(G33/318-1,2)</f>
        <v>-1</v>
      </c>
    </row>
    <row r="34" spans="1:10" x14ac:dyDescent="0.25">
      <c r="A34" s="1" t="s">
        <v>16</v>
      </c>
      <c r="B34" s="1" t="s">
        <v>41</v>
      </c>
      <c r="C34" s="11"/>
      <c r="D34" s="11"/>
      <c r="E34" s="11"/>
      <c r="F34" s="11"/>
      <c r="G34" s="11">
        <f t="shared" si="0"/>
        <v>0</v>
      </c>
      <c r="H34" s="17">
        <f t="shared" si="1"/>
        <v>0</v>
      </c>
      <c r="I34" s="16">
        <f t="shared" si="2"/>
        <v>0</v>
      </c>
      <c r="J34" s="16">
        <f>ROUND(G34/2249-1,2)</f>
        <v>-1</v>
      </c>
    </row>
    <row r="35" spans="1:10" x14ac:dyDescent="0.25">
      <c r="A35" s="1" t="s">
        <v>16</v>
      </c>
      <c r="B35" s="1" t="s">
        <v>43</v>
      </c>
      <c r="C35" s="11"/>
      <c r="D35" s="11"/>
      <c r="E35" s="11"/>
      <c r="F35" s="11"/>
      <c r="G35" s="11">
        <f t="shared" si="0"/>
        <v>0</v>
      </c>
      <c r="H35" s="17">
        <f t="shared" si="1"/>
        <v>0</v>
      </c>
      <c r="I35" s="16">
        <f t="shared" si="2"/>
        <v>0</v>
      </c>
      <c r="J35" s="16">
        <f>ROUND(G35/7600-1,2)</f>
        <v>-1</v>
      </c>
    </row>
    <row r="36" spans="1:10" x14ac:dyDescent="0.25">
      <c r="A36" s="1" t="s">
        <v>16</v>
      </c>
      <c r="B36" s="1" t="s">
        <v>42</v>
      </c>
      <c r="C36" s="11"/>
      <c r="D36" s="11"/>
      <c r="E36" s="11"/>
      <c r="F36" s="11"/>
      <c r="G36" s="11">
        <f t="shared" si="0"/>
        <v>0</v>
      </c>
      <c r="H36" s="17">
        <f t="shared" si="1"/>
        <v>0</v>
      </c>
      <c r="I36" s="16">
        <f t="shared" si="2"/>
        <v>0</v>
      </c>
      <c r="J36" s="16">
        <f>ROUND(G36/4620-1,2)</f>
        <v>-1</v>
      </c>
    </row>
    <row r="37" spans="1:10" x14ac:dyDescent="0.25">
      <c r="A37" s="1" t="s">
        <v>16</v>
      </c>
      <c r="B37" s="1" t="s">
        <v>96</v>
      </c>
      <c r="C37" s="11"/>
      <c r="D37" s="11"/>
      <c r="E37" s="11"/>
      <c r="F37" s="11"/>
      <c r="G37" s="11">
        <f t="shared" si="0"/>
        <v>0</v>
      </c>
      <c r="H37" s="17">
        <f t="shared" si="1"/>
        <v>0</v>
      </c>
      <c r="I37" s="16">
        <f t="shared" si="2"/>
        <v>0</v>
      </c>
      <c r="J37" s="16"/>
    </row>
    <row r="38" spans="1:10" x14ac:dyDescent="0.25">
      <c r="A38" s="1" t="s">
        <v>44</v>
      </c>
      <c r="B38" s="1" t="s">
        <v>45</v>
      </c>
      <c r="C38" s="11">
        <v>87280</v>
      </c>
      <c r="D38" s="11"/>
      <c r="E38" s="11"/>
      <c r="F38" s="11">
        <v>370</v>
      </c>
      <c r="G38" s="11">
        <f t="shared" si="0"/>
        <v>87650</v>
      </c>
      <c r="H38" s="17">
        <f t="shared" si="1"/>
        <v>17.02</v>
      </c>
      <c r="I38" s="16">
        <f t="shared" si="2"/>
        <v>0.11899999999999999</v>
      </c>
      <c r="J38" s="16">
        <f>ROUND(G38/85390-1,2)</f>
        <v>0.03</v>
      </c>
    </row>
    <row r="39" spans="1:10" x14ac:dyDescent="0.25">
      <c r="A39" s="1" t="s">
        <v>44</v>
      </c>
      <c r="B39" s="1" t="s">
        <v>47</v>
      </c>
      <c r="C39" s="11"/>
      <c r="D39" s="11"/>
      <c r="E39" s="11"/>
      <c r="F39" s="11">
        <v>7360</v>
      </c>
      <c r="G39" s="11">
        <f t="shared" si="0"/>
        <v>7360</v>
      </c>
      <c r="H39" s="17">
        <f t="shared" si="1"/>
        <v>1.43</v>
      </c>
      <c r="I39" s="16">
        <f t="shared" si="2"/>
        <v>0.01</v>
      </c>
      <c r="J39" s="16">
        <f>ROUND(G39/16340-1,2)</f>
        <v>-0.55000000000000004</v>
      </c>
    </row>
    <row r="40" spans="1:10" x14ac:dyDescent="0.25">
      <c r="A40" s="1" t="s">
        <v>44</v>
      </c>
      <c r="B40" s="1" t="s">
        <v>46</v>
      </c>
      <c r="C40" s="11"/>
      <c r="D40" s="11"/>
      <c r="E40" s="11">
        <v>40340</v>
      </c>
      <c r="F40" s="11"/>
      <c r="G40" s="11">
        <f t="shared" si="0"/>
        <v>40340</v>
      </c>
      <c r="H40" s="17">
        <f t="shared" si="1"/>
        <v>7.83</v>
      </c>
      <c r="I40" s="16">
        <f t="shared" si="2"/>
        <v>5.5E-2</v>
      </c>
      <c r="J40" s="16">
        <f>ROUND(G40/35120-1,2)</f>
        <v>0.15</v>
      </c>
    </row>
    <row r="41" spans="1:10" x14ac:dyDescent="0.25">
      <c r="A41" s="1" t="s">
        <v>48</v>
      </c>
      <c r="B41" s="1" t="s">
        <v>51</v>
      </c>
      <c r="C41" s="11"/>
      <c r="D41" s="11"/>
      <c r="E41" s="11"/>
      <c r="F41" s="11"/>
      <c r="G41" s="11">
        <f t="shared" si="0"/>
        <v>0</v>
      </c>
      <c r="H41" s="17">
        <f t="shared" si="1"/>
        <v>0</v>
      </c>
      <c r="I41" s="16">
        <f t="shared" si="2"/>
        <v>0</v>
      </c>
      <c r="J41" s="16"/>
    </row>
    <row r="42" spans="1:10" x14ac:dyDescent="0.25">
      <c r="A42" s="1" t="s">
        <v>48</v>
      </c>
      <c r="B42" s="1" t="s">
        <v>86</v>
      </c>
      <c r="C42" s="11"/>
      <c r="D42" s="11"/>
      <c r="E42" s="11"/>
      <c r="F42" s="11"/>
      <c r="G42" s="11">
        <f t="shared" si="0"/>
        <v>0</v>
      </c>
      <c r="H42" s="17">
        <f t="shared" si="1"/>
        <v>0</v>
      </c>
      <c r="I42" s="16">
        <f t="shared" si="2"/>
        <v>0</v>
      </c>
      <c r="J42" s="16"/>
    </row>
    <row r="43" spans="1:10" x14ac:dyDescent="0.25">
      <c r="A43" s="1" t="s">
        <v>48</v>
      </c>
      <c r="B43" s="1" t="s">
        <v>50</v>
      </c>
      <c r="C43" s="11"/>
      <c r="D43" s="11"/>
      <c r="E43" s="11"/>
      <c r="F43" s="11"/>
      <c r="G43" s="11">
        <f t="shared" si="0"/>
        <v>0</v>
      </c>
      <c r="H43" s="17">
        <f t="shared" si="1"/>
        <v>0</v>
      </c>
      <c r="I43" s="16">
        <f t="shared" si="2"/>
        <v>0</v>
      </c>
      <c r="J43" s="16">
        <f>ROUND(G43/360-1,2)</f>
        <v>-1</v>
      </c>
    </row>
    <row r="44" spans="1:10" x14ac:dyDescent="0.25">
      <c r="A44" s="1" t="s">
        <v>48</v>
      </c>
      <c r="B44" s="1" t="s">
        <v>49</v>
      </c>
      <c r="C44" s="11"/>
      <c r="D44" s="11"/>
      <c r="E44" s="11"/>
      <c r="F44" s="11"/>
      <c r="G44" s="11">
        <f t="shared" si="0"/>
        <v>0</v>
      </c>
      <c r="H44" s="17">
        <f t="shared" si="1"/>
        <v>0</v>
      </c>
      <c r="I44" s="16">
        <f t="shared" si="2"/>
        <v>0</v>
      </c>
      <c r="J44" s="16"/>
    </row>
    <row r="45" spans="1:10" x14ac:dyDescent="0.25">
      <c r="A45" s="1" t="s">
        <v>48</v>
      </c>
      <c r="B45" s="1" t="s">
        <v>97</v>
      </c>
      <c r="C45" s="11"/>
      <c r="D45" s="11"/>
      <c r="E45" s="11"/>
      <c r="F45" s="11"/>
      <c r="G45" s="11">
        <f t="shared" si="0"/>
        <v>0</v>
      </c>
      <c r="H45" s="17">
        <f t="shared" si="1"/>
        <v>0</v>
      </c>
      <c r="I45" s="16">
        <f t="shared" si="2"/>
        <v>0</v>
      </c>
      <c r="J45" s="16"/>
    </row>
    <row r="46" spans="1:10" x14ac:dyDescent="0.25">
      <c r="A46" s="21" t="s">
        <v>12</v>
      </c>
      <c r="B46" s="21"/>
      <c r="C46" s="12">
        <f t="shared" ref="C46:H46" si="3">SUM(C8:C45)</f>
        <v>350880</v>
      </c>
      <c r="D46" s="12">
        <f t="shared" si="3"/>
        <v>150</v>
      </c>
      <c r="E46" s="12">
        <f t="shared" si="3"/>
        <v>378106</v>
      </c>
      <c r="F46" s="12">
        <f t="shared" si="3"/>
        <v>7930</v>
      </c>
      <c r="G46" s="12">
        <f t="shared" si="3"/>
        <v>737066</v>
      </c>
      <c r="H46" s="15">
        <f t="shared" si="3"/>
        <v>143.13000000000002</v>
      </c>
      <c r="I46" s="18"/>
      <c r="J46" s="18"/>
    </row>
    <row r="47" spans="1:10" x14ac:dyDescent="0.25">
      <c r="A47" s="21" t="s">
        <v>14</v>
      </c>
      <c r="B47" s="21"/>
      <c r="C47" s="13">
        <f>ROUND(C46/G46,2)</f>
        <v>0.48</v>
      </c>
      <c r="D47" s="13">
        <f>ROUND(D46/G46,2)</f>
        <v>0</v>
      </c>
      <c r="E47" s="13">
        <f>ROUND(E46/G46,2)</f>
        <v>0.51</v>
      </c>
      <c r="F47" s="13">
        <f>ROUND(F46/G46,2)</f>
        <v>0.01</v>
      </c>
      <c r="G47" s="14"/>
      <c r="H47" s="14"/>
      <c r="I47" s="18"/>
      <c r="J47" s="18"/>
    </row>
    <row r="48" spans="1:10" x14ac:dyDescent="0.25">
      <c r="A48" s="2" t="s">
        <v>52</v>
      </c>
      <c r="B48" s="2"/>
      <c r="C48" s="14"/>
      <c r="D48" s="14"/>
      <c r="E48" s="14"/>
      <c r="F48" s="14"/>
      <c r="G48" s="14"/>
      <c r="H48" s="14"/>
      <c r="I48" s="18"/>
      <c r="J48" s="18"/>
    </row>
    <row r="49" spans="1:10" x14ac:dyDescent="0.25">
      <c r="C49" s="9"/>
      <c r="D49" s="9"/>
      <c r="E49" s="9"/>
      <c r="F49" s="9"/>
      <c r="G49" s="9"/>
      <c r="H49" s="9"/>
      <c r="I49" s="10"/>
      <c r="J49" s="10"/>
    </row>
    <row r="50" spans="1:10" x14ac:dyDescent="0.25">
      <c r="C50" s="9"/>
      <c r="D50" s="9"/>
      <c r="E50" s="9"/>
      <c r="F50" s="9"/>
      <c r="G50" s="9"/>
      <c r="H50" s="9"/>
      <c r="I50" s="10"/>
      <c r="J50" s="10"/>
    </row>
    <row r="51" spans="1:10" x14ac:dyDescent="0.25">
      <c r="C51" s="9"/>
      <c r="D51" s="9"/>
      <c r="E51" s="9"/>
      <c r="F51" s="9"/>
      <c r="G51" s="9"/>
      <c r="H51" s="9"/>
      <c r="I51" s="10"/>
      <c r="J51" s="10"/>
    </row>
    <row r="52" spans="1:10" x14ac:dyDescent="0.25">
      <c r="A52" s="21" t="s">
        <v>53</v>
      </c>
      <c r="B52" s="21"/>
      <c r="C52" s="12" t="s">
        <v>8</v>
      </c>
      <c r="D52" s="12" t="s">
        <v>9</v>
      </c>
      <c r="E52" s="12" t="s">
        <v>10</v>
      </c>
      <c r="F52" s="12" t="s">
        <v>11</v>
      </c>
      <c r="G52" s="12" t="s">
        <v>12</v>
      </c>
      <c r="H52" s="15" t="s">
        <v>13</v>
      </c>
      <c r="I52" s="18"/>
      <c r="J52" s="18"/>
    </row>
    <row r="53" spans="1:10" x14ac:dyDescent="0.25">
      <c r="A53" s="20" t="s">
        <v>54</v>
      </c>
      <c r="B53" s="20"/>
      <c r="C53" s="11">
        <v>263600</v>
      </c>
      <c r="D53" s="11">
        <v>150</v>
      </c>
      <c r="E53" s="11">
        <v>337766</v>
      </c>
      <c r="F53" s="11">
        <v>200</v>
      </c>
      <c r="G53" s="11">
        <f>SUM(C53:F53)</f>
        <v>601716</v>
      </c>
      <c r="H53" s="17">
        <f>ROUND(G53/5150,2)</f>
        <v>116.84</v>
      </c>
      <c r="I53" s="10"/>
      <c r="J53" s="10"/>
    </row>
    <row r="54" spans="1:10" x14ac:dyDescent="0.25">
      <c r="A54" s="20" t="s">
        <v>55</v>
      </c>
      <c r="B54" s="20"/>
      <c r="C54" s="11">
        <v>87280</v>
      </c>
      <c r="D54" s="11">
        <v>0</v>
      </c>
      <c r="E54" s="11">
        <v>40340</v>
      </c>
      <c r="F54" s="11">
        <v>7730</v>
      </c>
      <c r="G54" s="11">
        <f>SUM(C54:F54)</f>
        <v>135350</v>
      </c>
      <c r="H54" s="17">
        <f>ROUND(G54/5150,2)</f>
        <v>26.28</v>
      </c>
      <c r="I54" s="10"/>
      <c r="J54" s="10"/>
    </row>
    <row r="55" spans="1:10" x14ac:dyDescent="0.25">
      <c r="A55" s="20" t="s">
        <v>56</v>
      </c>
      <c r="B55" s="20"/>
      <c r="C55" s="11">
        <v>0</v>
      </c>
      <c r="D55" s="11">
        <v>0</v>
      </c>
      <c r="E55" s="11">
        <v>0</v>
      </c>
      <c r="F55" s="11">
        <v>0</v>
      </c>
      <c r="G55" s="11">
        <f>SUM(C55:F55)</f>
        <v>0</v>
      </c>
      <c r="H55" s="17">
        <f>ROUND(G55/5150,2)</f>
        <v>0</v>
      </c>
      <c r="I55" s="10"/>
      <c r="J55" s="10"/>
    </row>
    <row r="56" spans="1:10" x14ac:dyDescent="0.25">
      <c r="C56" s="9"/>
      <c r="D56" s="9"/>
      <c r="E56" s="9"/>
      <c r="F56" s="9"/>
      <c r="G56" s="9"/>
      <c r="H56" s="9"/>
      <c r="I56" s="10"/>
      <c r="J56" s="10"/>
    </row>
    <row r="57" spans="1:10" x14ac:dyDescent="0.25">
      <c r="C57" s="9"/>
      <c r="D57" s="9"/>
      <c r="E57" s="9"/>
      <c r="F57" s="9"/>
      <c r="G57" s="9"/>
      <c r="H57" s="9"/>
      <c r="I57" s="10"/>
      <c r="J57" s="10"/>
    </row>
    <row r="58" spans="1:10" x14ac:dyDescent="0.25">
      <c r="C58" s="9"/>
      <c r="D58" s="9"/>
      <c r="E58" s="9"/>
      <c r="F58" s="9"/>
      <c r="G58" s="9"/>
      <c r="H58" s="9"/>
      <c r="I58" s="10"/>
      <c r="J58" s="10"/>
    </row>
    <row r="59" spans="1:10" x14ac:dyDescent="0.25">
      <c r="C59" s="9"/>
      <c r="D59" s="9"/>
      <c r="E59" s="9"/>
      <c r="F59" s="9"/>
      <c r="G59" s="9"/>
      <c r="H59" s="9"/>
      <c r="I59" s="10"/>
      <c r="J59" s="10"/>
    </row>
    <row r="60" spans="1:10" x14ac:dyDescent="0.25">
      <c r="A60" s="21" t="s">
        <v>57</v>
      </c>
      <c r="B60" s="21"/>
      <c r="C60" s="15" t="s">
        <v>2</v>
      </c>
      <c r="D60" s="15">
        <v>2023</v>
      </c>
      <c r="E60" s="15" t="s">
        <v>59</v>
      </c>
      <c r="F60" s="14"/>
      <c r="G60" s="15" t="s">
        <v>60</v>
      </c>
      <c r="H60" s="15" t="s">
        <v>2</v>
      </c>
      <c r="I60" s="13" t="s">
        <v>61</v>
      </c>
      <c r="J60" s="13" t="s">
        <v>59</v>
      </c>
    </row>
    <row r="61" spans="1:10" x14ac:dyDescent="0.25">
      <c r="A61" s="20" t="s">
        <v>58</v>
      </c>
      <c r="B61" s="20"/>
      <c r="C61" s="16">
        <f>ROUND(0.8553, 4)</f>
        <v>0.85529999999999995</v>
      </c>
      <c r="D61" s="16">
        <f>ROUND(0.8502, 4)</f>
        <v>0.85019999999999996</v>
      </c>
      <c r="E61" s="16">
        <f>ROUND(0.777, 4)</f>
        <v>0.77700000000000002</v>
      </c>
      <c r="F61" s="9"/>
      <c r="G61" s="15" t="s">
        <v>62</v>
      </c>
      <c r="H61" s="22" t="s">
        <v>63</v>
      </c>
      <c r="I61" s="24" t="s">
        <v>64</v>
      </c>
      <c r="J61" s="24" t="s">
        <v>65</v>
      </c>
    </row>
    <row r="62" spans="1:10" x14ac:dyDescent="0.25">
      <c r="A62" s="20" t="s">
        <v>66</v>
      </c>
      <c r="B62" s="20"/>
      <c r="C62" s="16">
        <f>ROUND(0.8431, 4)</f>
        <v>0.84309999999999996</v>
      </c>
      <c r="D62" s="16">
        <f>ROUND(0.8398, 4)</f>
        <v>0.83979999999999999</v>
      </c>
      <c r="E62" s="16">
        <f>ROUND(0.7608, 4)</f>
        <v>0.76080000000000003</v>
      </c>
      <c r="F62" s="9"/>
      <c r="G62" s="15" t="s">
        <v>67</v>
      </c>
      <c r="H62" s="23"/>
      <c r="I62" s="25"/>
      <c r="J62" s="25"/>
    </row>
    <row r="63" spans="1:10" x14ac:dyDescent="0.25">
      <c r="C63" s="9"/>
      <c r="D63" s="9"/>
      <c r="E63" s="9"/>
      <c r="F63" s="9"/>
      <c r="G63" s="9"/>
      <c r="H63" s="9"/>
      <c r="I63" s="10"/>
      <c r="J63" s="10"/>
    </row>
    <row r="64" spans="1:10" x14ac:dyDescent="0.25">
      <c r="C64" s="9"/>
      <c r="D64" s="9"/>
      <c r="E64" s="9"/>
      <c r="F64" s="9"/>
      <c r="G64" s="9"/>
      <c r="H64" s="9"/>
      <c r="I64" s="10"/>
      <c r="J64" s="10"/>
    </row>
    <row r="65" spans="1:10" x14ac:dyDescent="0.25">
      <c r="C65" s="9"/>
      <c r="D65" s="9"/>
      <c r="E65" s="9"/>
      <c r="F65" s="9"/>
      <c r="G65" s="9"/>
      <c r="H65" s="9"/>
      <c r="I65" s="10"/>
      <c r="J65" s="10"/>
    </row>
    <row r="66" spans="1:10" x14ac:dyDescent="0.25">
      <c r="A66" s="21" t="s">
        <v>68</v>
      </c>
      <c r="B66" s="21"/>
      <c r="C66" s="15" t="s">
        <v>2</v>
      </c>
      <c r="D66" s="15" t="s">
        <v>98</v>
      </c>
      <c r="E66" s="15" t="s">
        <v>70</v>
      </c>
      <c r="F66" s="15" t="s">
        <v>71</v>
      </c>
      <c r="G66" s="15" t="s">
        <v>72</v>
      </c>
      <c r="H66" s="14"/>
      <c r="I66" s="18"/>
      <c r="J66" s="18"/>
    </row>
    <row r="67" spans="1:10" x14ac:dyDescent="0.25">
      <c r="A67" s="20" t="s">
        <v>73</v>
      </c>
      <c r="B67" s="20"/>
      <c r="C67" s="17">
        <v>17.02</v>
      </c>
      <c r="D67" s="17">
        <v>45.03</v>
      </c>
      <c r="E67" s="17">
        <v>81.84</v>
      </c>
      <c r="F67" s="17">
        <v>48</v>
      </c>
      <c r="G67" s="17">
        <f>12/4*C67</f>
        <v>51.06</v>
      </c>
      <c r="H67" s="9"/>
      <c r="I67" s="10"/>
      <c r="J67" s="10"/>
    </row>
    <row r="68" spans="1:10" x14ac:dyDescent="0.25">
      <c r="A68" s="20" t="s">
        <v>74</v>
      </c>
      <c r="B68" s="20"/>
      <c r="C68" s="17">
        <v>16.52</v>
      </c>
      <c r="D68" s="17">
        <v>43.85</v>
      </c>
      <c r="E68" s="17">
        <v>55.63</v>
      </c>
      <c r="F68" s="17">
        <v>55.33</v>
      </c>
      <c r="G68" s="17">
        <f>12/4*C68</f>
        <v>49.56</v>
      </c>
      <c r="H68" s="9"/>
      <c r="I68" s="10"/>
      <c r="J68" s="10"/>
    </row>
    <row r="69" spans="1:10" x14ac:dyDescent="0.25">
      <c r="A69" s="20" t="s">
        <v>75</v>
      </c>
      <c r="B69" s="20"/>
      <c r="C69" s="17">
        <v>119.95</v>
      </c>
      <c r="D69" s="17">
        <v>296.06</v>
      </c>
      <c r="E69" s="17">
        <v>257.88</v>
      </c>
      <c r="F69" s="17">
        <v>242.78</v>
      </c>
      <c r="G69" s="17">
        <f>12/4*C69</f>
        <v>359.85</v>
      </c>
      <c r="H69" s="9"/>
      <c r="I69" s="10"/>
      <c r="J69" s="10"/>
    </row>
    <row r="70" spans="1:10" x14ac:dyDescent="0.25">
      <c r="A70" s="20" t="s">
        <v>76</v>
      </c>
      <c r="B70" s="20"/>
      <c r="C70" s="17">
        <v>26.28</v>
      </c>
      <c r="D70" s="17">
        <v>77.069999999999993</v>
      </c>
      <c r="E70" s="17">
        <v>103.14</v>
      </c>
      <c r="F70" s="17">
        <v>68.31</v>
      </c>
      <c r="G70" s="17">
        <f>12/4*C70</f>
        <v>78.84</v>
      </c>
      <c r="H70" s="9"/>
      <c r="I70" s="10"/>
      <c r="J70" s="10"/>
    </row>
    <row r="71" spans="1:10" x14ac:dyDescent="0.25">
      <c r="C71" s="9"/>
      <c r="D71" s="9"/>
      <c r="E71" s="9"/>
      <c r="F71" s="9"/>
      <c r="G71" s="9"/>
      <c r="H71" s="9"/>
      <c r="I71" s="10"/>
      <c r="J71" s="10"/>
    </row>
    <row r="72" spans="1:10" x14ac:dyDescent="0.25">
      <c r="C72" s="9"/>
      <c r="D72" s="9"/>
      <c r="E72" s="9"/>
      <c r="F72" s="9"/>
      <c r="G72" s="9"/>
      <c r="H72" s="9"/>
      <c r="I72" s="10"/>
      <c r="J72" s="10"/>
    </row>
    <row r="73" spans="1:10" x14ac:dyDescent="0.25">
      <c r="A73" s="19" t="s">
        <v>60</v>
      </c>
      <c r="B73" s="26"/>
    </row>
    <row r="74" spans="1:10" x14ac:dyDescent="0.25">
      <c r="A74" s="3" t="s">
        <v>77</v>
      </c>
      <c r="B74" s="1" t="s">
        <v>99</v>
      </c>
    </row>
    <row r="75" spans="1:10" x14ac:dyDescent="0.25">
      <c r="A75" s="3" t="s">
        <v>70</v>
      </c>
      <c r="B75" s="1" t="s">
        <v>79</v>
      </c>
    </row>
    <row r="76" spans="1:10" x14ac:dyDescent="0.25">
      <c r="A76" s="3" t="s">
        <v>71</v>
      </c>
      <c r="B76" s="1" t="s">
        <v>80</v>
      </c>
    </row>
    <row r="77" spans="1:10" x14ac:dyDescent="0.25">
      <c r="A77" s="3" t="s">
        <v>72</v>
      </c>
      <c r="B77" s="1" t="s">
        <v>81</v>
      </c>
    </row>
  </sheetData>
  <mergeCells count="19">
    <mergeCell ref="A68:B68"/>
    <mergeCell ref="A69:B69"/>
    <mergeCell ref="A70:B70"/>
    <mergeCell ref="A73:B73"/>
    <mergeCell ref="I61:I62"/>
    <mergeCell ref="J61:J62"/>
    <mergeCell ref="A62:B62"/>
    <mergeCell ref="A66:B66"/>
    <mergeCell ref="A67:B67"/>
    <mergeCell ref="A54:B54"/>
    <mergeCell ref="A55:B55"/>
    <mergeCell ref="A60:B60"/>
    <mergeCell ref="A61:B61"/>
    <mergeCell ref="H61:H62"/>
    <mergeCell ref="C7:G7"/>
    <mergeCell ref="A46:B46"/>
    <mergeCell ref="A47:B47"/>
    <mergeCell ref="A52:B52"/>
    <mergeCell ref="A53:B53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2:J73"/>
  <sheetViews>
    <sheetView workbookViewId="0">
      <selection activeCell="C9" sqref="C9:J68"/>
    </sheetView>
  </sheetViews>
  <sheetFormatPr defaultRowHeight="15" x14ac:dyDescent="0.25"/>
  <cols>
    <col min="1" max="1" width="38.85546875" bestFit="1" customWidth="1"/>
    <col min="2" max="2" width="79" bestFit="1" customWidth="1"/>
    <col min="3" max="3" width="14" bestFit="1" customWidth="1"/>
    <col min="4" max="4" width="28.140625" bestFit="1" customWidth="1"/>
    <col min="5" max="5" width="16.42578125" bestFit="1" customWidth="1"/>
    <col min="6" max="6" width="10.5703125" bestFit="1" customWidth="1"/>
    <col min="7" max="7" width="68.28515625" bestFit="1" customWidth="1"/>
    <col min="8" max="9" width="20" bestFit="1" customWidth="1"/>
    <col min="10" max="10" width="30.5703125" bestFit="1" customWidth="1"/>
  </cols>
  <sheetData>
    <row r="2" spans="1:10" ht="18.75" x14ac:dyDescent="0.3">
      <c r="A2" s="3" t="s">
        <v>0</v>
      </c>
      <c r="B2" s="4" t="s">
        <v>260</v>
      </c>
    </row>
    <row r="3" spans="1:10" x14ac:dyDescent="0.25">
      <c r="A3" s="3" t="s">
        <v>2</v>
      </c>
      <c r="B3" s="1" t="s">
        <v>3</v>
      </c>
    </row>
    <row r="4" spans="1:10" x14ac:dyDescent="0.25">
      <c r="A4" s="3" t="s">
        <v>4</v>
      </c>
      <c r="B4" s="1">
        <v>3916</v>
      </c>
    </row>
    <row r="7" spans="1:10" x14ac:dyDescent="0.25">
      <c r="C7" s="19" t="s">
        <v>5</v>
      </c>
      <c r="D7" s="20"/>
      <c r="E7" s="20"/>
      <c r="F7" s="20"/>
      <c r="G7" s="20"/>
    </row>
    <row r="8" spans="1:10" x14ac:dyDescent="0.25">
      <c r="A8" s="3" t="s">
        <v>6</v>
      </c>
      <c r="B8" s="3" t="s">
        <v>7</v>
      </c>
      <c r="C8" s="3" t="s">
        <v>8</v>
      </c>
      <c r="D8" s="3" t="s">
        <v>9</v>
      </c>
      <c r="E8" s="3" t="s">
        <v>10</v>
      </c>
      <c r="F8" s="3" t="s">
        <v>11</v>
      </c>
      <c r="G8" s="3" t="s">
        <v>12</v>
      </c>
      <c r="H8" s="3" t="s">
        <v>13</v>
      </c>
      <c r="I8" s="3" t="s">
        <v>14</v>
      </c>
      <c r="J8" s="3" t="s">
        <v>15</v>
      </c>
    </row>
    <row r="9" spans="1:10" x14ac:dyDescent="0.25">
      <c r="A9" s="1" t="s">
        <v>16</v>
      </c>
      <c r="B9" s="1" t="s">
        <v>17</v>
      </c>
      <c r="C9" s="11"/>
      <c r="D9" s="11"/>
      <c r="E9" s="11">
        <v>40</v>
      </c>
      <c r="F9" s="11"/>
      <c r="G9" s="11">
        <f t="shared" ref="G9:G41" si="0">SUM(C9:F9)</f>
        <v>40</v>
      </c>
      <c r="H9" s="17">
        <f t="shared" ref="H9:H41" si="1">ROUND(G9/3916,2)</f>
        <v>0.01</v>
      </c>
      <c r="I9" s="16">
        <f t="shared" ref="I9:I41" si="2">ROUND(G9/$G$42,3)</f>
        <v>0</v>
      </c>
      <c r="J9" s="16"/>
    </row>
    <row r="10" spans="1:10" x14ac:dyDescent="0.25">
      <c r="A10" s="1" t="s">
        <v>16</v>
      </c>
      <c r="B10" s="1" t="s">
        <v>19</v>
      </c>
      <c r="C10" s="11">
        <v>39840</v>
      </c>
      <c r="D10" s="11"/>
      <c r="E10" s="11">
        <v>3580</v>
      </c>
      <c r="F10" s="11"/>
      <c r="G10" s="11">
        <f t="shared" si="0"/>
        <v>43420</v>
      </c>
      <c r="H10" s="17">
        <f t="shared" si="1"/>
        <v>11.09</v>
      </c>
      <c r="I10" s="16">
        <f t="shared" si="2"/>
        <v>0.105</v>
      </c>
      <c r="J10" s="16">
        <f>ROUND(G10/39240-1,2)</f>
        <v>0.11</v>
      </c>
    </row>
    <row r="11" spans="1:10" x14ac:dyDescent="0.25">
      <c r="A11" s="1" t="s">
        <v>16</v>
      </c>
      <c r="B11" s="1" t="s">
        <v>20</v>
      </c>
      <c r="C11" s="11">
        <v>50790</v>
      </c>
      <c r="D11" s="11"/>
      <c r="E11" s="11"/>
      <c r="F11" s="11"/>
      <c r="G11" s="11">
        <f t="shared" si="0"/>
        <v>50790</v>
      </c>
      <c r="H11" s="17">
        <f t="shared" si="1"/>
        <v>12.97</v>
      </c>
      <c r="I11" s="16">
        <f t="shared" si="2"/>
        <v>0.123</v>
      </c>
      <c r="J11" s="16">
        <f>ROUND(G11/44660-1,2)</f>
        <v>0.14000000000000001</v>
      </c>
    </row>
    <row r="12" spans="1:10" x14ac:dyDescent="0.25">
      <c r="A12" s="1" t="s">
        <v>16</v>
      </c>
      <c r="B12" s="1" t="s">
        <v>94</v>
      </c>
      <c r="C12" s="11"/>
      <c r="D12" s="11"/>
      <c r="E12" s="11">
        <v>115</v>
      </c>
      <c r="F12" s="11"/>
      <c r="G12" s="11">
        <f t="shared" si="0"/>
        <v>115</v>
      </c>
      <c r="H12" s="17">
        <f t="shared" si="1"/>
        <v>0.03</v>
      </c>
      <c r="I12" s="16">
        <f t="shared" si="2"/>
        <v>0</v>
      </c>
      <c r="J12" s="16">
        <f>ROUND(G12/64-1,2)</f>
        <v>0.8</v>
      </c>
    </row>
    <row r="13" spans="1:10" x14ac:dyDescent="0.25">
      <c r="A13" s="1" t="s">
        <v>16</v>
      </c>
      <c r="B13" s="1" t="s">
        <v>21</v>
      </c>
      <c r="C13" s="11"/>
      <c r="D13" s="11"/>
      <c r="E13" s="11">
        <v>234</v>
      </c>
      <c r="F13" s="11"/>
      <c r="G13" s="11">
        <f t="shared" si="0"/>
        <v>234</v>
      </c>
      <c r="H13" s="17">
        <f t="shared" si="1"/>
        <v>0.06</v>
      </c>
      <c r="I13" s="16">
        <f t="shared" si="2"/>
        <v>1E-3</v>
      </c>
      <c r="J13" s="16">
        <f>ROUND(G13/100-1,2)</f>
        <v>1.34</v>
      </c>
    </row>
    <row r="14" spans="1:10" x14ac:dyDescent="0.25">
      <c r="A14" s="1" t="s">
        <v>16</v>
      </c>
      <c r="B14" s="1" t="s">
        <v>22</v>
      </c>
      <c r="C14" s="11"/>
      <c r="D14" s="11"/>
      <c r="E14" s="11">
        <v>800</v>
      </c>
      <c r="F14" s="11"/>
      <c r="G14" s="11">
        <f t="shared" si="0"/>
        <v>800</v>
      </c>
      <c r="H14" s="17">
        <f t="shared" si="1"/>
        <v>0.2</v>
      </c>
      <c r="I14" s="16">
        <f t="shared" si="2"/>
        <v>2E-3</v>
      </c>
      <c r="J14" s="16">
        <f>ROUND(G14/1000-1,2)</f>
        <v>-0.2</v>
      </c>
    </row>
    <row r="15" spans="1:10" x14ac:dyDescent="0.25">
      <c r="A15" s="1" t="s">
        <v>16</v>
      </c>
      <c r="B15" s="1" t="s">
        <v>23</v>
      </c>
      <c r="C15" s="11"/>
      <c r="D15" s="11"/>
      <c r="E15" s="11">
        <v>34360</v>
      </c>
      <c r="F15" s="11"/>
      <c r="G15" s="11">
        <f t="shared" si="0"/>
        <v>34360</v>
      </c>
      <c r="H15" s="17">
        <f t="shared" si="1"/>
        <v>8.77</v>
      </c>
      <c r="I15" s="16">
        <f t="shared" si="2"/>
        <v>8.3000000000000004E-2</v>
      </c>
      <c r="J15" s="16">
        <f>ROUND(G15/20460-1,2)</f>
        <v>0.68</v>
      </c>
    </row>
    <row r="16" spans="1:10" x14ac:dyDescent="0.25">
      <c r="A16" s="1" t="s">
        <v>16</v>
      </c>
      <c r="B16" s="1" t="s">
        <v>24</v>
      </c>
      <c r="C16" s="11">
        <v>54820</v>
      </c>
      <c r="D16" s="11"/>
      <c r="E16" s="11">
        <v>7100</v>
      </c>
      <c r="F16" s="11"/>
      <c r="G16" s="11">
        <f t="shared" si="0"/>
        <v>61920</v>
      </c>
      <c r="H16" s="17">
        <f t="shared" si="1"/>
        <v>15.81</v>
      </c>
      <c r="I16" s="16">
        <f t="shared" si="2"/>
        <v>0.15</v>
      </c>
      <c r="J16" s="16">
        <f>ROUND(G16/56280-1,2)</f>
        <v>0.1</v>
      </c>
    </row>
    <row r="17" spans="1:10" x14ac:dyDescent="0.25">
      <c r="A17" s="1" t="s">
        <v>16</v>
      </c>
      <c r="B17" s="1" t="s">
        <v>25</v>
      </c>
      <c r="C17" s="11"/>
      <c r="D17" s="11"/>
      <c r="E17" s="11">
        <v>2705</v>
      </c>
      <c r="F17" s="11"/>
      <c r="G17" s="11">
        <f t="shared" si="0"/>
        <v>2705</v>
      </c>
      <c r="H17" s="17">
        <f t="shared" si="1"/>
        <v>0.69</v>
      </c>
      <c r="I17" s="16">
        <f t="shared" si="2"/>
        <v>7.0000000000000001E-3</v>
      </c>
      <c r="J17" s="16">
        <f>ROUND(G17/1060-1,2)</f>
        <v>1.55</v>
      </c>
    </row>
    <row r="18" spans="1:10" x14ac:dyDescent="0.25">
      <c r="A18" s="1" t="s">
        <v>16</v>
      </c>
      <c r="B18" s="1" t="s">
        <v>26</v>
      </c>
      <c r="C18" s="11">
        <v>44560</v>
      </c>
      <c r="D18" s="11"/>
      <c r="E18" s="11"/>
      <c r="F18" s="11"/>
      <c r="G18" s="11">
        <f t="shared" si="0"/>
        <v>44560</v>
      </c>
      <c r="H18" s="17">
        <f t="shared" si="1"/>
        <v>11.38</v>
      </c>
      <c r="I18" s="16">
        <f t="shared" si="2"/>
        <v>0.108</v>
      </c>
      <c r="J18" s="16">
        <f>ROUND(G18/43540-1,2)</f>
        <v>0.02</v>
      </c>
    </row>
    <row r="19" spans="1:10" x14ac:dyDescent="0.25">
      <c r="A19" s="1" t="s">
        <v>16</v>
      </c>
      <c r="B19" s="1" t="s">
        <v>27</v>
      </c>
      <c r="C19" s="11"/>
      <c r="D19" s="11"/>
      <c r="E19" s="11">
        <v>398</v>
      </c>
      <c r="F19" s="11"/>
      <c r="G19" s="11">
        <f t="shared" si="0"/>
        <v>398</v>
      </c>
      <c r="H19" s="17">
        <f t="shared" si="1"/>
        <v>0.1</v>
      </c>
      <c r="I19" s="16">
        <f t="shared" si="2"/>
        <v>1E-3</v>
      </c>
      <c r="J19" s="16">
        <f>ROUND(G19/84-1,2)</f>
        <v>3.74</v>
      </c>
    </row>
    <row r="20" spans="1:10" x14ac:dyDescent="0.25">
      <c r="A20" s="1" t="s">
        <v>16</v>
      </c>
      <c r="B20" s="1" t="s">
        <v>28</v>
      </c>
      <c r="C20" s="11"/>
      <c r="D20" s="11"/>
      <c r="E20" s="11">
        <v>440</v>
      </c>
      <c r="F20" s="11"/>
      <c r="G20" s="11">
        <f t="shared" si="0"/>
        <v>440</v>
      </c>
      <c r="H20" s="17">
        <f t="shared" si="1"/>
        <v>0.11</v>
      </c>
      <c r="I20" s="16">
        <f t="shared" si="2"/>
        <v>1E-3</v>
      </c>
      <c r="J20" s="16">
        <f>ROUND(G20/85-1,2)</f>
        <v>4.18</v>
      </c>
    </row>
    <row r="21" spans="1:10" x14ac:dyDescent="0.25">
      <c r="A21" s="1" t="s">
        <v>16</v>
      </c>
      <c r="B21" s="1" t="s">
        <v>29</v>
      </c>
      <c r="C21" s="11"/>
      <c r="D21" s="11"/>
      <c r="E21" s="11">
        <v>380</v>
      </c>
      <c r="F21" s="11"/>
      <c r="G21" s="11">
        <f t="shared" si="0"/>
        <v>380</v>
      </c>
      <c r="H21" s="17">
        <f t="shared" si="1"/>
        <v>0.1</v>
      </c>
      <c r="I21" s="16">
        <f t="shared" si="2"/>
        <v>1E-3</v>
      </c>
      <c r="J21" s="16">
        <f>ROUND(G21/340-1,2)</f>
        <v>0.12</v>
      </c>
    </row>
    <row r="22" spans="1:10" x14ac:dyDescent="0.25">
      <c r="A22" s="1" t="s">
        <v>16</v>
      </c>
      <c r="B22" s="1" t="s">
        <v>30</v>
      </c>
      <c r="C22" s="11"/>
      <c r="D22" s="11"/>
      <c r="E22" s="11">
        <v>160</v>
      </c>
      <c r="F22" s="11"/>
      <c r="G22" s="11">
        <f t="shared" si="0"/>
        <v>160</v>
      </c>
      <c r="H22" s="17">
        <f t="shared" si="1"/>
        <v>0.04</v>
      </c>
      <c r="I22" s="16">
        <f t="shared" si="2"/>
        <v>0</v>
      </c>
      <c r="J22" s="16">
        <f>ROUND(G22/260-1,2)</f>
        <v>-0.38</v>
      </c>
    </row>
    <row r="23" spans="1:10" x14ac:dyDescent="0.25">
      <c r="A23" s="1" t="s">
        <v>16</v>
      </c>
      <c r="B23" s="1" t="s">
        <v>31</v>
      </c>
      <c r="C23" s="11"/>
      <c r="D23" s="11"/>
      <c r="E23" s="11">
        <v>1035</v>
      </c>
      <c r="F23" s="11"/>
      <c r="G23" s="11">
        <f t="shared" si="0"/>
        <v>1035</v>
      </c>
      <c r="H23" s="17">
        <f t="shared" si="1"/>
        <v>0.26</v>
      </c>
      <c r="I23" s="16">
        <f t="shared" si="2"/>
        <v>3.0000000000000001E-3</v>
      </c>
      <c r="J23" s="16">
        <f>ROUND(G23/115-1,2)</f>
        <v>8</v>
      </c>
    </row>
    <row r="24" spans="1:10" x14ac:dyDescent="0.25">
      <c r="A24" s="1" t="s">
        <v>16</v>
      </c>
      <c r="B24" s="1" t="s">
        <v>32</v>
      </c>
      <c r="C24" s="11"/>
      <c r="D24" s="11">
        <v>154</v>
      </c>
      <c r="E24" s="11"/>
      <c r="F24" s="11"/>
      <c r="G24" s="11">
        <f t="shared" si="0"/>
        <v>154</v>
      </c>
      <c r="H24" s="17">
        <f t="shared" si="1"/>
        <v>0.04</v>
      </c>
      <c r="I24" s="16">
        <f t="shared" si="2"/>
        <v>0</v>
      </c>
      <c r="J24" s="16">
        <f>ROUND(G24/151-1,2)</f>
        <v>0.02</v>
      </c>
    </row>
    <row r="25" spans="1:10" x14ac:dyDescent="0.25">
      <c r="A25" s="1" t="s">
        <v>16</v>
      </c>
      <c r="B25" s="1" t="s">
        <v>34</v>
      </c>
      <c r="C25" s="11"/>
      <c r="D25" s="11"/>
      <c r="E25" s="11">
        <v>620</v>
      </c>
      <c r="F25" s="11"/>
      <c r="G25" s="11">
        <f t="shared" si="0"/>
        <v>620</v>
      </c>
      <c r="H25" s="17">
        <f t="shared" si="1"/>
        <v>0.16</v>
      </c>
      <c r="I25" s="16">
        <f t="shared" si="2"/>
        <v>2E-3</v>
      </c>
      <c r="J25" s="16"/>
    </row>
    <row r="26" spans="1:10" x14ac:dyDescent="0.25">
      <c r="A26" s="1" t="s">
        <v>16</v>
      </c>
      <c r="B26" s="1" t="s">
        <v>33</v>
      </c>
      <c r="C26" s="11"/>
      <c r="D26" s="11"/>
      <c r="E26" s="11">
        <v>400</v>
      </c>
      <c r="F26" s="11"/>
      <c r="G26" s="11">
        <f t="shared" si="0"/>
        <v>400</v>
      </c>
      <c r="H26" s="17">
        <f t="shared" si="1"/>
        <v>0.1</v>
      </c>
      <c r="I26" s="16">
        <f t="shared" si="2"/>
        <v>1E-3</v>
      </c>
      <c r="J26" s="16"/>
    </row>
    <row r="27" spans="1:10" x14ac:dyDescent="0.25">
      <c r="A27" s="1" t="s">
        <v>16</v>
      </c>
      <c r="B27" s="1" t="s">
        <v>35</v>
      </c>
      <c r="C27" s="11"/>
      <c r="D27" s="11"/>
      <c r="E27" s="11">
        <v>36940</v>
      </c>
      <c r="F27" s="11"/>
      <c r="G27" s="11">
        <f t="shared" si="0"/>
        <v>36940</v>
      </c>
      <c r="H27" s="17">
        <f t="shared" si="1"/>
        <v>9.43</v>
      </c>
      <c r="I27" s="16">
        <f t="shared" si="2"/>
        <v>0.09</v>
      </c>
      <c r="J27" s="16">
        <f>ROUND(G27/22800-1,2)</f>
        <v>0.62</v>
      </c>
    </row>
    <row r="28" spans="1:10" x14ac:dyDescent="0.25">
      <c r="A28" s="1" t="s">
        <v>16</v>
      </c>
      <c r="B28" s="1" t="s">
        <v>36</v>
      </c>
      <c r="C28" s="11"/>
      <c r="D28" s="11"/>
      <c r="E28" s="11">
        <v>1040</v>
      </c>
      <c r="F28" s="11"/>
      <c r="G28" s="11">
        <f t="shared" si="0"/>
        <v>1040</v>
      </c>
      <c r="H28" s="17">
        <f t="shared" si="1"/>
        <v>0.27</v>
      </c>
      <c r="I28" s="16">
        <f t="shared" si="2"/>
        <v>3.0000000000000001E-3</v>
      </c>
      <c r="J28" s="16">
        <f>ROUND(G28/2480-1,2)</f>
        <v>-0.57999999999999996</v>
      </c>
    </row>
    <row r="29" spans="1:10" x14ac:dyDescent="0.25">
      <c r="A29" s="1" t="s">
        <v>16</v>
      </c>
      <c r="B29" s="1" t="s">
        <v>37</v>
      </c>
      <c r="C29" s="11"/>
      <c r="D29" s="11"/>
      <c r="E29" s="11">
        <v>4790</v>
      </c>
      <c r="F29" s="11"/>
      <c r="G29" s="11">
        <f t="shared" si="0"/>
        <v>4790</v>
      </c>
      <c r="H29" s="17">
        <f t="shared" si="1"/>
        <v>1.22</v>
      </c>
      <c r="I29" s="16">
        <f t="shared" si="2"/>
        <v>1.2E-2</v>
      </c>
      <c r="J29" s="16">
        <f>ROUND(G29/4280-1,2)</f>
        <v>0.12</v>
      </c>
    </row>
    <row r="30" spans="1:10" x14ac:dyDescent="0.25">
      <c r="A30" s="1" t="s">
        <v>16</v>
      </c>
      <c r="B30" s="1" t="s">
        <v>38</v>
      </c>
      <c r="C30" s="11"/>
      <c r="D30" s="11"/>
      <c r="E30" s="11">
        <v>32830</v>
      </c>
      <c r="F30" s="11"/>
      <c r="G30" s="11">
        <f t="shared" si="0"/>
        <v>32830</v>
      </c>
      <c r="H30" s="17">
        <f t="shared" si="1"/>
        <v>8.3800000000000008</v>
      </c>
      <c r="I30" s="16">
        <f t="shared" si="2"/>
        <v>0.08</v>
      </c>
      <c r="J30" s="16">
        <f>ROUND(G30/27280-1,2)</f>
        <v>0.2</v>
      </c>
    </row>
    <row r="31" spans="1:10" x14ac:dyDescent="0.25">
      <c r="A31" s="1" t="s">
        <v>16</v>
      </c>
      <c r="B31" s="1" t="s">
        <v>40</v>
      </c>
      <c r="C31" s="11"/>
      <c r="D31" s="11"/>
      <c r="E31" s="11"/>
      <c r="F31" s="11"/>
      <c r="G31" s="11">
        <f t="shared" si="0"/>
        <v>0</v>
      </c>
      <c r="H31" s="17">
        <f t="shared" si="1"/>
        <v>0</v>
      </c>
      <c r="I31" s="16">
        <f t="shared" si="2"/>
        <v>0</v>
      </c>
      <c r="J31" s="16">
        <f>ROUND(G31/2190-1,2)</f>
        <v>-1</v>
      </c>
    </row>
    <row r="32" spans="1:10" x14ac:dyDescent="0.25">
      <c r="A32" s="1" t="s">
        <v>16</v>
      </c>
      <c r="B32" s="1" t="s">
        <v>41</v>
      </c>
      <c r="C32" s="11"/>
      <c r="D32" s="11"/>
      <c r="E32" s="11"/>
      <c r="F32" s="11"/>
      <c r="G32" s="11">
        <f t="shared" si="0"/>
        <v>0</v>
      </c>
      <c r="H32" s="17">
        <f t="shared" si="1"/>
        <v>0</v>
      </c>
      <c r="I32" s="16">
        <f t="shared" si="2"/>
        <v>0</v>
      </c>
      <c r="J32" s="16"/>
    </row>
    <row r="33" spans="1:10" x14ac:dyDescent="0.25">
      <c r="A33" s="1" t="s">
        <v>16</v>
      </c>
      <c r="B33" s="1" t="s">
        <v>42</v>
      </c>
      <c r="C33" s="11"/>
      <c r="D33" s="11"/>
      <c r="E33" s="11"/>
      <c r="F33" s="11"/>
      <c r="G33" s="11">
        <f t="shared" si="0"/>
        <v>0</v>
      </c>
      <c r="H33" s="17">
        <f t="shared" si="1"/>
        <v>0</v>
      </c>
      <c r="I33" s="16">
        <f t="shared" si="2"/>
        <v>0</v>
      </c>
      <c r="J33" s="16">
        <f>ROUND(G33/1660-1,2)</f>
        <v>-1</v>
      </c>
    </row>
    <row r="34" spans="1:10" x14ac:dyDescent="0.25">
      <c r="A34" s="1" t="s">
        <v>16</v>
      </c>
      <c r="B34" s="1" t="s">
        <v>43</v>
      </c>
      <c r="C34" s="11"/>
      <c r="D34" s="11"/>
      <c r="E34" s="11"/>
      <c r="F34" s="11"/>
      <c r="G34" s="11">
        <f t="shared" si="0"/>
        <v>0</v>
      </c>
      <c r="H34" s="17">
        <f t="shared" si="1"/>
        <v>0</v>
      </c>
      <c r="I34" s="16">
        <f t="shared" si="2"/>
        <v>0</v>
      </c>
      <c r="J34" s="16">
        <f>ROUND(G34/4341-1,2)</f>
        <v>-1</v>
      </c>
    </row>
    <row r="35" spans="1:10" x14ac:dyDescent="0.25">
      <c r="A35" s="1" t="s">
        <v>16</v>
      </c>
      <c r="B35" s="1" t="s">
        <v>261</v>
      </c>
      <c r="C35" s="11"/>
      <c r="D35" s="11"/>
      <c r="E35" s="11"/>
      <c r="F35" s="11"/>
      <c r="G35" s="11">
        <f t="shared" si="0"/>
        <v>0</v>
      </c>
      <c r="H35" s="17">
        <f t="shared" si="1"/>
        <v>0</v>
      </c>
      <c r="I35" s="16">
        <f t="shared" si="2"/>
        <v>0</v>
      </c>
      <c r="J35" s="16"/>
    </row>
    <row r="36" spans="1:10" x14ac:dyDescent="0.25">
      <c r="A36" s="1" t="s">
        <v>16</v>
      </c>
      <c r="B36" s="1" t="s">
        <v>39</v>
      </c>
      <c r="C36" s="11"/>
      <c r="D36" s="11"/>
      <c r="E36" s="11"/>
      <c r="F36" s="11"/>
      <c r="G36" s="11">
        <f t="shared" si="0"/>
        <v>0</v>
      </c>
      <c r="H36" s="17">
        <f t="shared" si="1"/>
        <v>0</v>
      </c>
      <c r="I36" s="16">
        <f t="shared" si="2"/>
        <v>0</v>
      </c>
      <c r="J36" s="16"/>
    </row>
    <row r="37" spans="1:10" x14ac:dyDescent="0.25">
      <c r="A37" s="1" t="s">
        <v>44</v>
      </c>
      <c r="B37" s="1" t="s">
        <v>45</v>
      </c>
      <c r="C37" s="11">
        <v>56110</v>
      </c>
      <c r="D37" s="11"/>
      <c r="E37" s="11"/>
      <c r="F37" s="11"/>
      <c r="G37" s="11">
        <f t="shared" si="0"/>
        <v>56110</v>
      </c>
      <c r="H37" s="17">
        <f t="shared" si="1"/>
        <v>14.33</v>
      </c>
      <c r="I37" s="16">
        <f t="shared" si="2"/>
        <v>0.13600000000000001</v>
      </c>
      <c r="J37" s="16">
        <f>ROUND(G37/60920-1,2)</f>
        <v>-0.08</v>
      </c>
    </row>
    <row r="38" spans="1:10" x14ac:dyDescent="0.25">
      <c r="A38" s="1" t="s">
        <v>44</v>
      </c>
      <c r="B38" s="1" t="s">
        <v>47</v>
      </c>
      <c r="C38" s="11"/>
      <c r="D38" s="11"/>
      <c r="E38" s="11"/>
      <c r="F38" s="11">
        <v>13420</v>
      </c>
      <c r="G38" s="11">
        <f t="shared" si="0"/>
        <v>13420</v>
      </c>
      <c r="H38" s="17">
        <f t="shared" si="1"/>
        <v>3.43</v>
      </c>
      <c r="I38" s="16">
        <f t="shared" si="2"/>
        <v>3.3000000000000002E-2</v>
      </c>
      <c r="J38" s="16"/>
    </row>
    <row r="39" spans="1:10" x14ac:dyDescent="0.25">
      <c r="A39" s="1" t="s">
        <v>44</v>
      </c>
      <c r="B39" s="1" t="s">
        <v>46</v>
      </c>
      <c r="C39" s="11"/>
      <c r="D39" s="11"/>
      <c r="E39" s="11">
        <v>24900</v>
      </c>
      <c r="F39" s="11"/>
      <c r="G39" s="11">
        <f t="shared" si="0"/>
        <v>24900</v>
      </c>
      <c r="H39" s="17">
        <f t="shared" si="1"/>
        <v>6.36</v>
      </c>
      <c r="I39" s="16">
        <f t="shared" si="2"/>
        <v>0.06</v>
      </c>
      <c r="J39" s="16">
        <f>ROUND(G39/11890-1,2)</f>
        <v>1.0900000000000001</v>
      </c>
    </row>
    <row r="40" spans="1:10" x14ac:dyDescent="0.25">
      <c r="A40" s="1" t="s">
        <v>48</v>
      </c>
      <c r="B40" s="1" t="s">
        <v>50</v>
      </c>
      <c r="C40" s="11"/>
      <c r="D40" s="11"/>
      <c r="E40" s="11"/>
      <c r="F40" s="11"/>
      <c r="G40" s="11">
        <f t="shared" si="0"/>
        <v>0</v>
      </c>
      <c r="H40" s="17">
        <f t="shared" si="1"/>
        <v>0</v>
      </c>
      <c r="I40" s="16">
        <f t="shared" si="2"/>
        <v>0</v>
      </c>
      <c r="J40" s="16"/>
    </row>
    <row r="41" spans="1:10" x14ac:dyDescent="0.25">
      <c r="A41" s="1" t="s">
        <v>48</v>
      </c>
      <c r="B41" s="1" t="s">
        <v>51</v>
      </c>
      <c r="C41" s="11"/>
      <c r="D41" s="11"/>
      <c r="E41" s="11"/>
      <c r="F41" s="11"/>
      <c r="G41" s="11">
        <f t="shared" si="0"/>
        <v>0</v>
      </c>
      <c r="H41" s="17">
        <f t="shared" si="1"/>
        <v>0</v>
      </c>
      <c r="I41" s="16">
        <f t="shared" si="2"/>
        <v>0</v>
      </c>
      <c r="J41" s="16"/>
    </row>
    <row r="42" spans="1:10" x14ac:dyDescent="0.25">
      <c r="A42" s="21" t="s">
        <v>12</v>
      </c>
      <c r="B42" s="21"/>
      <c r="C42" s="12">
        <f t="shared" ref="C42:H42" si="3">SUM(C8:C41)</f>
        <v>246120</v>
      </c>
      <c r="D42" s="12">
        <f t="shared" si="3"/>
        <v>154</v>
      </c>
      <c r="E42" s="12">
        <f t="shared" si="3"/>
        <v>152867</v>
      </c>
      <c r="F42" s="12">
        <f t="shared" si="3"/>
        <v>13420</v>
      </c>
      <c r="G42" s="12">
        <f t="shared" si="3"/>
        <v>412561</v>
      </c>
      <c r="H42" s="15">
        <f t="shared" si="3"/>
        <v>105.33999999999999</v>
      </c>
      <c r="I42" s="18"/>
      <c r="J42" s="18"/>
    </row>
    <row r="43" spans="1:10" x14ac:dyDescent="0.25">
      <c r="A43" s="21" t="s">
        <v>14</v>
      </c>
      <c r="B43" s="21"/>
      <c r="C43" s="13">
        <f>ROUND(C42/G42,2)</f>
        <v>0.6</v>
      </c>
      <c r="D43" s="13">
        <f>ROUND(D42/G42,2)</f>
        <v>0</v>
      </c>
      <c r="E43" s="13">
        <f>ROUND(E42/G42,2)</f>
        <v>0.37</v>
      </c>
      <c r="F43" s="13">
        <f>ROUND(F42/G42,2)</f>
        <v>0.03</v>
      </c>
      <c r="G43" s="14"/>
      <c r="H43" s="14"/>
      <c r="I43" s="18"/>
      <c r="J43" s="18"/>
    </row>
    <row r="44" spans="1:10" x14ac:dyDescent="0.25">
      <c r="A44" s="2" t="s">
        <v>52</v>
      </c>
      <c r="B44" s="2"/>
      <c r="C44" s="14"/>
      <c r="D44" s="14"/>
      <c r="E44" s="14"/>
      <c r="F44" s="14"/>
      <c r="G44" s="14"/>
      <c r="H44" s="14"/>
      <c r="I44" s="18"/>
      <c r="J44" s="18"/>
    </row>
    <row r="45" spans="1:10" x14ac:dyDescent="0.25">
      <c r="C45" s="9"/>
      <c r="D45" s="9"/>
      <c r="E45" s="9"/>
      <c r="F45" s="9"/>
      <c r="G45" s="9"/>
      <c r="H45" s="9"/>
      <c r="I45" s="10"/>
      <c r="J45" s="10"/>
    </row>
    <row r="46" spans="1:10" x14ac:dyDescent="0.25">
      <c r="C46" s="9"/>
      <c r="D46" s="9"/>
      <c r="E46" s="9"/>
      <c r="F46" s="9"/>
      <c r="G46" s="9"/>
      <c r="H46" s="9"/>
      <c r="I46" s="10"/>
      <c r="J46" s="10"/>
    </row>
    <row r="47" spans="1:10" x14ac:dyDescent="0.25">
      <c r="C47" s="9"/>
      <c r="D47" s="9"/>
      <c r="E47" s="9"/>
      <c r="F47" s="9"/>
      <c r="G47" s="9"/>
      <c r="H47" s="9"/>
      <c r="I47" s="10"/>
      <c r="J47" s="10"/>
    </row>
    <row r="48" spans="1:10" x14ac:dyDescent="0.25">
      <c r="A48" s="21" t="s">
        <v>53</v>
      </c>
      <c r="B48" s="21"/>
      <c r="C48" s="12" t="s">
        <v>8</v>
      </c>
      <c r="D48" s="12" t="s">
        <v>9</v>
      </c>
      <c r="E48" s="12" t="s">
        <v>10</v>
      </c>
      <c r="F48" s="12" t="s">
        <v>11</v>
      </c>
      <c r="G48" s="12" t="s">
        <v>12</v>
      </c>
      <c r="H48" s="15" t="s">
        <v>13</v>
      </c>
      <c r="I48" s="18"/>
      <c r="J48" s="18"/>
    </row>
    <row r="49" spans="1:10" x14ac:dyDescent="0.25">
      <c r="A49" s="20" t="s">
        <v>54</v>
      </c>
      <c r="B49" s="20"/>
      <c r="C49" s="11">
        <v>190010</v>
      </c>
      <c r="D49" s="11">
        <v>154</v>
      </c>
      <c r="E49" s="11">
        <v>127967</v>
      </c>
      <c r="F49" s="11">
        <v>0</v>
      </c>
      <c r="G49" s="11">
        <f>SUM(C49:F49)</f>
        <v>318131</v>
      </c>
      <c r="H49" s="17">
        <f>ROUND(G49/3916,2)</f>
        <v>81.239999999999995</v>
      </c>
      <c r="I49" s="10"/>
      <c r="J49" s="10"/>
    </row>
    <row r="50" spans="1:10" x14ac:dyDescent="0.25">
      <c r="A50" s="20" t="s">
        <v>55</v>
      </c>
      <c r="B50" s="20"/>
      <c r="C50" s="11">
        <v>56110</v>
      </c>
      <c r="D50" s="11">
        <v>0</v>
      </c>
      <c r="E50" s="11">
        <v>24900</v>
      </c>
      <c r="F50" s="11">
        <v>13420</v>
      </c>
      <c r="G50" s="11">
        <f>SUM(C50:F50)</f>
        <v>94430</v>
      </c>
      <c r="H50" s="17">
        <f>ROUND(G50/3916,2)</f>
        <v>24.11</v>
      </c>
      <c r="I50" s="10"/>
      <c r="J50" s="10"/>
    </row>
    <row r="51" spans="1:10" x14ac:dyDescent="0.25">
      <c r="A51" s="20" t="s">
        <v>56</v>
      </c>
      <c r="B51" s="20"/>
      <c r="C51" s="11">
        <v>0</v>
      </c>
      <c r="D51" s="11">
        <v>0</v>
      </c>
      <c r="E51" s="11">
        <v>0</v>
      </c>
      <c r="F51" s="11">
        <v>0</v>
      </c>
      <c r="G51" s="11">
        <f>SUM(C51:F51)</f>
        <v>0</v>
      </c>
      <c r="H51" s="17">
        <f>ROUND(G51/3916,2)</f>
        <v>0</v>
      </c>
      <c r="I51" s="10"/>
      <c r="J51" s="10"/>
    </row>
    <row r="52" spans="1:10" x14ac:dyDescent="0.25">
      <c r="C52" s="9"/>
      <c r="D52" s="9"/>
      <c r="E52" s="9"/>
      <c r="F52" s="9"/>
      <c r="G52" s="9"/>
      <c r="H52" s="9"/>
      <c r="I52" s="10"/>
      <c r="J52" s="10"/>
    </row>
    <row r="53" spans="1:10" x14ac:dyDescent="0.25">
      <c r="C53" s="9"/>
      <c r="D53" s="9"/>
      <c r="E53" s="9"/>
      <c r="F53" s="9"/>
      <c r="G53" s="9"/>
      <c r="H53" s="9"/>
      <c r="I53" s="10"/>
      <c r="J53" s="10"/>
    </row>
    <row r="54" spans="1:10" x14ac:dyDescent="0.25">
      <c r="C54" s="9"/>
      <c r="D54" s="9"/>
      <c r="E54" s="9"/>
      <c r="F54" s="9"/>
      <c r="G54" s="9"/>
      <c r="H54" s="9"/>
      <c r="I54" s="10"/>
      <c r="J54" s="10"/>
    </row>
    <row r="55" spans="1:10" x14ac:dyDescent="0.25">
      <c r="C55" s="9"/>
      <c r="D55" s="9"/>
      <c r="E55" s="9"/>
      <c r="F55" s="9"/>
      <c r="G55" s="9"/>
      <c r="H55" s="9"/>
      <c r="I55" s="10"/>
      <c r="J55" s="10"/>
    </row>
    <row r="56" spans="1:10" x14ac:dyDescent="0.25">
      <c r="A56" s="21" t="s">
        <v>57</v>
      </c>
      <c r="B56" s="21"/>
      <c r="C56" s="15" t="s">
        <v>2</v>
      </c>
      <c r="D56" s="15">
        <v>2023</v>
      </c>
      <c r="E56" s="15" t="s">
        <v>59</v>
      </c>
      <c r="F56" s="14"/>
      <c r="G56" s="15" t="s">
        <v>60</v>
      </c>
      <c r="H56" s="15" t="s">
        <v>2</v>
      </c>
      <c r="I56" s="13" t="s">
        <v>61</v>
      </c>
      <c r="J56" s="13" t="s">
        <v>59</v>
      </c>
    </row>
    <row r="57" spans="1:10" x14ac:dyDescent="0.25">
      <c r="A57" s="20" t="s">
        <v>58</v>
      </c>
      <c r="B57" s="20"/>
      <c r="C57" s="16">
        <f>ROUND(0.8391, 4)</f>
        <v>0.83909999999999996</v>
      </c>
      <c r="D57" s="16">
        <f>ROUND(0.8082, 4)</f>
        <v>0.80820000000000003</v>
      </c>
      <c r="E57" s="16">
        <f>ROUND(0.777, 4)</f>
        <v>0.77700000000000002</v>
      </c>
      <c r="F57" s="9"/>
      <c r="G57" s="15" t="s">
        <v>62</v>
      </c>
      <c r="H57" s="22" t="s">
        <v>63</v>
      </c>
      <c r="I57" s="24" t="s">
        <v>64</v>
      </c>
      <c r="J57" s="24" t="s">
        <v>65</v>
      </c>
    </row>
    <row r="58" spans="1:10" x14ac:dyDescent="0.25">
      <c r="A58" s="20" t="s">
        <v>66</v>
      </c>
      <c r="B58" s="20"/>
      <c r="C58" s="16">
        <f>ROUND(0.8244, 4)</f>
        <v>0.82440000000000002</v>
      </c>
      <c r="D58" s="16">
        <f>ROUND(0.7937, 4)</f>
        <v>0.79369999999999996</v>
      </c>
      <c r="E58" s="16">
        <f>ROUND(0.7608, 4)</f>
        <v>0.76080000000000003</v>
      </c>
      <c r="F58" s="9"/>
      <c r="G58" s="15" t="s">
        <v>67</v>
      </c>
      <c r="H58" s="23"/>
      <c r="I58" s="25"/>
      <c r="J58" s="25"/>
    </row>
    <row r="59" spans="1:10" x14ac:dyDescent="0.25">
      <c r="C59" s="9"/>
      <c r="D59" s="9"/>
      <c r="E59" s="9"/>
      <c r="F59" s="9"/>
      <c r="G59" s="9"/>
      <c r="H59" s="9"/>
      <c r="I59" s="10"/>
      <c r="J59" s="10"/>
    </row>
    <row r="60" spans="1:10" x14ac:dyDescent="0.25">
      <c r="C60" s="9"/>
      <c r="D60" s="9"/>
      <c r="E60" s="9"/>
      <c r="F60" s="9"/>
      <c r="G60" s="9"/>
      <c r="H60" s="9"/>
      <c r="I60" s="10"/>
      <c r="J60" s="10"/>
    </row>
    <row r="61" spans="1:10" x14ac:dyDescent="0.25">
      <c r="C61" s="9"/>
      <c r="D61" s="9"/>
      <c r="E61" s="9"/>
      <c r="F61" s="9"/>
      <c r="G61" s="9"/>
      <c r="H61" s="9"/>
      <c r="I61" s="10"/>
      <c r="J61" s="10"/>
    </row>
    <row r="62" spans="1:10" x14ac:dyDescent="0.25">
      <c r="A62" s="21" t="s">
        <v>68</v>
      </c>
      <c r="B62" s="21"/>
      <c r="C62" s="15" t="s">
        <v>2</v>
      </c>
      <c r="D62" s="15" t="s">
        <v>262</v>
      </c>
      <c r="E62" s="15" t="s">
        <v>70</v>
      </c>
      <c r="F62" s="15" t="s">
        <v>71</v>
      </c>
      <c r="G62" s="15" t="s">
        <v>72</v>
      </c>
      <c r="H62" s="14"/>
      <c r="I62" s="18"/>
      <c r="J62" s="18"/>
    </row>
    <row r="63" spans="1:10" x14ac:dyDescent="0.25">
      <c r="A63" s="20" t="s">
        <v>73</v>
      </c>
      <c r="B63" s="20"/>
      <c r="C63" s="17">
        <v>14.33</v>
      </c>
      <c r="D63" s="17">
        <v>44.8</v>
      </c>
      <c r="E63" s="17">
        <v>81.84</v>
      </c>
      <c r="F63" s="17">
        <v>48</v>
      </c>
      <c r="G63" s="17">
        <f>12/4*C63</f>
        <v>42.99</v>
      </c>
      <c r="H63" s="9"/>
      <c r="I63" s="10"/>
      <c r="J63" s="10"/>
    </row>
    <row r="64" spans="1:10" x14ac:dyDescent="0.25">
      <c r="A64" s="20" t="s">
        <v>74</v>
      </c>
      <c r="B64" s="20"/>
      <c r="C64" s="17">
        <v>11.38</v>
      </c>
      <c r="D64" s="17">
        <v>29.35</v>
      </c>
      <c r="E64" s="17">
        <v>55.63</v>
      </c>
      <c r="F64" s="17">
        <v>55.33</v>
      </c>
      <c r="G64" s="17">
        <f>12/4*C64</f>
        <v>34.14</v>
      </c>
      <c r="H64" s="9"/>
      <c r="I64" s="10"/>
      <c r="J64" s="10"/>
    </row>
    <row r="65" spans="1:10" x14ac:dyDescent="0.25">
      <c r="A65" s="20" t="s">
        <v>75</v>
      </c>
      <c r="B65" s="20"/>
      <c r="C65" s="17">
        <v>81.239999999999995</v>
      </c>
      <c r="D65" s="17">
        <v>198.99</v>
      </c>
      <c r="E65" s="17">
        <v>257.88</v>
      </c>
      <c r="F65" s="17">
        <v>242.78</v>
      </c>
      <c r="G65" s="17">
        <f>12/4*C65</f>
        <v>243.71999999999997</v>
      </c>
      <c r="H65" s="9"/>
      <c r="I65" s="10"/>
      <c r="J65" s="10"/>
    </row>
    <row r="66" spans="1:10" x14ac:dyDescent="0.25">
      <c r="A66" s="20" t="s">
        <v>76</v>
      </c>
      <c r="B66" s="20"/>
      <c r="C66" s="17">
        <v>24.11</v>
      </c>
      <c r="D66" s="17">
        <v>65.17</v>
      </c>
      <c r="E66" s="17">
        <v>103.14</v>
      </c>
      <c r="F66" s="17">
        <v>68.31</v>
      </c>
      <c r="G66" s="17">
        <f>12/4*C66</f>
        <v>72.33</v>
      </c>
      <c r="H66" s="9"/>
      <c r="I66" s="10"/>
      <c r="J66" s="10"/>
    </row>
    <row r="67" spans="1:10" x14ac:dyDescent="0.25">
      <c r="C67" s="9"/>
      <c r="D67" s="9"/>
      <c r="E67" s="9"/>
      <c r="F67" s="9"/>
      <c r="G67" s="9"/>
      <c r="H67" s="9"/>
      <c r="I67" s="10"/>
      <c r="J67" s="10"/>
    </row>
    <row r="68" spans="1:10" x14ac:dyDescent="0.25">
      <c r="C68" s="9"/>
      <c r="D68" s="9"/>
      <c r="E68" s="9"/>
      <c r="F68" s="9"/>
      <c r="G68" s="9"/>
      <c r="H68" s="9"/>
      <c r="I68" s="10"/>
      <c r="J68" s="10"/>
    </row>
    <row r="69" spans="1:10" x14ac:dyDescent="0.25">
      <c r="A69" s="19" t="s">
        <v>60</v>
      </c>
      <c r="B69" s="26"/>
    </row>
    <row r="70" spans="1:10" x14ac:dyDescent="0.25">
      <c r="A70" s="3" t="s">
        <v>77</v>
      </c>
      <c r="B70" s="1" t="s">
        <v>263</v>
      </c>
    </row>
    <row r="71" spans="1:10" x14ac:dyDescent="0.25">
      <c r="A71" s="3" t="s">
        <v>70</v>
      </c>
      <c r="B71" s="1" t="s">
        <v>79</v>
      </c>
    </row>
    <row r="72" spans="1:10" x14ac:dyDescent="0.25">
      <c r="A72" s="3" t="s">
        <v>71</v>
      </c>
      <c r="B72" s="1" t="s">
        <v>80</v>
      </c>
    </row>
    <row r="73" spans="1:10" x14ac:dyDescent="0.25">
      <c r="A73" s="3" t="s">
        <v>72</v>
      </c>
      <c r="B73" s="1" t="s">
        <v>81</v>
      </c>
    </row>
  </sheetData>
  <mergeCells count="19">
    <mergeCell ref="A64:B64"/>
    <mergeCell ref="A65:B65"/>
    <mergeCell ref="A66:B66"/>
    <mergeCell ref="A69:B69"/>
    <mergeCell ref="I57:I58"/>
    <mergeCell ref="J57:J58"/>
    <mergeCell ref="A58:B58"/>
    <mergeCell ref="A62:B62"/>
    <mergeCell ref="A63:B63"/>
    <mergeCell ref="A50:B50"/>
    <mergeCell ref="A51:B51"/>
    <mergeCell ref="A56:B56"/>
    <mergeCell ref="A57:B57"/>
    <mergeCell ref="H57:H58"/>
    <mergeCell ref="C7:G7"/>
    <mergeCell ref="A42:B42"/>
    <mergeCell ref="A43:B43"/>
    <mergeCell ref="A48:B48"/>
    <mergeCell ref="A49:B49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2:J70"/>
  <sheetViews>
    <sheetView workbookViewId="0">
      <selection activeCell="C9" sqref="C9:J70"/>
    </sheetView>
  </sheetViews>
  <sheetFormatPr defaultRowHeight="15" x14ac:dyDescent="0.25"/>
  <cols>
    <col min="1" max="1" width="38.85546875" bestFit="1" customWidth="1"/>
    <col min="2" max="2" width="79" bestFit="1" customWidth="1"/>
    <col min="3" max="3" width="14" bestFit="1" customWidth="1"/>
    <col min="4" max="4" width="22.28515625" bestFit="1" customWidth="1"/>
    <col min="5" max="5" width="16.42578125" bestFit="1" customWidth="1"/>
    <col min="6" max="6" width="10.5703125" bestFit="1" customWidth="1"/>
    <col min="7" max="7" width="68.28515625" bestFit="1" customWidth="1"/>
    <col min="8" max="9" width="20" bestFit="1" customWidth="1"/>
    <col min="10" max="10" width="30.5703125" bestFit="1" customWidth="1"/>
  </cols>
  <sheetData>
    <row r="2" spans="1:10" ht="18.75" x14ac:dyDescent="0.3">
      <c r="A2" s="3" t="s">
        <v>0</v>
      </c>
      <c r="B2" s="4" t="s">
        <v>264</v>
      </c>
    </row>
    <row r="3" spans="1:10" x14ac:dyDescent="0.25">
      <c r="A3" s="3" t="s">
        <v>2</v>
      </c>
      <c r="B3" s="1" t="s">
        <v>3</v>
      </c>
    </row>
    <row r="4" spans="1:10" x14ac:dyDescent="0.25">
      <c r="A4" s="3" t="s">
        <v>4</v>
      </c>
      <c r="B4" s="1">
        <v>254</v>
      </c>
    </row>
    <row r="7" spans="1:10" x14ac:dyDescent="0.25">
      <c r="C7" s="19" t="s">
        <v>5</v>
      </c>
      <c r="D7" s="20"/>
      <c r="E7" s="20"/>
      <c r="F7" s="20"/>
      <c r="G7" s="20"/>
    </row>
    <row r="8" spans="1:10" x14ac:dyDescent="0.25">
      <c r="A8" s="3" t="s">
        <v>6</v>
      </c>
      <c r="B8" s="3" t="s">
        <v>7</v>
      </c>
      <c r="C8" s="3" t="s">
        <v>8</v>
      </c>
      <c r="D8" s="3" t="s">
        <v>9</v>
      </c>
      <c r="E8" s="3" t="s">
        <v>10</v>
      </c>
      <c r="F8" s="3" t="s">
        <v>11</v>
      </c>
      <c r="G8" s="3" t="s">
        <v>12</v>
      </c>
      <c r="H8" s="3" t="s">
        <v>13</v>
      </c>
      <c r="I8" s="3" t="s">
        <v>14</v>
      </c>
      <c r="J8" s="3" t="s">
        <v>15</v>
      </c>
    </row>
    <row r="9" spans="1:10" x14ac:dyDescent="0.25">
      <c r="A9" s="1" t="s">
        <v>16</v>
      </c>
      <c r="B9" s="1" t="s">
        <v>17</v>
      </c>
      <c r="C9" s="11"/>
      <c r="D9" s="11"/>
      <c r="E9" s="11">
        <v>1</v>
      </c>
      <c r="F9" s="11"/>
      <c r="G9" s="11">
        <f t="shared" ref="G9:G36" si="0">SUM(C9:F9)</f>
        <v>1</v>
      </c>
      <c r="H9" s="17">
        <f t="shared" ref="H9:H36" si="1">ROUND(G9/254,2)</f>
        <v>0</v>
      </c>
      <c r="I9" s="16">
        <f t="shared" ref="I9:I36" si="2">ROUND(G9/$G$37,3)</f>
        <v>0</v>
      </c>
      <c r="J9" s="16"/>
    </row>
    <row r="10" spans="1:10" x14ac:dyDescent="0.25">
      <c r="A10" s="1" t="s">
        <v>16</v>
      </c>
      <c r="B10" s="1" t="s">
        <v>19</v>
      </c>
      <c r="C10" s="11">
        <v>2360</v>
      </c>
      <c r="D10" s="11"/>
      <c r="E10" s="11">
        <v>555</v>
      </c>
      <c r="F10" s="11"/>
      <c r="G10" s="11">
        <f t="shared" si="0"/>
        <v>2915</v>
      </c>
      <c r="H10" s="17">
        <f t="shared" si="1"/>
        <v>11.48</v>
      </c>
      <c r="I10" s="16">
        <f t="shared" si="2"/>
        <v>7.9000000000000001E-2</v>
      </c>
      <c r="J10" s="16">
        <f>ROUND(G10/2837.37-1,2)</f>
        <v>0.03</v>
      </c>
    </row>
    <row r="11" spans="1:10" x14ac:dyDescent="0.25">
      <c r="A11" s="1" t="s">
        <v>16</v>
      </c>
      <c r="B11" s="1" t="s">
        <v>20</v>
      </c>
      <c r="C11" s="11">
        <v>4540</v>
      </c>
      <c r="D11" s="11"/>
      <c r="E11" s="11"/>
      <c r="F11" s="11"/>
      <c r="G11" s="11">
        <f t="shared" si="0"/>
        <v>4540</v>
      </c>
      <c r="H11" s="17">
        <f t="shared" si="1"/>
        <v>17.87</v>
      </c>
      <c r="I11" s="16">
        <f t="shared" si="2"/>
        <v>0.122</v>
      </c>
      <c r="J11" s="16">
        <f>ROUND(G11/3075-1,2)</f>
        <v>0.48</v>
      </c>
    </row>
    <row r="12" spans="1:10" x14ac:dyDescent="0.25">
      <c r="A12" s="1" t="s">
        <v>16</v>
      </c>
      <c r="B12" s="1" t="s">
        <v>21</v>
      </c>
      <c r="C12" s="11"/>
      <c r="D12" s="11"/>
      <c r="E12" s="11">
        <v>16</v>
      </c>
      <c r="F12" s="11"/>
      <c r="G12" s="11">
        <f t="shared" si="0"/>
        <v>16</v>
      </c>
      <c r="H12" s="17">
        <f t="shared" si="1"/>
        <v>0.06</v>
      </c>
      <c r="I12" s="16">
        <f t="shared" si="2"/>
        <v>0</v>
      </c>
      <c r="J12" s="16"/>
    </row>
    <row r="13" spans="1:10" x14ac:dyDescent="0.25">
      <c r="A13" s="1" t="s">
        <v>16</v>
      </c>
      <c r="B13" s="1" t="s">
        <v>22</v>
      </c>
      <c r="C13" s="11"/>
      <c r="D13" s="11"/>
      <c r="E13" s="11">
        <v>161</v>
      </c>
      <c r="F13" s="11"/>
      <c r="G13" s="11">
        <f t="shared" si="0"/>
        <v>161</v>
      </c>
      <c r="H13" s="17">
        <f t="shared" si="1"/>
        <v>0.63</v>
      </c>
      <c r="I13" s="16">
        <f t="shared" si="2"/>
        <v>4.0000000000000001E-3</v>
      </c>
      <c r="J13" s="16"/>
    </row>
    <row r="14" spans="1:10" x14ac:dyDescent="0.25">
      <c r="A14" s="1" t="s">
        <v>16</v>
      </c>
      <c r="B14" s="1" t="s">
        <v>23</v>
      </c>
      <c r="C14" s="11"/>
      <c r="D14" s="11"/>
      <c r="E14" s="11">
        <v>2577</v>
      </c>
      <c r="F14" s="11"/>
      <c r="G14" s="11">
        <f t="shared" si="0"/>
        <v>2577</v>
      </c>
      <c r="H14" s="17">
        <f t="shared" si="1"/>
        <v>10.15</v>
      </c>
      <c r="I14" s="16">
        <f t="shared" si="2"/>
        <v>6.9000000000000006E-2</v>
      </c>
      <c r="J14" s="16">
        <f>ROUND(G14/1459.41-1,2)</f>
        <v>0.77</v>
      </c>
    </row>
    <row r="15" spans="1:10" x14ac:dyDescent="0.25">
      <c r="A15" s="1" t="s">
        <v>16</v>
      </c>
      <c r="B15" s="1" t="s">
        <v>24</v>
      </c>
      <c r="C15" s="11">
        <v>2900</v>
      </c>
      <c r="D15" s="11"/>
      <c r="E15" s="11">
        <v>1334</v>
      </c>
      <c r="F15" s="11"/>
      <c r="G15" s="11">
        <f t="shared" si="0"/>
        <v>4234</v>
      </c>
      <c r="H15" s="17">
        <f t="shared" si="1"/>
        <v>16.670000000000002</v>
      </c>
      <c r="I15" s="16">
        <f t="shared" si="2"/>
        <v>0.114</v>
      </c>
      <c r="J15" s="16">
        <f>ROUND(G15/4719.67-1,2)</f>
        <v>-0.1</v>
      </c>
    </row>
    <row r="16" spans="1:10" x14ac:dyDescent="0.25">
      <c r="A16" s="1" t="s">
        <v>16</v>
      </c>
      <c r="B16" s="1" t="s">
        <v>25</v>
      </c>
      <c r="C16" s="11"/>
      <c r="D16" s="11"/>
      <c r="E16" s="11">
        <v>266</v>
      </c>
      <c r="F16" s="11"/>
      <c r="G16" s="11">
        <f t="shared" si="0"/>
        <v>266</v>
      </c>
      <c r="H16" s="17">
        <f t="shared" si="1"/>
        <v>1.05</v>
      </c>
      <c r="I16" s="16">
        <f t="shared" si="2"/>
        <v>7.0000000000000001E-3</v>
      </c>
      <c r="J16" s="16"/>
    </row>
    <row r="17" spans="1:10" x14ac:dyDescent="0.25">
      <c r="A17" s="1" t="s">
        <v>16</v>
      </c>
      <c r="B17" s="1" t="s">
        <v>26</v>
      </c>
      <c r="C17" s="11">
        <v>4820</v>
      </c>
      <c r="D17" s="11"/>
      <c r="E17" s="11"/>
      <c r="F17" s="11"/>
      <c r="G17" s="11">
        <f t="shared" si="0"/>
        <v>4820</v>
      </c>
      <c r="H17" s="17">
        <f t="shared" si="1"/>
        <v>18.98</v>
      </c>
      <c r="I17" s="16">
        <f t="shared" si="2"/>
        <v>0.13</v>
      </c>
      <c r="J17" s="16">
        <f>ROUND(G17/4120-1,2)</f>
        <v>0.17</v>
      </c>
    </row>
    <row r="18" spans="1:10" x14ac:dyDescent="0.25">
      <c r="A18" s="1" t="s">
        <v>16</v>
      </c>
      <c r="B18" s="1" t="s">
        <v>27</v>
      </c>
      <c r="C18" s="11"/>
      <c r="D18" s="11"/>
      <c r="E18" s="11">
        <v>28</v>
      </c>
      <c r="F18" s="11"/>
      <c r="G18" s="11">
        <f t="shared" si="0"/>
        <v>28</v>
      </c>
      <c r="H18" s="17">
        <f t="shared" si="1"/>
        <v>0.11</v>
      </c>
      <c r="I18" s="16">
        <f t="shared" si="2"/>
        <v>1E-3</v>
      </c>
      <c r="J18" s="16"/>
    </row>
    <row r="19" spans="1:10" x14ac:dyDescent="0.25">
      <c r="A19" s="1" t="s">
        <v>16</v>
      </c>
      <c r="B19" s="1" t="s">
        <v>28</v>
      </c>
      <c r="C19" s="11"/>
      <c r="D19" s="11"/>
      <c r="E19" s="11">
        <v>18</v>
      </c>
      <c r="F19" s="11"/>
      <c r="G19" s="11">
        <f t="shared" si="0"/>
        <v>18</v>
      </c>
      <c r="H19" s="17">
        <f t="shared" si="1"/>
        <v>7.0000000000000007E-2</v>
      </c>
      <c r="I19" s="16">
        <f t="shared" si="2"/>
        <v>0</v>
      </c>
      <c r="J19" s="16"/>
    </row>
    <row r="20" spans="1:10" x14ac:dyDescent="0.25">
      <c r="A20" s="1" t="s">
        <v>16</v>
      </c>
      <c r="B20" s="1" t="s">
        <v>29</v>
      </c>
      <c r="C20" s="11"/>
      <c r="D20" s="11"/>
      <c r="E20" s="11">
        <v>23</v>
      </c>
      <c r="F20" s="11"/>
      <c r="G20" s="11">
        <f t="shared" si="0"/>
        <v>23</v>
      </c>
      <c r="H20" s="17">
        <f t="shared" si="1"/>
        <v>0.09</v>
      </c>
      <c r="I20" s="16">
        <f t="shared" si="2"/>
        <v>1E-3</v>
      </c>
      <c r="J20" s="16">
        <f>ROUND(G20/10.61-1,2)</f>
        <v>1.17</v>
      </c>
    </row>
    <row r="21" spans="1:10" x14ac:dyDescent="0.25">
      <c r="A21" s="1" t="s">
        <v>16</v>
      </c>
      <c r="B21" s="1" t="s">
        <v>31</v>
      </c>
      <c r="C21" s="11"/>
      <c r="D21" s="11"/>
      <c r="E21" s="11">
        <v>85</v>
      </c>
      <c r="F21" s="11"/>
      <c r="G21" s="11">
        <f t="shared" si="0"/>
        <v>85</v>
      </c>
      <c r="H21" s="17">
        <f t="shared" si="1"/>
        <v>0.33</v>
      </c>
      <c r="I21" s="16">
        <f t="shared" si="2"/>
        <v>2E-3</v>
      </c>
      <c r="J21" s="16"/>
    </row>
    <row r="22" spans="1:10" x14ac:dyDescent="0.25">
      <c r="A22" s="1" t="s">
        <v>16</v>
      </c>
      <c r="B22" s="1" t="s">
        <v>32</v>
      </c>
      <c r="C22" s="11"/>
      <c r="D22" s="11"/>
      <c r="E22" s="11">
        <v>12</v>
      </c>
      <c r="F22" s="11"/>
      <c r="G22" s="11">
        <f t="shared" si="0"/>
        <v>12</v>
      </c>
      <c r="H22" s="17">
        <f t="shared" si="1"/>
        <v>0.05</v>
      </c>
      <c r="I22" s="16">
        <f t="shared" si="2"/>
        <v>0</v>
      </c>
      <c r="J22" s="16"/>
    </row>
    <row r="23" spans="1:10" x14ac:dyDescent="0.25">
      <c r="A23" s="1" t="s">
        <v>16</v>
      </c>
      <c r="B23" s="1" t="s">
        <v>35</v>
      </c>
      <c r="C23" s="11"/>
      <c r="D23" s="11"/>
      <c r="E23" s="11">
        <v>3666</v>
      </c>
      <c r="F23" s="11"/>
      <c r="G23" s="11">
        <f t="shared" si="0"/>
        <v>3666</v>
      </c>
      <c r="H23" s="17">
        <f t="shared" si="1"/>
        <v>14.43</v>
      </c>
      <c r="I23" s="16">
        <f t="shared" si="2"/>
        <v>9.9000000000000005E-2</v>
      </c>
      <c r="J23" s="16">
        <f>ROUND(G23/2415.55-1,2)</f>
        <v>0.52</v>
      </c>
    </row>
    <row r="24" spans="1:10" x14ac:dyDescent="0.25">
      <c r="A24" s="1" t="s">
        <v>16</v>
      </c>
      <c r="B24" s="1" t="s">
        <v>37</v>
      </c>
      <c r="C24" s="11"/>
      <c r="D24" s="11"/>
      <c r="E24" s="11">
        <v>1143</v>
      </c>
      <c r="F24" s="11"/>
      <c r="G24" s="11">
        <f t="shared" si="0"/>
        <v>1143</v>
      </c>
      <c r="H24" s="17">
        <f t="shared" si="1"/>
        <v>4.5</v>
      </c>
      <c r="I24" s="16">
        <f t="shared" si="2"/>
        <v>3.1E-2</v>
      </c>
      <c r="J24" s="16">
        <f>ROUND(G24/663.36-1,2)</f>
        <v>0.72</v>
      </c>
    </row>
    <row r="25" spans="1:10" x14ac:dyDescent="0.25">
      <c r="A25" s="1" t="s">
        <v>16</v>
      </c>
      <c r="B25" s="1" t="s">
        <v>38</v>
      </c>
      <c r="C25" s="11"/>
      <c r="D25" s="11"/>
      <c r="E25" s="11">
        <v>1617</v>
      </c>
      <c r="F25" s="11"/>
      <c r="G25" s="11">
        <f t="shared" si="0"/>
        <v>1617</v>
      </c>
      <c r="H25" s="17">
        <f t="shared" si="1"/>
        <v>6.37</v>
      </c>
      <c r="I25" s="16">
        <f t="shared" si="2"/>
        <v>4.3999999999999997E-2</v>
      </c>
      <c r="J25" s="16">
        <f>ROUND(G25/67.92-1,2)</f>
        <v>22.81</v>
      </c>
    </row>
    <row r="26" spans="1:10" x14ac:dyDescent="0.25">
      <c r="A26" s="1" t="s">
        <v>16</v>
      </c>
      <c r="B26" s="1" t="s">
        <v>40</v>
      </c>
      <c r="C26" s="11"/>
      <c r="D26" s="11"/>
      <c r="E26" s="11"/>
      <c r="F26" s="11"/>
      <c r="G26" s="11">
        <f t="shared" si="0"/>
        <v>0</v>
      </c>
      <c r="H26" s="17">
        <f t="shared" si="1"/>
        <v>0</v>
      </c>
      <c r="I26" s="16">
        <f t="shared" si="2"/>
        <v>0</v>
      </c>
      <c r="J26" s="16">
        <f>ROUND(G26/337.5-1,2)</f>
        <v>-1</v>
      </c>
    </row>
    <row r="27" spans="1:10" x14ac:dyDescent="0.25">
      <c r="A27" s="1" t="s">
        <v>16</v>
      </c>
      <c r="B27" s="1" t="s">
        <v>42</v>
      </c>
      <c r="C27" s="11"/>
      <c r="D27" s="11"/>
      <c r="E27" s="11"/>
      <c r="F27" s="11"/>
      <c r="G27" s="11">
        <f t="shared" si="0"/>
        <v>0</v>
      </c>
      <c r="H27" s="17">
        <f t="shared" si="1"/>
        <v>0</v>
      </c>
      <c r="I27" s="16">
        <f t="shared" si="2"/>
        <v>0</v>
      </c>
      <c r="J27" s="16">
        <f>ROUND(G27/58.02-1,2)</f>
        <v>-1</v>
      </c>
    </row>
    <row r="28" spans="1:10" x14ac:dyDescent="0.25">
      <c r="A28" s="1" t="s">
        <v>16</v>
      </c>
      <c r="B28" s="1" t="s">
        <v>41</v>
      </c>
      <c r="C28" s="11"/>
      <c r="D28" s="11"/>
      <c r="E28" s="11"/>
      <c r="F28" s="11"/>
      <c r="G28" s="11">
        <f t="shared" si="0"/>
        <v>0</v>
      </c>
      <c r="H28" s="17">
        <f t="shared" si="1"/>
        <v>0</v>
      </c>
      <c r="I28" s="16">
        <f t="shared" si="2"/>
        <v>0</v>
      </c>
      <c r="J28" s="16"/>
    </row>
    <row r="29" spans="1:10" x14ac:dyDescent="0.25">
      <c r="A29" s="1" t="s">
        <v>16</v>
      </c>
      <c r="B29" s="1" t="s">
        <v>30</v>
      </c>
      <c r="C29" s="11"/>
      <c r="D29" s="11"/>
      <c r="E29" s="11"/>
      <c r="F29" s="11"/>
      <c r="G29" s="11">
        <f t="shared" si="0"/>
        <v>0</v>
      </c>
      <c r="H29" s="17">
        <f t="shared" si="1"/>
        <v>0</v>
      </c>
      <c r="I29" s="16">
        <f t="shared" si="2"/>
        <v>0</v>
      </c>
      <c r="J29" s="16"/>
    </row>
    <row r="30" spans="1:10" x14ac:dyDescent="0.25">
      <c r="A30" s="1" t="s">
        <v>16</v>
      </c>
      <c r="B30" s="1" t="s">
        <v>39</v>
      </c>
      <c r="C30" s="11"/>
      <c r="D30" s="11"/>
      <c r="E30" s="11"/>
      <c r="F30" s="11"/>
      <c r="G30" s="11">
        <f t="shared" si="0"/>
        <v>0</v>
      </c>
      <c r="H30" s="17">
        <f t="shared" si="1"/>
        <v>0</v>
      </c>
      <c r="I30" s="16">
        <f t="shared" si="2"/>
        <v>0</v>
      </c>
      <c r="J30" s="16"/>
    </row>
    <row r="31" spans="1:10" x14ac:dyDescent="0.25">
      <c r="A31" s="1" t="s">
        <v>16</v>
      </c>
      <c r="B31" s="1" t="s">
        <v>34</v>
      </c>
      <c r="C31" s="11"/>
      <c r="D31" s="11"/>
      <c r="E31" s="11"/>
      <c r="F31" s="11"/>
      <c r="G31" s="11">
        <f t="shared" si="0"/>
        <v>0</v>
      </c>
      <c r="H31" s="17">
        <f t="shared" si="1"/>
        <v>0</v>
      </c>
      <c r="I31" s="16">
        <f t="shared" si="2"/>
        <v>0</v>
      </c>
      <c r="J31" s="16"/>
    </row>
    <row r="32" spans="1:10" x14ac:dyDescent="0.25">
      <c r="A32" s="1" t="s">
        <v>16</v>
      </c>
      <c r="B32" s="1" t="s">
        <v>36</v>
      </c>
      <c r="C32" s="11"/>
      <c r="D32" s="11"/>
      <c r="E32" s="11"/>
      <c r="F32" s="11"/>
      <c r="G32" s="11">
        <f t="shared" si="0"/>
        <v>0</v>
      </c>
      <c r="H32" s="17">
        <f t="shared" si="1"/>
        <v>0</v>
      </c>
      <c r="I32" s="16">
        <f t="shared" si="2"/>
        <v>0</v>
      </c>
      <c r="J32" s="16"/>
    </row>
    <row r="33" spans="1:10" x14ac:dyDescent="0.25">
      <c r="A33" s="1" t="s">
        <v>44</v>
      </c>
      <c r="B33" s="1" t="s">
        <v>45</v>
      </c>
      <c r="C33" s="11">
        <v>8820</v>
      </c>
      <c r="D33" s="11"/>
      <c r="E33" s="11"/>
      <c r="F33" s="11"/>
      <c r="G33" s="11">
        <f t="shared" si="0"/>
        <v>8820</v>
      </c>
      <c r="H33" s="17">
        <f t="shared" si="1"/>
        <v>34.72</v>
      </c>
      <c r="I33" s="16">
        <f t="shared" si="2"/>
        <v>0.23799999999999999</v>
      </c>
      <c r="J33" s="16">
        <f>ROUND(G33/8260-1,2)</f>
        <v>7.0000000000000007E-2</v>
      </c>
    </row>
    <row r="34" spans="1:10" x14ac:dyDescent="0.25">
      <c r="A34" s="1" t="s">
        <v>44</v>
      </c>
      <c r="B34" s="1" t="s">
        <v>46</v>
      </c>
      <c r="C34" s="11"/>
      <c r="D34" s="11"/>
      <c r="E34" s="11">
        <v>2166</v>
      </c>
      <c r="F34" s="11"/>
      <c r="G34" s="11">
        <f t="shared" si="0"/>
        <v>2166</v>
      </c>
      <c r="H34" s="17">
        <f t="shared" si="1"/>
        <v>8.5299999999999994</v>
      </c>
      <c r="I34" s="16">
        <f t="shared" si="2"/>
        <v>5.8000000000000003E-2</v>
      </c>
      <c r="J34" s="16">
        <f>ROUND(G34/1227.78-1,2)</f>
        <v>0.76</v>
      </c>
    </row>
    <row r="35" spans="1:10" x14ac:dyDescent="0.25">
      <c r="A35" s="1" t="s">
        <v>44</v>
      </c>
      <c r="B35" s="1" t="s">
        <v>47</v>
      </c>
      <c r="C35" s="11"/>
      <c r="D35" s="11"/>
      <c r="E35" s="11"/>
      <c r="F35" s="11"/>
      <c r="G35" s="11">
        <f t="shared" si="0"/>
        <v>0</v>
      </c>
      <c r="H35" s="17">
        <f t="shared" si="1"/>
        <v>0</v>
      </c>
      <c r="I35" s="16">
        <f t="shared" si="2"/>
        <v>0</v>
      </c>
      <c r="J35" s="16"/>
    </row>
    <row r="36" spans="1:10" x14ac:dyDescent="0.25">
      <c r="A36" s="1" t="s">
        <v>48</v>
      </c>
      <c r="B36" s="1" t="s">
        <v>51</v>
      </c>
      <c r="C36" s="11"/>
      <c r="D36" s="11"/>
      <c r="E36" s="11"/>
      <c r="F36" s="11"/>
      <c r="G36" s="11">
        <f t="shared" si="0"/>
        <v>0</v>
      </c>
      <c r="H36" s="17">
        <f t="shared" si="1"/>
        <v>0</v>
      </c>
      <c r="I36" s="16">
        <f t="shared" si="2"/>
        <v>0</v>
      </c>
      <c r="J36" s="16"/>
    </row>
    <row r="37" spans="1:10" x14ac:dyDescent="0.25">
      <c r="A37" s="21" t="s">
        <v>12</v>
      </c>
      <c r="B37" s="21"/>
      <c r="C37" s="12">
        <f t="shared" ref="C37:H37" si="3">SUM(C8:C36)</f>
        <v>23440</v>
      </c>
      <c r="D37" s="12">
        <f t="shared" si="3"/>
        <v>0</v>
      </c>
      <c r="E37" s="12">
        <f t="shared" si="3"/>
        <v>13668</v>
      </c>
      <c r="F37" s="12">
        <f t="shared" si="3"/>
        <v>0</v>
      </c>
      <c r="G37" s="12">
        <f t="shared" si="3"/>
        <v>37108</v>
      </c>
      <c r="H37" s="15">
        <f t="shared" si="3"/>
        <v>146.09</v>
      </c>
      <c r="I37" s="18"/>
      <c r="J37" s="18"/>
    </row>
    <row r="38" spans="1:10" x14ac:dyDescent="0.25">
      <c r="A38" s="21" t="s">
        <v>14</v>
      </c>
      <c r="B38" s="21"/>
      <c r="C38" s="13">
        <f>ROUND(C37/G37,2)</f>
        <v>0.63</v>
      </c>
      <c r="D38" s="13">
        <f>ROUND(D37/G37,2)</f>
        <v>0</v>
      </c>
      <c r="E38" s="13">
        <f>ROUND(E37/G37,2)</f>
        <v>0.37</v>
      </c>
      <c r="F38" s="13">
        <f>ROUND(F37/G37,2)</f>
        <v>0</v>
      </c>
      <c r="G38" s="14"/>
      <c r="H38" s="14"/>
      <c r="I38" s="18"/>
      <c r="J38" s="18"/>
    </row>
    <row r="39" spans="1:10" x14ac:dyDescent="0.25">
      <c r="A39" s="2" t="s">
        <v>52</v>
      </c>
      <c r="B39" s="2"/>
      <c r="C39" s="14"/>
      <c r="D39" s="14"/>
      <c r="E39" s="14"/>
      <c r="F39" s="14"/>
      <c r="G39" s="14"/>
      <c r="H39" s="14"/>
      <c r="I39" s="18"/>
      <c r="J39" s="18"/>
    </row>
    <row r="40" spans="1:10" x14ac:dyDescent="0.25">
      <c r="C40" s="9"/>
      <c r="D40" s="9"/>
      <c r="E40" s="9"/>
      <c r="F40" s="9"/>
      <c r="G40" s="9"/>
      <c r="H40" s="9"/>
      <c r="I40" s="10"/>
      <c r="J40" s="10"/>
    </row>
    <row r="41" spans="1:10" x14ac:dyDescent="0.25">
      <c r="C41" s="9"/>
      <c r="D41" s="9"/>
      <c r="E41" s="9"/>
      <c r="F41" s="9"/>
      <c r="G41" s="9"/>
      <c r="H41" s="9"/>
      <c r="I41" s="10"/>
      <c r="J41" s="10"/>
    </row>
    <row r="42" spans="1:10" x14ac:dyDescent="0.25">
      <c r="C42" s="9"/>
      <c r="D42" s="9"/>
      <c r="E42" s="9"/>
      <c r="F42" s="9"/>
      <c r="G42" s="9"/>
      <c r="H42" s="9"/>
      <c r="I42" s="10"/>
      <c r="J42" s="10"/>
    </row>
    <row r="43" spans="1:10" x14ac:dyDescent="0.25">
      <c r="A43" s="21" t="s">
        <v>53</v>
      </c>
      <c r="B43" s="21"/>
      <c r="C43" s="12" t="s">
        <v>8</v>
      </c>
      <c r="D43" s="12" t="s">
        <v>9</v>
      </c>
      <c r="E43" s="12" t="s">
        <v>10</v>
      </c>
      <c r="F43" s="12" t="s">
        <v>11</v>
      </c>
      <c r="G43" s="12" t="s">
        <v>12</v>
      </c>
      <c r="H43" s="15" t="s">
        <v>13</v>
      </c>
      <c r="I43" s="18"/>
      <c r="J43" s="18"/>
    </row>
    <row r="44" spans="1:10" x14ac:dyDescent="0.25">
      <c r="A44" s="20" t="s">
        <v>54</v>
      </c>
      <c r="B44" s="20"/>
      <c r="C44" s="11">
        <v>14620</v>
      </c>
      <c r="D44" s="11">
        <v>0</v>
      </c>
      <c r="E44" s="11">
        <v>11502</v>
      </c>
      <c r="F44" s="11">
        <v>0</v>
      </c>
      <c r="G44" s="11">
        <f>SUM(C44:F44)</f>
        <v>26122</v>
      </c>
      <c r="H44" s="17">
        <f>ROUND(G44/254,2)</f>
        <v>102.84</v>
      </c>
      <c r="I44" s="10"/>
      <c r="J44" s="10"/>
    </row>
    <row r="45" spans="1:10" x14ac:dyDescent="0.25">
      <c r="A45" s="20" t="s">
        <v>55</v>
      </c>
      <c r="B45" s="20"/>
      <c r="C45" s="11">
        <v>8820</v>
      </c>
      <c r="D45" s="11">
        <v>0</v>
      </c>
      <c r="E45" s="11">
        <v>2166</v>
      </c>
      <c r="F45" s="11">
        <v>0</v>
      </c>
      <c r="G45" s="11">
        <f>SUM(C45:F45)</f>
        <v>10986</v>
      </c>
      <c r="H45" s="17">
        <f>ROUND(G45/254,2)</f>
        <v>43.25</v>
      </c>
      <c r="I45" s="10"/>
      <c r="J45" s="10"/>
    </row>
    <row r="46" spans="1:10" x14ac:dyDescent="0.25">
      <c r="A46" s="20" t="s">
        <v>56</v>
      </c>
      <c r="B46" s="20"/>
      <c r="C46" s="11">
        <v>0</v>
      </c>
      <c r="D46" s="11">
        <v>0</v>
      </c>
      <c r="E46" s="11">
        <v>0</v>
      </c>
      <c r="F46" s="11">
        <v>0</v>
      </c>
      <c r="G46" s="11">
        <f>SUM(C46:F46)</f>
        <v>0</v>
      </c>
      <c r="H46" s="17">
        <f>ROUND(G46/254,2)</f>
        <v>0</v>
      </c>
      <c r="I46" s="10"/>
      <c r="J46" s="10"/>
    </row>
    <row r="47" spans="1:10" x14ac:dyDescent="0.25">
      <c r="C47" s="9"/>
      <c r="D47" s="9"/>
      <c r="E47" s="9"/>
      <c r="F47" s="9"/>
      <c r="G47" s="9"/>
      <c r="H47" s="9"/>
      <c r="I47" s="10"/>
      <c r="J47" s="10"/>
    </row>
    <row r="48" spans="1:10" x14ac:dyDescent="0.25">
      <c r="C48" s="9"/>
      <c r="D48" s="9"/>
      <c r="E48" s="9"/>
      <c r="F48" s="9"/>
      <c r="G48" s="9"/>
      <c r="H48" s="9"/>
      <c r="I48" s="10"/>
      <c r="J48" s="10"/>
    </row>
    <row r="49" spans="1:10" x14ac:dyDescent="0.25">
      <c r="C49" s="9"/>
      <c r="D49" s="9"/>
      <c r="E49" s="9"/>
      <c r="F49" s="9"/>
      <c r="G49" s="9"/>
      <c r="H49" s="9"/>
      <c r="I49" s="10"/>
      <c r="J49" s="10"/>
    </row>
    <row r="50" spans="1:10" x14ac:dyDescent="0.25">
      <c r="C50" s="9"/>
      <c r="D50" s="9"/>
      <c r="E50" s="9"/>
      <c r="F50" s="9"/>
      <c r="G50" s="9"/>
      <c r="H50" s="9"/>
      <c r="I50" s="10"/>
      <c r="J50" s="10"/>
    </row>
    <row r="51" spans="1:10" x14ac:dyDescent="0.25">
      <c r="A51" s="21" t="s">
        <v>57</v>
      </c>
      <c r="B51" s="21"/>
      <c r="C51" s="15" t="s">
        <v>2</v>
      </c>
      <c r="D51" s="15">
        <v>2023</v>
      </c>
      <c r="E51" s="15" t="s">
        <v>59</v>
      </c>
      <c r="F51" s="14"/>
      <c r="G51" s="15" t="s">
        <v>60</v>
      </c>
      <c r="H51" s="15" t="s">
        <v>2</v>
      </c>
      <c r="I51" s="13" t="s">
        <v>61</v>
      </c>
      <c r="J51" s="13" t="s">
        <v>59</v>
      </c>
    </row>
    <row r="52" spans="1:10" x14ac:dyDescent="0.25">
      <c r="A52" s="20" t="s">
        <v>58</v>
      </c>
      <c r="B52" s="20"/>
      <c r="C52" s="16">
        <f>ROUND(0.7434, 4)</f>
        <v>0.74339999999999995</v>
      </c>
      <c r="D52" s="16">
        <f>ROUND(0.6531, 4)</f>
        <v>0.65310000000000001</v>
      </c>
      <c r="E52" s="16">
        <f>ROUND(0.777, 4)</f>
        <v>0.77700000000000002</v>
      </c>
      <c r="F52" s="9"/>
      <c r="G52" s="15" t="s">
        <v>62</v>
      </c>
      <c r="H52" s="22" t="s">
        <v>63</v>
      </c>
      <c r="I52" s="24" t="s">
        <v>64</v>
      </c>
      <c r="J52" s="24" t="s">
        <v>65</v>
      </c>
    </row>
    <row r="53" spans="1:10" x14ac:dyDescent="0.25">
      <c r="A53" s="20" t="s">
        <v>66</v>
      </c>
      <c r="B53" s="20"/>
      <c r="C53" s="16">
        <f>ROUND(0.7119, 4)</f>
        <v>0.71189999999999998</v>
      </c>
      <c r="D53" s="16">
        <f>ROUND(0.6157, 4)</f>
        <v>0.61570000000000003</v>
      </c>
      <c r="E53" s="16">
        <f>ROUND(0.7608, 4)</f>
        <v>0.76080000000000003</v>
      </c>
      <c r="F53" s="9"/>
      <c r="G53" s="15" t="s">
        <v>67</v>
      </c>
      <c r="H53" s="23"/>
      <c r="I53" s="25"/>
      <c r="J53" s="25"/>
    </row>
    <row r="54" spans="1:10" x14ac:dyDescent="0.25">
      <c r="C54" s="9"/>
      <c r="D54" s="9"/>
      <c r="E54" s="9"/>
      <c r="F54" s="9"/>
      <c r="G54" s="9"/>
      <c r="H54" s="9"/>
      <c r="I54" s="10"/>
      <c r="J54" s="10"/>
    </row>
    <row r="55" spans="1:10" x14ac:dyDescent="0.25">
      <c r="C55" s="9"/>
      <c r="D55" s="9"/>
      <c r="E55" s="9"/>
      <c r="F55" s="9"/>
      <c r="G55" s="9"/>
      <c r="H55" s="9"/>
      <c r="I55" s="10"/>
      <c r="J55" s="10"/>
    </row>
    <row r="56" spans="1:10" x14ac:dyDescent="0.25">
      <c r="C56" s="9"/>
      <c r="D56" s="9"/>
      <c r="E56" s="9"/>
      <c r="F56" s="9"/>
      <c r="G56" s="9"/>
      <c r="H56" s="9"/>
      <c r="I56" s="10"/>
      <c r="J56" s="10"/>
    </row>
    <row r="57" spans="1:10" x14ac:dyDescent="0.25">
      <c r="A57" s="21" t="s">
        <v>68</v>
      </c>
      <c r="B57" s="21"/>
      <c r="C57" s="15" t="s">
        <v>2</v>
      </c>
      <c r="D57" s="15" t="s">
        <v>265</v>
      </c>
      <c r="E57" s="15" t="s">
        <v>70</v>
      </c>
      <c r="F57" s="15" t="s">
        <v>71</v>
      </c>
      <c r="G57" s="15" t="s">
        <v>72</v>
      </c>
      <c r="H57" s="14"/>
      <c r="I57" s="18"/>
      <c r="J57" s="18"/>
    </row>
    <row r="58" spans="1:10" x14ac:dyDescent="0.25">
      <c r="A58" s="20" t="s">
        <v>73</v>
      </c>
      <c r="B58" s="20"/>
      <c r="C58" s="17">
        <v>34.72</v>
      </c>
      <c r="D58" s="17">
        <v>97.85</v>
      </c>
      <c r="E58" s="17">
        <v>81.84</v>
      </c>
      <c r="F58" s="17">
        <v>48</v>
      </c>
      <c r="G58" s="17">
        <f>12/4*C58</f>
        <v>104.16</v>
      </c>
      <c r="H58" s="9"/>
      <c r="I58" s="10"/>
      <c r="J58" s="10"/>
    </row>
    <row r="59" spans="1:10" x14ac:dyDescent="0.25">
      <c r="A59" s="20" t="s">
        <v>74</v>
      </c>
      <c r="B59" s="20"/>
      <c r="C59" s="17">
        <v>18.98</v>
      </c>
      <c r="D59" s="17">
        <v>64.349999999999994</v>
      </c>
      <c r="E59" s="17">
        <v>55.63</v>
      </c>
      <c r="F59" s="17">
        <v>55.33</v>
      </c>
      <c r="G59" s="17">
        <f>12/4*C59</f>
        <v>56.94</v>
      </c>
      <c r="H59" s="9"/>
      <c r="I59" s="10"/>
      <c r="J59" s="10"/>
    </row>
    <row r="60" spans="1:10" x14ac:dyDescent="0.25">
      <c r="A60" s="20" t="s">
        <v>75</v>
      </c>
      <c r="B60" s="20"/>
      <c r="C60" s="17">
        <v>102.84</v>
      </c>
      <c r="D60" s="17">
        <v>249.92</v>
      </c>
      <c r="E60" s="17">
        <v>257.88</v>
      </c>
      <c r="F60" s="17">
        <v>242.78</v>
      </c>
      <c r="G60" s="17">
        <f>12/4*C60</f>
        <v>308.52</v>
      </c>
      <c r="H60" s="9"/>
      <c r="I60" s="10"/>
      <c r="J60" s="10"/>
    </row>
    <row r="61" spans="1:10" x14ac:dyDescent="0.25">
      <c r="A61" s="20" t="s">
        <v>76</v>
      </c>
      <c r="B61" s="20"/>
      <c r="C61" s="17">
        <v>43.25</v>
      </c>
      <c r="D61" s="17">
        <v>111.81</v>
      </c>
      <c r="E61" s="17">
        <v>103.14</v>
      </c>
      <c r="F61" s="17">
        <v>68.31</v>
      </c>
      <c r="G61" s="17">
        <f>12/4*C61</f>
        <v>129.75</v>
      </c>
      <c r="H61" s="9"/>
      <c r="I61" s="10"/>
      <c r="J61" s="10"/>
    </row>
    <row r="62" spans="1:10" x14ac:dyDescent="0.25">
      <c r="C62" s="9"/>
      <c r="D62" s="9"/>
      <c r="E62" s="9"/>
      <c r="F62" s="9"/>
      <c r="G62" s="9"/>
      <c r="H62" s="9"/>
      <c r="I62" s="10"/>
      <c r="J62" s="10"/>
    </row>
    <row r="63" spans="1:10" x14ac:dyDescent="0.25">
      <c r="C63" s="9"/>
      <c r="D63" s="9"/>
      <c r="E63" s="9"/>
      <c r="F63" s="9"/>
      <c r="G63" s="9"/>
      <c r="H63" s="9"/>
      <c r="I63" s="10"/>
      <c r="J63" s="10"/>
    </row>
    <row r="64" spans="1:10" x14ac:dyDescent="0.25">
      <c r="A64" s="19" t="s">
        <v>60</v>
      </c>
      <c r="B64" s="26"/>
      <c r="C64" s="9"/>
      <c r="D64" s="9"/>
      <c r="E64" s="9"/>
      <c r="F64" s="9"/>
      <c r="G64" s="9"/>
      <c r="H64" s="9"/>
      <c r="I64" s="10"/>
      <c r="J64" s="10"/>
    </row>
    <row r="65" spans="1:10" x14ac:dyDescent="0.25">
      <c r="A65" s="3" t="s">
        <v>77</v>
      </c>
      <c r="B65" s="1" t="s">
        <v>266</v>
      </c>
      <c r="C65" s="9"/>
      <c r="D65" s="9"/>
      <c r="E65" s="9"/>
      <c r="F65" s="9"/>
      <c r="G65" s="9"/>
      <c r="H65" s="9"/>
      <c r="I65" s="10"/>
      <c r="J65" s="10"/>
    </row>
    <row r="66" spans="1:10" x14ac:dyDescent="0.25">
      <c r="A66" s="3" t="s">
        <v>70</v>
      </c>
      <c r="B66" s="1" t="s">
        <v>79</v>
      </c>
      <c r="C66" s="9"/>
      <c r="D66" s="9"/>
      <c r="E66" s="9"/>
      <c r="F66" s="9"/>
      <c r="G66" s="9"/>
      <c r="H66" s="9"/>
      <c r="I66" s="10"/>
      <c r="J66" s="10"/>
    </row>
    <row r="67" spans="1:10" x14ac:dyDescent="0.25">
      <c r="A67" s="3" t="s">
        <v>71</v>
      </c>
      <c r="B67" s="1" t="s">
        <v>80</v>
      </c>
      <c r="C67" s="9"/>
      <c r="D67" s="9"/>
      <c r="E67" s="9"/>
      <c r="F67" s="9"/>
      <c r="G67" s="9"/>
      <c r="H67" s="9"/>
      <c r="I67" s="10"/>
      <c r="J67" s="10"/>
    </row>
    <row r="68" spans="1:10" x14ac:dyDescent="0.25">
      <c r="A68" s="3" t="s">
        <v>72</v>
      </c>
      <c r="B68" s="1" t="s">
        <v>81</v>
      </c>
      <c r="C68" s="9"/>
      <c r="D68" s="9"/>
      <c r="E68" s="9"/>
      <c r="F68" s="9"/>
      <c r="G68" s="9"/>
      <c r="H68" s="9"/>
      <c r="I68" s="10"/>
      <c r="J68" s="10"/>
    </row>
    <row r="69" spans="1:10" x14ac:dyDescent="0.25">
      <c r="C69" s="9"/>
      <c r="D69" s="9"/>
      <c r="E69" s="9"/>
      <c r="F69" s="9"/>
      <c r="G69" s="9"/>
      <c r="H69" s="9"/>
      <c r="I69" s="10"/>
      <c r="J69" s="10"/>
    </row>
    <row r="70" spans="1:10" x14ac:dyDescent="0.25">
      <c r="C70" s="9"/>
      <c r="D70" s="9"/>
      <c r="E70" s="9"/>
      <c r="F70" s="9"/>
      <c r="G70" s="9"/>
      <c r="H70" s="9"/>
      <c r="I70" s="10"/>
      <c r="J70" s="10"/>
    </row>
  </sheetData>
  <mergeCells count="19">
    <mergeCell ref="A59:B59"/>
    <mergeCell ref="A60:B60"/>
    <mergeCell ref="A61:B61"/>
    <mergeCell ref="A64:B64"/>
    <mergeCell ref="I52:I53"/>
    <mergeCell ref="J52:J53"/>
    <mergeCell ref="A53:B53"/>
    <mergeCell ref="A57:B57"/>
    <mergeCell ref="A58:B58"/>
    <mergeCell ref="A45:B45"/>
    <mergeCell ref="A46:B46"/>
    <mergeCell ref="A51:B51"/>
    <mergeCell ref="A52:B52"/>
    <mergeCell ref="H52:H53"/>
    <mergeCell ref="C7:G7"/>
    <mergeCell ref="A37:B37"/>
    <mergeCell ref="A38:B38"/>
    <mergeCell ref="A43:B43"/>
    <mergeCell ref="A44:B44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2:J70"/>
  <sheetViews>
    <sheetView workbookViewId="0">
      <selection activeCell="C9" sqref="C9:J69"/>
    </sheetView>
  </sheetViews>
  <sheetFormatPr defaultRowHeight="15" x14ac:dyDescent="0.25"/>
  <cols>
    <col min="1" max="1" width="38.85546875" bestFit="1" customWidth="1"/>
    <col min="2" max="2" width="79" bestFit="1" customWidth="1"/>
    <col min="3" max="3" width="14" bestFit="1" customWidth="1"/>
    <col min="4" max="4" width="23.42578125" bestFit="1" customWidth="1"/>
    <col min="5" max="5" width="16.42578125" bestFit="1" customWidth="1"/>
    <col min="6" max="6" width="10.5703125" bestFit="1" customWidth="1"/>
    <col min="7" max="7" width="68.28515625" bestFit="1" customWidth="1"/>
    <col min="8" max="9" width="20" bestFit="1" customWidth="1"/>
    <col min="10" max="10" width="30.5703125" bestFit="1" customWidth="1"/>
  </cols>
  <sheetData>
    <row r="2" spans="1:10" ht="18.75" x14ac:dyDescent="0.3">
      <c r="A2" s="3" t="s">
        <v>0</v>
      </c>
      <c r="B2" s="4" t="s">
        <v>267</v>
      </c>
    </row>
    <row r="3" spans="1:10" x14ac:dyDescent="0.25">
      <c r="A3" s="3" t="s">
        <v>2</v>
      </c>
      <c r="B3" s="1" t="s">
        <v>3</v>
      </c>
    </row>
    <row r="4" spans="1:10" x14ac:dyDescent="0.25">
      <c r="A4" s="3" t="s">
        <v>4</v>
      </c>
      <c r="B4" s="1">
        <v>2820</v>
      </c>
    </row>
    <row r="7" spans="1:10" x14ac:dyDescent="0.25">
      <c r="C7" s="19" t="s">
        <v>5</v>
      </c>
      <c r="D7" s="20"/>
      <c r="E7" s="20"/>
      <c r="F7" s="20"/>
      <c r="G7" s="20"/>
    </row>
    <row r="8" spans="1:10" x14ac:dyDescent="0.25">
      <c r="A8" s="3" t="s">
        <v>6</v>
      </c>
      <c r="B8" s="3" t="s">
        <v>7</v>
      </c>
      <c r="C8" s="3" t="s">
        <v>8</v>
      </c>
      <c r="D8" s="3" t="s">
        <v>9</v>
      </c>
      <c r="E8" s="3" t="s">
        <v>10</v>
      </c>
      <c r="F8" s="3" t="s">
        <v>11</v>
      </c>
      <c r="G8" s="3" t="s">
        <v>12</v>
      </c>
      <c r="H8" s="3" t="s">
        <v>13</v>
      </c>
      <c r="I8" s="3" t="s">
        <v>14</v>
      </c>
      <c r="J8" s="3" t="s">
        <v>15</v>
      </c>
    </row>
    <row r="9" spans="1:10" x14ac:dyDescent="0.25">
      <c r="A9" s="1" t="s">
        <v>16</v>
      </c>
      <c r="B9" s="1" t="s">
        <v>17</v>
      </c>
      <c r="C9" s="11"/>
      <c r="D9" s="11"/>
      <c r="E9" s="11">
        <v>54</v>
      </c>
      <c r="F9" s="11"/>
      <c r="G9" s="11">
        <f t="shared" ref="G9:G38" si="0">SUM(C9:F9)</f>
        <v>54</v>
      </c>
      <c r="H9" s="17">
        <f t="shared" ref="H9:H38" si="1">ROUND(G9/2820,2)</f>
        <v>0.02</v>
      </c>
      <c r="I9" s="16">
        <f t="shared" ref="I9:I38" si="2">ROUND(G9/$G$39,3)</f>
        <v>0</v>
      </c>
      <c r="J9" s="16"/>
    </row>
    <row r="10" spans="1:10" x14ac:dyDescent="0.25">
      <c r="A10" s="1" t="s">
        <v>16</v>
      </c>
      <c r="B10" s="1" t="s">
        <v>19</v>
      </c>
      <c r="C10" s="11">
        <v>27200</v>
      </c>
      <c r="D10" s="11"/>
      <c r="E10" s="11"/>
      <c r="F10" s="11"/>
      <c r="G10" s="11">
        <f t="shared" si="0"/>
        <v>27200</v>
      </c>
      <c r="H10" s="17">
        <f t="shared" si="1"/>
        <v>9.65</v>
      </c>
      <c r="I10" s="16">
        <f t="shared" si="2"/>
        <v>7.4999999999999997E-2</v>
      </c>
      <c r="J10" s="16">
        <f>ROUND(G10/23400-1,2)</f>
        <v>0.16</v>
      </c>
    </row>
    <row r="11" spans="1:10" x14ac:dyDescent="0.25">
      <c r="A11" s="1" t="s">
        <v>16</v>
      </c>
      <c r="B11" s="1" t="s">
        <v>20</v>
      </c>
      <c r="C11" s="11">
        <v>33870</v>
      </c>
      <c r="D11" s="11"/>
      <c r="E11" s="11"/>
      <c r="F11" s="11"/>
      <c r="G11" s="11">
        <f t="shared" si="0"/>
        <v>33870</v>
      </c>
      <c r="H11" s="17">
        <f t="shared" si="1"/>
        <v>12.01</v>
      </c>
      <c r="I11" s="16">
        <f t="shared" si="2"/>
        <v>9.4E-2</v>
      </c>
      <c r="J11" s="16">
        <f>ROUND(G11/35590-1,2)</f>
        <v>-0.05</v>
      </c>
    </row>
    <row r="12" spans="1:10" x14ac:dyDescent="0.25">
      <c r="A12" s="1" t="s">
        <v>16</v>
      </c>
      <c r="B12" s="1" t="s">
        <v>21</v>
      </c>
      <c r="C12" s="11"/>
      <c r="D12" s="11"/>
      <c r="E12" s="11">
        <v>92</v>
      </c>
      <c r="F12" s="11"/>
      <c r="G12" s="11">
        <f t="shared" si="0"/>
        <v>92</v>
      </c>
      <c r="H12" s="17">
        <f t="shared" si="1"/>
        <v>0.03</v>
      </c>
      <c r="I12" s="16">
        <f t="shared" si="2"/>
        <v>0</v>
      </c>
      <c r="J12" s="16"/>
    </row>
    <row r="13" spans="1:10" x14ac:dyDescent="0.25">
      <c r="A13" s="1" t="s">
        <v>16</v>
      </c>
      <c r="B13" s="1" t="s">
        <v>23</v>
      </c>
      <c r="C13" s="11"/>
      <c r="D13" s="11"/>
      <c r="E13" s="11">
        <v>19160</v>
      </c>
      <c r="F13" s="11"/>
      <c r="G13" s="11">
        <f t="shared" si="0"/>
        <v>19160</v>
      </c>
      <c r="H13" s="17">
        <f t="shared" si="1"/>
        <v>6.79</v>
      </c>
      <c r="I13" s="16">
        <f t="shared" si="2"/>
        <v>5.2999999999999999E-2</v>
      </c>
      <c r="J13" s="16">
        <f>ROUND(G13/15300-1,2)</f>
        <v>0.25</v>
      </c>
    </row>
    <row r="14" spans="1:10" x14ac:dyDescent="0.25">
      <c r="A14" s="1" t="s">
        <v>16</v>
      </c>
      <c r="B14" s="1" t="s">
        <v>24</v>
      </c>
      <c r="C14" s="11">
        <v>38960</v>
      </c>
      <c r="D14" s="11"/>
      <c r="E14" s="11"/>
      <c r="F14" s="11"/>
      <c r="G14" s="11">
        <f t="shared" si="0"/>
        <v>38960</v>
      </c>
      <c r="H14" s="17">
        <f t="shared" si="1"/>
        <v>13.82</v>
      </c>
      <c r="I14" s="16">
        <f t="shared" si="2"/>
        <v>0.108</v>
      </c>
      <c r="J14" s="16">
        <f>ROUND(G14/35090-1,2)</f>
        <v>0.11</v>
      </c>
    </row>
    <row r="15" spans="1:10" x14ac:dyDescent="0.25">
      <c r="A15" s="1" t="s">
        <v>16</v>
      </c>
      <c r="B15" s="1" t="s">
        <v>25</v>
      </c>
      <c r="C15" s="11"/>
      <c r="D15" s="11"/>
      <c r="E15" s="11">
        <v>1825</v>
      </c>
      <c r="F15" s="11"/>
      <c r="G15" s="11">
        <f t="shared" si="0"/>
        <v>1825</v>
      </c>
      <c r="H15" s="17">
        <f t="shared" si="1"/>
        <v>0.65</v>
      </c>
      <c r="I15" s="16">
        <f t="shared" si="2"/>
        <v>5.0000000000000001E-3</v>
      </c>
      <c r="J15" s="16">
        <f>ROUND(G15/1010-1,2)</f>
        <v>0.81</v>
      </c>
    </row>
    <row r="16" spans="1:10" x14ac:dyDescent="0.25">
      <c r="A16" s="1" t="s">
        <v>16</v>
      </c>
      <c r="B16" s="1" t="s">
        <v>26</v>
      </c>
      <c r="C16" s="11">
        <v>68340</v>
      </c>
      <c r="D16" s="11"/>
      <c r="E16" s="11"/>
      <c r="F16" s="11">
        <v>560</v>
      </c>
      <c r="G16" s="11">
        <f t="shared" si="0"/>
        <v>68900</v>
      </c>
      <c r="H16" s="17">
        <f t="shared" si="1"/>
        <v>24.43</v>
      </c>
      <c r="I16" s="16">
        <f t="shared" si="2"/>
        <v>0.191</v>
      </c>
      <c r="J16" s="16">
        <f>ROUND(G16/67100-1,2)</f>
        <v>0.03</v>
      </c>
    </row>
    <row r="17" spans="1:10" x14ac:dyDescent="0.25">
      <c r="A17" s="1" t="s">
        <v>16</v>
      </c>
      <c r="B17" s="1" t="s">
        <v>27</v>
      </c>
      <c r="C17" s="11"/>
      <c r="D17" s="11"/>
      <c r="E17" s="11">
        <v>53</v>
      </c>
      <c r="F17" s="11"/>
      <c r="G17" s="11">
        <f t="shared" si="0"/>
        <v>53</v>
      </c>
      <c r="H17" s="17">
        <f t="shared" si="1"/>
        <v>0.02</v>
      </c>
      <c r="I17" s="16">
        <f t="shared" si="2"/>
        <v>0</v>
      </c>
      <c r="J17" s="16">
        <f>ROUND(G17/352-1,2)</f>
        <v>-0.85</v>
      </c>
    </row>
    <row r="18" spans="1:10" x14ac:dyDescent="0.25">
      <c r="A18" s="1" t="s">
        <v>16</v>
      </c>
      <c r="B18" s="1" t="s">
        <v>28</v>
      </c>
      <c r="C18" s="11"/>
      <c r="D18" s="11"/>
      <c r="E18" s="11">
        <v>29</v>
      </c>
      <c r="F18" s="11"/>
      <c r="G18" s="11">
        <f t="shared" si="0"/>
        <v>29</v>
      </c>
      <c r="H18" s="17">
        <f t="shared" si="1"/>
        <v>0.01</v>
      </c>
      <c r="I18" s="16">
        <f t="shared" si="2"/>
        <v>0</v>
      </c>
      <c r="J18" s="16">
        <f>ROUND(G18/99-1,2)</f>
        <v>-0.71</v>
      </c>
    </row>
    <row r="19" spans="1:10" x14ac:dyDescent="0.25">
      <c r="A19" s="1" t="s">
        <v>16</v>
      </c>
      <c r="B19" s="1" t="s">
        <v>29</v>
      </c>
      <c r="C19" s="11"/>
      <c r="D19" s="11"/>
      <c r="E19" s="11">
        <v>210</v>
      </c>
      <c r="F19" s="11"/>
      <c r="G19" s="11">
        <f t="shared" si="0"/>
        <v>210</v>
      </c>
      <c r="H19" s="17">
        <f t="shared" si="1"/>
        <v>7.0000000000000007E-2</v>
      </c>
      <c r="I19" s="16">
        <f t="shared" si="2"/>
        <v>1E-3</v>
      </c>
      <c r="J19" s="16">
        <f>ROUND(G19/280-1,2)</f>
        <v>-0.25</v>
      </c>
    </row>
    <row r="20" spans="1:10" x14ac:dyDescent="0.25">
      <c r="A20" s="1" t="s">
        <v>16</v>
      </c>
      <c r="B20" s="1" t="s">
        <v>31</v>
      </c>
      <c r="C20" s="11"/>
      <c r="D20" s="11"/>
      <c r="E20" s="11">
        <v>325</v>
      </c>
      <c r="F20" s="11"/>
      <c r="G20" s="11">
        <f t="shared" si="0"/>
        <v>325</v>
      </c>
      <c r="H20" s="17">
        <f t="shared" si="1"/>
        <v>0.12</v>
      </c>
      <c r="I20" s="16">
        <f t="shared" si="2"/>
        <v>1E-3</v>
      </c>
      <c r="J20" s="16">
        <f>ROUND(G20/400-1,2)</f>
        <v>-0.19</v>
      </c>
    </row>
    <row r="21" spans="1:10" x14ac:dyDescent="0.25">
      <c r="A21" s="1" t="s">
        <v>16</v>
      </c>
      <c r="B21" s="1" t="s">
        <v>32</v>
      </c>
      <c r="C21" s="11"/>
      <c r="D21" s="11">
        <v>70</v>
      </c>
      <c r="E21" s="11"/>
      <c r="F21" s="11"/>
      <c r="G21" s="11">
        <f t="shared" si="0"/>
        <v>70</v>
      </c>
      <c r="H21" s="17">
        <f t="shared" si="1"/>
        <v>0.02</v>
      </c>
      <c r="I21" s="16">
        <f t="shared" si="2"/>
        <v>0</v>
      </c>
      <c r="J21" s="16">
        <f>ROUND(G21/74-1,2)</f>
        <v>-0.05</v>
      </c>
    </row>
    <row r="22" spans="1:10" x14ac:dyDescent="0.25">
      <c r="A22" s="1" t="s">
        <v>16</v>
      </c>
      <c r="B22" s="1" t="s">
        <v>34</v>
      </c>
      <c r="C22" s="11"/>
      <c r="D22" s="11">
        <v>50</v>
      </c>
      <c r="E22" s="11">
        <v>245</v>
      </c>
      <c r="F22" s="11"/>
      <c r="G22" s="11">
        <f t="shared" si="0"/>
        <v>295</v>
      </c>
      <c r="H22" s="17">
        <f t="shared" si="1"/>
        <v>0.1</v>
      </c>
      <c r="I22" s="16">
        <f t="shared" si="2"/>
        <v>1E-3</v>
      </c>
      <c r="J22" s="16">
        <f>ROUND(G22/100-1,2)</f>
        <v>1.95</v>
      </c>
    </row>
    <row r="23" spans="1:10" x14ac:dyDescent="0.25">
      <c r="A23" s="1" t="s">
        <v>16</v>
      </c>
      <c r="B23" s="1" t="s">
        <v>35</v>
      </c>
      <c r="C23" s="11"/>
      <c r="D23" s="11"/>
      <c r="E23" s="11">
        <v>27405</v>
      </c>
      <c r="F23" s="11"/>
      <c r="G23" s="11">
        <f t="shared" si="0"/>
        <v>27405</v>
      </c>
      <c r="H23" s="17">
        <f t="shared" si="1"/>
        <v>9.7200000000000006</v>
      </c>
      <c r="I23" s="16">
        <f t="shared" si="2"/>
        <v>7.5999999999999998E-2</v>
      </c>
      <c r="J23" s="16">
        <f>ROUND(G23/23330-1,2)</f>
        <v>0.17</v>
      </c>
    </row>
    <row r="24" spans="1:10" x14ac:dyDescent="0.25">
      <c r="A24" s="1" t="s">
        <v>16</v>
      </c>
      <c r="B24" s="1" t="s">
        <v>37</v>
      </c>
      <c r="C24" s="11"/>
      <c r="D24" s="11"/>
      <c r="E24" s="11">
        <v>8910</v>
      </c>
      <c r="F24" s="11"/>
      <c r="G24" s="11">
        <f t="shared" si="0"/>
        <v>8910</v>
      </c>
      <c r="H24" s="17">
        <f t="shared" si="1"/>
        <v>3.16</v>
      </c>
      <c r="I24" s="16">
        <f t="shared" si="2"/>
        <v>2.5000000000000001E-2</v>
      </c>
      <c r="J24" s="16">
        <f>ROUND(G24/6510-1,2)</f>
        <v>0.37</v>
      </c>
    </row>
    <row r="25" spans="1:10" x14ac:dyDescent="0.25">
      <c r="A25" s="1" t="s">
        <v>16</v>
      </c>
      <c r="B25" s="1" t="s">
        <v>38</v>
      </c>
      <c r="C25" s="11"/>
      <c r="D25" s="11"/>
      <c r="E25" s="11">
        <v>29520</v>
      </c>
      <c r="F25" s="11"/>
      <c r="G25" s="11">
        <f t="shared" si="0"/>
        <v>29520</v>
      </c>
      <c r="H25" s="17">
        <f t="shared" si="1"/>
        <v>10.47</v>
      </c>
      <c r="I25" s="16">
        <f t="shared" si="2"/>
        <v>8.2000000000000003E-2</v>
      </c>
      <c r="J25" s="16">
        <f>ROUND(G25/23300-1,2)</f>
        <v>0.27</v>
      </c>
    </row>
    <row r="26" spans="1:10" x14ac:dyDescent="0.25">
      <c r="A26" s="1" t="s">
        <v>16</v>
      </c>
      <c r="B26" s="1" t="s">
        <v>39</v>
      </c>
      <c r="C26" s="11"/>
      <c r="D26" s="11"/>
      <c r="E26" s="11"/>
      <c r="F26" s="11"/>
      <c r="G26" s="11">
        <f t="shared" si="0"/>
        <v>0</v>
      </c>
      <c r="H26" s="17">
        <f t="shared" si="1"/>
        <v>0</v>
      </c>
      <c r="I26" s="16">
        <f t="shared" si="2"/>
        <v>0</v>
      </c>
      <c r="J26" s="16">
        <f>ROUND(G26/110-1,2)</f>
        <v>-1</v>
      </c>
    </row>
    <row r="27" spans="1:10" x14ac:dyDescent="0.25">
      <c r="A27" s="1" t="s">
        <v>16</v>
      </c>
      <c r="B27" s="1" t="s">
        <v>40</v>
      </c>
      <c r="C27" s="11"/>
      <c r="D27" s="11"/>
      <c r="E27" s="11"/>
      <c r="F27" s="11"/>
      <c r="G27" s="11">
        <f t="shared" si="0"/>
        <v>0</v>
      </c>
      <c r="H27" s="17">
        <f t="shared" si="1"/>
        <v>0</v>
      </c>
      <c r="I27" s="16">
        <f t="shared" si="2"/>
        <v>0</v>
      </c>
      <c r="J27" s="16">
        <f>ROUND(G27/1290-1,2)</f>
        <v>-1</v>
      </c>
    </row>
    <row r="28" spans="1:10" x14ac:dyDescent="0.25">
      <c r="A28" s="1" t="s">
        <v>16</v>
      </c>
      <c r="B28" s="1" t="s">
        <v>33</v>
      </c>
      <c r="C28" s="11"/>
      <c r="D28" s="11"/>
      <c r="E28" s="11"/>
      <c r="F28" s="11"/>
      <c r="G28" s="11">
        <f t="shared" si="0"/>
        <v>0</v>
      </c>
      <c r="H28" s="17">
        <f t="shared" si="1"/>
        <v>0</v>
      </c>
      <c r="I28" s="16">
        <f t="shared" si="2"/>
        <v>0</v>
      </c>
      <c r="J28" s="16"/>
    </row>
    <row r="29" spans="1:10" x14ac:dyDescent="0.25">
      <c r="A29" s="1" t="s">
        <v>16</v>
      </c>
      <c r="B29" s="1" t="s">
        <v>41</v>
      </c>
      <c r="C29" s="11"/>
      <c r="D29" s="11"/>
      <c r="E29" s="11"/>
      <c r="F29" s="11"/>
      <c r="G29" s="11">
        <f t="shared" si="0"/>
        <v>0</v>
      </c>
      <c r="H29" s="17">
        <f t="shared" si="1"/>
        <v>0</v>
      </c>
      <c r="I29" s="16">
        <f t="shared" si="2"/>
        <v>0</v>
      </c>
      <c r="J29" s="16">
        <f>ROUND(G29/1184-1,2)</f>
        <v>-1</v>
      </c>
    </row>
    <row r="30" spans="1:10" x14ac:dyDescent="0.25">
      <c r="A30" s="1" t="s">
        <v>16</v>
      </c>
      <c r="B30" s="1" t="s">
        <v>42</v>
      </c>
      <c r="C30" s="11"/>
      <c r="D30" s="11"/>
      <c r="E30" s="11"/>
      <c r="F30" s="11"/>
      <c r="G30" s="11">
        <f t="shared" si="0"/>
        <v>0</v>
      </c>
      <c r="H30" s="17">
        <f t="shared" si="1"/>
        <v>0</v>
      </c>
      <c r="I30" s="16">
        <f t="shared" si="2"/>
        <v>0</v>
      </c>
      <c r="J30" s="16">
        <f>ROUND(G30/510-1,2)</f>
        <v>-1</v>
      </c>
    </row>
    <row r="31" spans="1:10" x14ac:dyDescent="0.25">
      <c r="A31" s="1" t="s">
        <v>16</v>
      </c>
      <c r="B31" s="1" t="s">
        <v>43</v>
      </c>
      <c r="C31" s="11"/>
      <c r="D31" s="11"/>
      <c r="E31" s="11"/>
      <c r="F31" s="11"/>
      <c r="G31" s="11">
        <f t="shared" si="0"/>
        <v>0</v>
      </c>
      <c r="H31" s="17">
        <f t="shared" si="1"/>
        <v>0</v>
      </c>
      <c r="I31" s="16">
        <f t="shared" si="2"/>
        <v>0</v>
      </c>
      <c r="J31" s="16">
        <f>ROUND(G31/3472-1,2)</f>
        <v>-1</v>
      </c>
    </row>
    <row r="32" spans="1:10" x14ac:dyDescent="0.25">
      <c r="A32" s="1" t="s">
        <v>16</v>
      </c>
      <c r="B32" s="1" t="s">
        <v>94</v>
      </c>
      <c r="C32" s="11"/>
      <c r="D32" s="11"/>
      <c r="E32" s="11"/>
      <c r="F32" s="11"/>
      <c r="G32" s="11">
        <f t="shared" si="0"/>
        <v>0</v>
      </c>
      <c r="H32" s="17">
        <f t="shared" si="1"/>
        <v>0</v>
      </c>
      <c r="I32" s="16">
        <f t="shared" si="2"/>
        <v>0</v>
      </c>
      <c r="J32" s="16">
        <f>ROUND(G32/24-1,2)</f>
        <v>-1</v>
      </c>
    </row>
    <row r="33" spans="1:10" x14ac:dyDescent="0.25">
      <c r="A33" s="1" t="s">
        <v>16</v>
      </c>
      <c r="B33" s="1" t="s">
        <v>22</v>
      </c>
      <c r="C33" s="11"/>
      <c r="D33" s="11"/>
      <c r="E33" s="11"/>
      <c r="F33" s="11"/>
      <c r="G33" s="11">
        <f t="shared" si="0"/>
        <v>0</v>
      </c>
      <c r="H33" s="17">
        <f t="shared" si="1"/>
        <v>0</v>
      </c>
      <c r="I33" s="16">
        <f t="shared" si="2"/>
        <v>0</v>
      </c>
      <c r="J33" s="16"/>
    </row>
    <row r="34" spans="1:10" x14ac:dyDescent="0.25">
      <c r="A34" s="1" t="s">
        <v>44</v>
      </c>
      <c r="B34" s="1" t="s">
        <v>45</v>
      </c>
      <c r="C34" s="11">
        <v>77720</v>
      </c>
      <c r="D34" s="11"/>
      <c r="E34" s="11"/>
      <c r="F34" s="11"/>
      <c r="G34" s="11">
        <f t="shared" si="0"/>
        <v>77720</v>
      </c>
      <c r="H34" s="17">
        <f t="shared" si="1"/>
        <v>27.56</v>
      </c>
      <c r="I34" s="16">
        <f t="shared" si="2"/>
        <v>0.216</v>
      </c>
      <c r="J34" s="16">
        <f>ROUND(G34/67040-1,2)</f>
        <v>0.16</v>
      </c>
    </row>
    <row r="35" spans="1:10" x14ac:dyDescent="0.25">
      <c r="A35" s="1" t="s">
        <v>44</v>
      </c>
      <c r="B35" s="1" t="s">
        <v>46</v>
      </c>
      <c r="C35" s="11"/>
      <c r="D35" s="11"/>
      <c r="E35" s="11">
        <v>26020</v>
      </c>
      <c r="F35" s="11"/>
      <c r="G35" s="11">
        <f t="shared" si="0"/>
        <v>26020</v>
      </c>
      <c r="H35" s="17">
        <f t="shared" si="1"/>
        <v>9.23</v>
      </c>
      <c r="I35" s="16">
        <f t="shared" si="2"/>
        <v>7.1999999999999995E-2</v>
      </c>
      <c r="J35" s="16">
        <f>ROUND(G35/23320-1,2)</f>
        <v>0.12</v>
      </c>
    </row>
    <row r="36" spans="1:10" x14ac:dyDescent="0.25">
      <c r="A36" s="1" t="s">
        <v>48</v>
      </c>
      <c r="B36" s="1" t="s">
        <v>51</v>
      </c>
      <c r="C36" s="11"/>
      <c r="D36" s="11"/>
      <c r="E36" s="11"/>
      <c r="F36" s="11"/>
      <c r="G36" s="11">
        <f t="shared" si="0"/>
        <v>0</v>
      </c>
      <c r="H36" s="17">
        <f t="shared" si="1"/>
        <v>0</v>
      </c>
      <c r="I36" s="16">
        <f t="shared" si="2"/>
        <v>0</v>
      </c>
      <c r="J36" s="16"/>
    </row>
    <row r="37" spans="1:10" x14ac:dyDescent="0.25">
      <c r="A37" s="1" t="s">
        <v>48</v>
      </c>
      <c r="B37" s="1" t="s">
        <v>159</v>
      </c>
      <c r="C37" s="11"/>
      <c r="D37" s="11"/>
      <c r="E37" s="11"/>
      <c r="F37" s="11"/>
      <c r="G37" s="11">
        <f t="shared" si="0"/>
        <v>0</v>
      </c>
      <c r="H37" s="17">
        <f t="shared" si="1"/>
        <v>0</v>
      </c>
      <c r="I37" s="16">
        <f t="shared" si="2"/>
        <v>0</v>
      </c>
      <c r="J37" s="16"/>
    </row>
    <row r="38" spans="1:10" x14ac:dyDescent="0.25">
      <c r="A38" s="1" t="s">
        <v>48</v>
      </c>
      <c r="B38" s="1" t="s">
        <v>50</v>
      </c>
      <c r="C38" s="11"/>
      <c r="D38" s="11"/>
      <c r="E38" s="11"/>
      <c r="F38" s="11"/>
      <c r="G38" s="11">
        <f t="shared" si="0"/>
        <v>0</v>
      </c>
      <c r="H38" s="17">
        <f t="shared" si="1"/>
        <v>0</v>
      </c>
      <c r="I38" s="16">
        <f t="shared" si="2"/>
        <v>0</v>
      </c>
      <c r="J38" s="16"/>
    </row>
    <row r="39" spans="1:10" x14ac:dyDescent="0.25">
      <c r="A39" s="21" t="s">
        <v>12</v>
      </c>
      <c r="B39" s="21"/>
      <c r="C39" s="12">
        <f t="shared" ref="C39:H39" si="3">SUM(C8:C38)</f>
        <v>246090</v>
      </c>
      <c r="D39" s="12">
        <f t="shared" si="3"/>
        <v>120</v>
      </c>
      <c r="E39" s="12">
        <f t="shared" si="3"/>
        <v>113848</v>
      </c>
      <c r="F39" s="12">
        <f t="shared" si="3"/>
        <v>560</v>
      </c>
      <c r="G39" s="12">
        <f t="shared" si="3"/>
        <v>360618</v>
      </c>
      <c r="H39" s="15">
        <f t="shared" si="3"/>
        <v>127.88</v>
      </c>
      <c r="I39" s="18"/>
      <c r="J39" s="18"/>
    </row>
    <row r="40" spans="1:10" x14ac:dyDescent="0.25">
      <c r="A40" s="21" t="s">
        <v>14</v>
      </c>
      <c r="B40" s="21"/>
      <c r="C40" s="13">
        <f>ROUND(C39/G39,2)</f>
        <v>0.68</v>
      </c>
      <c r="D40" s="13">
        <f>ROUND(D39/G39,2)</f>
        <v>0</v>
      </c>
      <c r="E40" s="13">
        <f>ROUND(E39/G39,2)</f>
        <v>0.32</v>
      </c>
      <c r="F40" s="13">
        <f>ROUND(F39/G39,2)</f>
        <v>0</v>
      </c>
      <c r="G40" s="14"/>
      <c r="H40" s="14"/>
      <c r="I40" s="18"/>
      <c r="J40" s="18"/>
    </row>
    <row r="41" spans="1:10" x14ac:dyDescent="0.25">
      <c r="A41" s="2" t="s">
        <v>52</v>
      </c>
      <c r="B41" s="2"/>
      <c r="C41" s="14"/>
      <c r="D41" s="14"/>
      <c r="E41" s="14"/>
      <c r="F41" s="14"/>
      <c r="G41" s="14"/>
      <c r="H41" s="14"/>
      <c r="I41" s="18"/>
      <c r="J41" s="18"/>
    </row>
    <row r="42" spans="1:10" x14ac:dyDescent="0.25">
      <c r="C42" s="9"/>
      <c r="D42" s="9"/>
      <c r="E42" s="9"/>
      <c r="F42" s="9"/>
      <c r="G42" s="9"/>
      <c r="H42" s="9"/>
      <c r="I42" s="10"/>
      <c r="J42" s="10"/>
    </row>
    <row r="43" spans="1:10" x14ac:dyDescent="0.25">
      <c r="C43" s="9"/>
      <c r="D43" s="9"/>
      <c r="E43" s="9"/>
      <c r="F43" s="9"/>
      <c r="G43" s="9"/>
      <c r="H43" s="9"/>
      <c r="I43" s="10"/>
      <c r="J43" s="10"/>
    </row>
    <row r="44" spans="1:10" x14ac:dyDescent="0.25">
      <c r="C44" s="9"/>
      <c r="D44" s="9"/>
      <c r="E44" s="9"/>
      <c r="F44" s="9"/>
      <c r="G44" s="9"/>
      <c r="H44" s="9"/>
      <c r="I44" s="10"/>
      <c r="J44" s="10"/>
    </row>
    <row r="45" spans="1:10" x14ac:dyDescent="0.25">
      <c r="A45" s="21" t="s">
        <v>53</v>
      </c>
      <c r="B45" s="21"/>
      <c r="C45" s="12" t="s">
        <v>8</v>
      </c>
      <c r="D45" s="12" t="s">
        <v>9</v>
      </c>
      <c r="E45" s="12" t="s">
        <v>10</v>
      </c>
      <c r="F45" s="12" t="s">
        <v>11</v>
      </c>
      <c r="G45" s="12" t="s">
        <v>12</v>
      </c>
      <c r="H45" s="15" t="s">
        <v>13</v>
      </c>
      <c r="I45" s="18"/>
      <c r="J45" s="18"/>
    </row>
    <row r="46" spans="1:10" x14ac:dyDescent="0.25">
      <c r="A46" s="20" t="s">
        <v>54</v>
      </c>
      <c r="B46" s="20"/>
      <c r="C46" s="11">
        <v>168370</v>
      </c>
      <c r="D46" s="11">
        <v>120</v>
      </c>
      <c r="E46" s="11">
        <v>87828</v>
      </c>
      <c r="F46" s="11">
        <v>560</v>
      </c>
      <c r="G46" s="11">
        <f>SUM(C46:F46)</f>
        <v>256878</v>
      </c>
      <c r="H46" s="17">
        <f>ROUND(G46/2820,2)</f>
        <v>91.09</v>
      </c>
      <c r="I46" s="10"/>
      <c r="J46" s="10"/>
    </row>
    <row r="47" spans="1:10" x14ac:dyDescent="0.25">
      <c r="A47" s="20" t="s">
        <v>55</v>
      </c>
      <c r="B47" s="20"/>
      <c r="C47" s="11">
        <v>77720</v>
      </c>
      <c r="D47" s="11">
        <v>0</v>
      </c>
      <c r="E47" s="11">
        <v>26020</v>
      </c>
      <c r="F47" s="11">
        <v>0</v>
      </c>
      <c r="G47" s="11">
        <f>SUM(C47:F47)</f>
        <v>103740</v>
      </c>
      <c r="H47" s="17">
        <f>ROUND(G47/2820,2)</f>
        <v>36.79</v>
      </c>
      <c r="I47" s="10"/>
      <c r="J47" s="10"/>
    </row>
    <row r="48" spans="1:10" x14ac:dyDescent="0.25">
      <c r="A48" s="20" t="s">
        <v>56</v>
      </c>
      <c r="B48" s="20"/>
      <c r="C48" s="11">
        <v>0</v>
      </c>
      <c r="D48" s="11">
        <v>0</v>
      </c>
      <c r="E48" s="11">
        <v>0</v>
      </c>
      <c r="F48" s="11">
        <v>0</v>
      </c>
      <c r="G48" s="11">
        <f>SUM(C48:F48)</f>
        <v>0</v>
      </c>
      <c r="H48" s="17">
        <f>ROUND(G48/2820,2)</f>
        <v>0</v>
      </c>
      <c r="I48" s="10"/>
      <c r="J48" s="10"/>
    </row>
    <row r="49" spans="1:10" x14ac:dyDescent="0.25">
      <c r="C49" s="9"/>
      <c r="D49" s="9"/>
      <c r="E49" s="9"/>
      <c r="F49" s="9"/>
      <c r="G49" s="9"/>
      <c r="H49" s="9"/>
      <c r="I49" s="10"/>
      <c r="J49" s="10"/>
    </row>
    <row r="50" spans="1:10" x14ac:dyDescent="0.25">
      <c r="C50" s="9"/>
      <c r="D50" s="9"/>
      <c r="E50" s="9"/>
      <c r="F50" s="9"/>
      <c r="G50" s="9"/>
      <c r="H50" s="9"/>
      <c r="I50" s="10"/>
      <c r="J50" s="10"/>
    </row>
    <row r="51" spans="1:10" x14ac:dyDescent="0.25">
      <c r="C51" s="9"/>
      <c r="D51" s="9"/>
      <c r="E51" s="9"/>
      <c r="F51" s="9"/>
      <c r="G51" s="9"/>
      <c r="H51" s="9"/>
      <c r="I51" s="10"/>
      <c r="J51" s="10"/>
    </row>
    <row r="52" spans="1:10" x14ac:dyDescent="0.25">
      <c r="C52" s="9"/>
      <c r="D52" s="9"/>
      <c r="E52" s="9"/>
      <c r="F52" s="9"/>
      <c r="G52" s="9"/>
      <c r="H52" s="9"/>
      <c r="I52" s="10"/>
      <c r="J52" s="10"/>
    </row>
    <row r="53" spans="1:10" x14ac:dyDescent="0.25">
      <c r="A53" s="21" t="s">
        <v>57</v>
      </c>
      <c r="B53" s="21"/>
      <c r="C53" s="15" t="s">
        <v>2</v>
      </c>
      <c r="D53" s="15">
        <v>2023</v>
      </c>
      <c r="E53" s="15" t="s">
        <v>59</v>
      </c>
      <c r="F53" s="14"/>
      <c r="G53" s="15" t="s">
        <v>60</v>
      </c>
      <c r="H53" s="15" t="s">
        <v>2</v>
      </c>
      <c r="I53" s="13" t="s">
        <v>61</v>
      </c>
      <c r="J53" s="13" t="s">
        <v>59</v>
      </c>
    </row>
    <row r="54" spans="1:10" x14ac:dyDescent="0.25">
      <c r="A54" s="20" t="s">
        <v>58</v>
      </c>
      <c r="B54" s="20"/>
      <c r="C54" s="16">
        <f>ROUND(0.7724, 4)</f>
        <v>0.77239999999999998</v>
      </c>
      <c r="D54" s="16">
        <f>ROUND(0.782, 4)</f>
        <v>0.78200000000000003</v>
      </c>
      <c r="E54" s="16">
        <f>ROUND(0.777, 4)</f>
        <v>0.77700000000000002</v>
      </c>
      <c r="F54" s="9"/>
      <c r="G54" s="15" t="s">
        <v>62</v>
      </c>
      <c r="H54" s="22" t="s">
        <v>63</v>
      </c>
      <c r="I54" s="24" t="s">
        <v>64</v>
      </c>
      <c r="J54" s="24" t="s">
        <v>65</v>
      </c>
    </row>
    <row r="55" spans="1:10" x14ac:dyDescent="0.25">
      <c r="A55" s="20" t="s">
        <v>66</v>
      </c>
      <c r="B55" s="20"/>
      <c r="C55" s="16">
        <f>ROUND(0.7622, 4)</f>
        <v>0.76219999999999999</v>
      </c>
      <c r="D55" s="16">
        <f>ROUND(0.7714, 4)</f>
        <v>0.77139999999999997</v>
      </c>
      <c r="E55" s="16">
        <f>ROUND(0.7608, 4)</f>
        <v>0.76080000000000003</v>
      </c>
      <c r="F55" s="9"/>
      <c r="G55" s="15" t="s">
        <v>67</v>
      </c>
      <c r="H55" s="23"/>
      <c r="I55" s="25"/>
      <c r="J55" s="25"/>
    </row>
    <row r="56" spans="1:10" x14ac:dyDescent="0.25">
      <c r="C56" s="9"/>
      <c r="D56" s="9"/>
      <c r="E56" s="9"/>
      <c r="F56" s="9"/>
      <c r="G56" s="9"/>
      <c r="H56" s="9"/>
      <c r="I56" s="10"/>
      <c r="J56" s="10"/>
    </row>
    <row r="57" spans="1:10" x14ac:dyDescent="0.25">
      <c r="C57" s="9"/>
      <c r="D57" s="9"/>
      <c r="E57" s="9"/>
      <c r="F57" s="9"/>
      <c r="G57" s="9"/>
      <c r="H57" s="9"/>
      <c r="I57" s="10"/>
      <c r="J57" s="10"/>
    </row>
    <row r="58" spans="1:10" x14ac:dyDescent="0.25">
      <c r="C58" s="9"/>
      <c r="D58" s="9"/>
      <c r="E58" s="9"/>
      <c r="F58" s="9"/>
      <c r="G58" s="9"/>
      <c r="H58" s="9"/>
      <c r="I58" s="10"/>
      <c r="J58" s="10"/>
    </row>
    <row r="59" spans="1:10" x14ac:dyDescent="0.25">
      <c r="A59" s="21" t="s">
        <v>68</v>
      </c>
      <c r="B59" s="21"/>
      <c r="C59" s="15" t="s">
        <v>2</v>
      </c>
      <c r="D59" s="15" t="s">
        <v>268</v>
      </c>
      <c r="E59" s="15" t="s">
        <v>70</v>
      </c>
      <c r="F59" s="15" t="s">
        <v>71</v>
      </c>
      <c r="G59" s="15" t="s">
        <v>72</v>
      </c>
      <c r="H59" s="14"/>
      <c r="I59" s="18"/>
      <c r="J59" s="18"/>
    </row>
    <row r="60" spans="1:10" x14ac:dyDescent="0.25">
      <c r="A60" s="20" t="s">
        <v>73</v>
      </c>
      <c r="B60" s="20"/>
      <c r="C60" s="17">
        <v>27.56</v>
      </c>
      <c r="D60" s="17">
        <v>67.44</v>
      </c>
      <c r="E60" s="17">
        <v>81.84</v>
      </c>
      <c r="F60" s="17">
        <v>48</v>
      </c>
      <c r="G60" s="17">
        <f>12/4*C60</f>
        <v>82.679999999999993</v>
      </c>
      <c r="H60" s="9"/>
      <c r="I60" s="10"/>
      <c r="J60" s="10"/>
    </row>
    <row r="61" spans="1:10" x14ac:dyDescent="0.25">
      <c r="A61" s="20" t="s">
        <v>74</v>
      </c>
      <c r="B61" s="20"/>
      <c r="C61" s="17">
        <v>24.43</v>
      </c>
      <c r="D61" s="17">
        <v>66.400000000000006</v>
      </c>
      <c r="E61" s="17">
        <v>55.63</v>
      </c>
      <c r="F61" s="17">
        <v>55.33</v>
      </c>
      <c r="G61" s="17">
        <f>12/4*C61</f>
        <v>73.289999999999992</v>
      </c>
      <c r="H61" s="9"/>
      <c r="I61" s="10"/>
      <c r="J61" s="10"/>
    </row>
    <row r="62" spans="1:10" x14ac:dyDescent="0.25">
      <c r="A62" s="20" t="s">
        <v>75</v>
      </c>
      <c r="B62" s="20"/>
      <c r="C62" s="17">
        <v>91.09</v>
      </c>
      <c r="D62" s="17">
        <v>239.81</v>
      </c>
      <c r="E62" s="17">
        <v>257.88</v>
      </c>
      <c r="F62" s="17">
        <v>242.78</v>
      </c>
      <c r="G62" s="17">
        <f>12/4*C62</f>
        <v>273.27</v>
      </c>
      <c r="H62" s="9"/>
      <c r="I62" s="10"/>
      <c r="J62" s="10"/>
    </row>
    <row r="63" spans="1:10" x14ac:dyDescent="0.25">
      <c r="A63" s="20" t="s">
        <v>76</v>
      </c>
      <c r="B63" s="20"/>
      <c r="C63" s="17">
        <v>36.79</v>
      </c>
      <c r="D63" s="17">
        <v>89.88</v>
      </c>
      <c r="E63" s="17">
        <v>103.14</v>
      </c>
      <c r="F63" s="17">
        <v>68.31</v>
      </c>
      <c r="G63" s="17">
        <f>12/4*C63</f>
        <v>110.37</v>
      </c>
      <c r="H63" s="9"/>
      <c r="I63" s="10"/>
      <c r="J63" s="10"/>
    </row>
    <row r="64" spans="1:10" x14ac:dyDescent="0.25">
      <c r="C64" s="9"/>
      <c r="D64" s="9"/>
      <c r="E64" s="9"/>
      <c r="F64" s="9"/>
      <c r="G64" s="9"/>
      <c r="H64" s="9"/>
      <c r="I64" s="10"/>
      <c r="J64" s="10"/>
    </row>
    <row r="65" spans="1:10" x14ac:dyDescent="0.25">
      <c r="C65" s="9"/>
      <c r="D65" s="9"/>
      <c r="E65" s="9"/>
      <c r="F65" s="9"/>
      <c r="G65" s="9"/>
      <c r="H65" s="9"/>
      <c r="I65" s="10"/>
      <c r="J65" s="10"/>
    </row>
    <row r="66" spans="1:10" x14ac:dyDescent="0.25">
      <c r="A66" s="19" t="s">
        <v>60</v>
      </c>
      <c r="B66" s="26"/>
      <c r="C66" s="9"/>
      <c r="D66" s="9"/>
      <c r="E66" s="9"/>
      <c r="F66" s="9"/>
      <c r="G66" s="9"/>
      <c r="H66" s="9"/>
      <c r="I66" s="10"/>
      <c r="J66" s="10"/>
    </row>
    <row r="67" spans="1:10" x14ac:dyDescent="0.25">
      <c r="A67" s="3" t="s">
        <v>77</v>
      </c>
      <c r="B67" s="1" t="s">
        <v>269</v>
      </c>
      <c r="C67" s="9"/>
      <c r="D67" s="9"/>
      <c r="E67" s="9"/>
      <c r="F67" s="9"/>
      <c r="G67" s="9"/>
      <c r="H67" s="9"/>
      <c r="I67" s="10"/>
      <c r="J67" s="10"/>
    </row>
    <row r="68" spans="1:10" x14ac:dyDescent="0.25">
      <c r="A68" s="3" t="s">
        <v>70</v>
      </c>
      <c r="B68" s="1" t="s">
        <v>79</v>
      </c>
      <c r="C68" s="9"/>
      <c r="D68" s="9"/>
      <c r="E68" s="9"/>
      <c r="F68" s="9"/>
      <c r="G68" s="9"/>
      <c r="H68" s="9"/>
      <c r="I68" s="10"/>
      <c r="J68" s="10"/>
    </row>
    <row r="69" spans="1:10" x14ac:dyDescent="0.25">
      <c r="A69" s="3" t="s">
        <v>71</v>
      </c>
      <c r="B69" s="1" t="s">
        <v>80</v>
      </c>
      <c r="C69" s="9"/>
      <c r="D69" s="9"/>
      <c r="E69" s="9"/>
      <c r="F69" s="9"/>
      <c r="G69" s="9"/>
      <c r="H69" s="9"/>
      <c r="I69" s="10"/>
      <c r="J69" s="10"/>
    </row>
    <row r="70" spans="1:10" x14ac:dyDescent="0.25">
      <c r="A70" s="3" t="s">
        <v>72</v>
      </c>
      <c r="B70" s="1" t="s">
        <v>81</v>
      </c>
    </row>
  </sheetData>
  <mergeCells count="19">
    <mergeCell ref="A61:B61"/>
    <mergeCell ref="A62:B62"/>
    <mergeCell ref="A63:B63"/>
    <mergeCell ref="A66:B66"/>
    <mergeCell ref="I54:I55"/>
    <mergeCell ref="J54:J55"/>
    <mergeCell ref="A55:B55"/>
    <mergeCell ref="A59:B59"/>
    <mergeCell ref="A60:B60"/>
    <mergeCell ref="A47:B47"/>
    <mergeCell ref="A48:B48"/>
    <mergeCell ref="A53:B53"/>
    <mergeCell ref="A54:B54"/>
    <mergeCell ref="H54:H55"/>
    <mergeCell ref="C7:G7"/>
    <mergeCell ref="A39:B39"/>
    <mergeCell ref="A40:B40"/>
    <mergeCell ref="A45:B45"/>
    <mergeCell ref="A46:B46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2:J71"/>
  <sheetViews>
    <sheetView workbookViewId="0">
      <selection activeCell="C9" sqref="C9:J71"/>
    </sheetView>
  </sheetViews>
  <sheetFormatPr defaultRowHeight="15" x14ac:dyDescent="0.25"/>
  <cols>
    <col min="1" max="1" width="38.85546875" bestFit="1" customWidth="1"/>
    <col min="2" max="2" width="79" bestFit="1" customWidth="1"/>
    <col min="3" max="3" width="14" bestFit="1" customWidth="1"/>
    <col min="4" max="4" width="28.140625" bestFit="1" customWidth="1"/>
    <col min="5" max="5" width="16.42578125" bestFit="1" customWidth="1"/>
    <col min="6" max="6" width="10.5703125" bestFit="1" customWidth="1"/>
    <col min="7" max="7" width="68.28515625" bestFit="1" customWidth="1"/>
    <col min="8" max="9" width="20" bestFit="1" customWidth="1"/>
    <col min="10" max="10" width="30.5703125" bestFit="1" customWidth="1"/>
  </cols>
  <sheetData>
    <row r="2" spans="1:10" ht="18.75" x14ac:dyDescent="0.3">
      <c r="A2" s="3" t="s">
        <v>0</v>
      </c>
      <c r="B2" s="4" t="s">
        <v>270</v>
      </c>
    </row>
    <row r="3" spans="1:10" x14ac:dyDescent="0.25">
      <c r="A3" s="3" t="s">
        <v>2</v>
      </c>
      <c r="B3" s="1" t="s">
        <v>3</v>
      </c>
    </row>
    <row r="4" spans="1:10" x14ac:dyDescent="0.25">
      <c r="A4" s="3" t="s">
        <v>4</v>
      </c>
      <c r="B4" s="1">
        <v>509</v>
      </c>
    </row>
    <row r="7" spans="1:10" x14ac:dyDescent="0.25">
      <c r="C7" s="19" t="s">
        <v>5</v>
      </c>
      <c r="D7" s="20"/>
      <c r="E7" s="20"/>
      <c r="F7" s="20"/>
      <c r="G7" s="20"/>
    </row>
    <row r="8" spans="1:10" x14ac:dyDescent="0.25">
      <c r="A8" s="3" t="s">
        <v>6</v>
      </c>
      <c r="B8" s="3" t="s">
        <v>7</v>
      </c>
      <c r="C8" s="3" t="s">
        <v>8</v>
      </c>
      <c r="D8" s="3" t="s">
        <v>9</v>
      </c>
      <c r="E8" s="3" t="s">
        <v>10</v>
      </c>
      <c r="F8" s="3" t="s">
        <v>11</v>
      </c>
      <c r="G8" s="3" t="s">
        <v>12</v>
      </c>
      <c r="H8" s="3" t="s">
        <v>13</v>
      </c>
      <c r="I8" s="3" t="s">
        <v>14</v>
      </c>
      <c r="J8" s="3" t="s">
        <v>15</v>
      </c>
    </row>
    <row r="9" spans="1:10" x14ac:dyDescent="0.25">
      <c r="A9" s="1" t="s">
        <v>16</v>
      </c>
      <c r="B9" s="1" t="s">
        <v>17</v>
      </c>
      <c r="C9" s="11"/>
      <c r="D9" s="11"/>
      <c r="E9" s="11">
        <v>10</v>
      </c>
      <c r="F9" s="11"/>
      <c r="G9" s="11">
        <f t="shared" ref="G9:G37" si="0">SUM(C9:F9)</f>
        <v>10</v>
      </c>
      <c r="H9" s="17">
        <f t="shared" ref="H9:H37" si="1">ROUND(G9/509,2)</f>
        <v>0.02</v>
      </c>
      <c r="I9" s="16">
        <f t="shared" ref="I9:I37" si="2">ROUND(G9/$G$38,3)</f>
        <v>0</v>
      </c>
      <c r="J9" s="16"/>
    </row>
    <row r="10" spans="1:10" x14ac:dyDescent="0.25">
      <c r="A10" s="1" t="s">
        <v>16</v>
      </c>
      <c r="B10" s="1" t="s">
        <v>19</v>
      </c>
      <c r="C10" s="11">
        <v>7690</v>
      </c>
      <c r="D10" s="11"/>
      <c r="E10" s="11">
        <v>1588</v>
      </c>
      <c r="F10" s="11"/>
      <c r="G10" s="11">
        <f t="shared" si="0"/>
        <v>9278</v>
      </c>
      <c r="H10" s="17">
        <f t="shared" si="1"/>
        <v>18.23</v>
      </c>
      <c r="I10" s="16">
        <f t="shared" si="2"/>
        <v>7.2999999999999995E-2</v>
      </c>
      <c r="J10" s="16">
        <f>ROUND(G10/9036.64-1,2)</f>
        <v>0.03</v>
      </c>
    </row>
    <row r="11" spans="1:10" x14ac:dyDescent="0.25">
      <c r="A11" s="1" t="s">
        <v>16</v>
      </c>
      <c r="B11" s="1" t="s">
        <v>20</v>
      </c>
      <c r="C11" s="11">
        <v>14960</v>
      </c>
      <c r="D11" s="11"/>
      <c r="E11" s="11"/>
      <c r="F11" s="11"/>
      <c r="G11" s="11">
        <f t="shared" si="0"/>
        <v>14960</v>
      </c>
      <c r="H11" s="17">
        <f t="shared" si="1"/>
        <v>29.39</v>
      </c>
      <c r="I11" s="16">
        <f t="shared" si="2"/>
        <v>0.11700000000000001</v>
      </c>
      <c r="J11" s="16">
        <f>ROUND(G11/13295-1,2)</f>
        <v>0.13</v>
      </c>
    </row>
    <row r="12" spans="1:10" x14ac:dyDescent="0.25">
      <c r="A12" s="1" t="s">
        <v>16</v>
      </c>
      <c r="B12" s="1" t="s">
        <v>21</v>
      </c>
      <c r="C12" s="11"/>
      <c r="D12" s="11"/>
      <c r="E12" s="11">
        <v>40</v>
      </c>
      <c r="F12" s="11"/>
      <c r="G12" s="11">
        <f t="shared" si="0"/>
        <v>40</v>
      </c>
      <c r="H12" s="17">
        <f t="shared" si="1"/>
        <v>0.08</v>
      </c>
      <c r="I12" s="16">
        <f t="shared" si="2"/>
        <v>0</v>
      </c>
      <c r="J12" s="16">
        <f>ROUND(G12/14.24-1,2)</f>
        <v>1.81</v>
      </c>
    </row>
    <row r="13" spans="1:10" x14ac:dyDescent="0.25">
      <c r="A13" s="1" t="s">
        <v>16</v>
      </c>
      <c r="B13" s="1" t="s">
        <v>22</v>
      </c>
      <c r="C13" s="11"/>
      <c r="D13" s="11"/>
      <c r="E13" s="11">
        <v>230</v>
      </c>
      <c r="F13" s="11"/>
      <c r="G13" s="11">
        <f t="shared" si="0"/>
        <v>230</v>
      </c>
      <c r="H13" s="17">
        <f t="shared" si="1"/>
        <v>0.45</v>
      </c>
      <c r="I13" s="16">
        <f t="shared" si="2"/>
        <v>2E-3</v>
      </c>
      <c r="J13" s="16"/>
    </row>
    <row r="14" spans="1:10" x14ac:dyDescent="0.25">
      <c r="A14" s="1" t="s">
        <v>16</v>
      </c>
      <c r="B14" s="1" t="s">
        <v>23</v>
      </c>
      <c r="C14" s="11"/>
      <c r="D14" s="11"/>
      <c r="E14" s="11">
        <v>10963</v>
      </c>
      <c r="F14" s="11"/>
      <c r="G14" s="11">
        <f t="shared" si="0"/>
        <v>10963</v>
      </c>
      <c r="H14" s="17">
        <f t="shared" si="1"/>
        <v>21.54</v>
      </c>
      <c r="I14" s="16">
        <f t="shared" si="2"/>
        <v>8.5999999999999993E-2</v>
      </c>
      <c r="J14" s="16">
        <f>ROUND(G14/4428.12-1,2)</f>
        <v>1.48</v>
      </c>
    </row>
    <row r="15" spans="1:10" x14ac:dyDescent="0.25">
      <c r="A15" s="1" t="s">
        <v>16</v>
      </c>
      <c r="B15" s="1" t="s">
        <v>24</v>
      </c>
      <c r="C15" s="11">
        <v>9640</v>
      </c>
      <c r="D15" s="11"/>
      <c r="E15" s="11">
        <v>5190</v>
      </c>
      <c r="F15" s="11"/>
      <c r="G15" s="11">
        <f t="shared" si="0"/>
        <v>14830</v>
      </c>
      <c r="H15" s="17">
        <f t="shared" si="1"/>
        <v>29.14</v>
      </c>
      <c r="I15" s="16">
        <f t="shared" si="2"/>
        <v>0.11600000000000001</v>
      </c>
      <c r="J15" s="16">
        <f>ROUND(G15/11003.17-1,2)</f>
        <v>0.35</v>
      </c>
    </row>
    <row r="16" spans="1:10" x14ac:dyDescent="0.25">
      <c r="A16" s="1" t="s">
        <v>16</v>
      </c>
      <c r="B16" s="1" t="s">
        <v>25</v>
      </c>
      <c r="C16" s="11"/>
      <c r="D16" s="11"/>
      <c r="E16" s="11">
        <v>1180</v>
      </c>
      <c r="F16" s="11"/>
      <c r="G16" s="11">
        <f t="shared" si="0"/>
        <v>1180</v>
      </c>
      <c r="H16" s="17">
        <f t="shared" si="1"/>
        <v>2.3199999999999998</v>
      </c>
      <c r="I16" s="16">
        <f t="shared" si="2"/>
        <v>8.9999999999999993E-3</v>
      </c>
      <c r="J16" s="16"/>
    </row>
    <row r="17" spans="1:10" x14ac:dyDescent="0.25">
      <c r="A17" s="1" t="s">
        <v>16</v>
      </c>
      <c r="B17" s="1" t="s">
        <v>26</v>
      </c>
      <c r="C17" s="11">
        <v>3590</v>
      </c>
      <c r="D17" s="11"/>
      <c r="E17" s="11"/>
      <c r="F17" s="11"/>
      <c r="G17" s="11">
        <f t="shared" si="0"/>
        <v>3590</v>
      </c>
      <c r="H17" s="17">
        <f t="shared" si="1"/>
        <v>7.05</v>
      </c>
      <c r="I17" s="16">
        <f t="shared" si="2"/>
        <v>2.8000000000000001E-2</v>
      </c>
      <c r="J17" s="16">
        <f>ROUND(G17/8360-1,2)</f>
        <v>-0.56999999999999995</v>
      </c>
    </row>
    <row r="18" spans="1:10" x14ac:dyDescent="0.25">
      <c r="A18" s="1" t="s">
        <v>16</v>
      </c>
      <c r="B18" s="1" t="s">
        <v>27</v>
      </c>
      <c r="C18" s="11"/>
      <c r="D18" s="11"/>
      <c r="E18" s="11">
        <v>151</v>
      </c>
      <c r="F18" s="11"/>
      <c r="G18" s="11">
        <f t="shared" si="0"/>
        <v>151</v>
      </c>
      <c r="H18" s="17">
        <f t="shared" si="1"/>
        <v>0.3</v>
      </c>
      <c r="I18" s="16">
        <f t="shared" si="2"/>
        <v>1E-3</v>
      </c>
      <c r="J18" s="16"/>
    </row>
    <row r="19" spans="1:10" x14ac:dyDescent="0.25">
      <c r="A19" s="1" t="s">
        <v>16</v>
      </c>
      <c r="B19" s="1" t="s">
        <v>28</v>
      </c>
      <c r="C19" s="11"/>
      <c r="D19" s="11"/>
      <c r="E19" s="11">
        <v>74</v>
      </c>
      <c r="F19" s="11"/>
      <c r="G19" s="11">
        <f t="shared" si="0"/>
        <v>74</v>
      </c>
      <c r="H19" s="17">
        <f t="shared" si="1"/>
        <v>0.15</v>
      </c>
      <c r="I19" s="16">
        <f t="shared" si="2"/>
        <v>1E-3</v>
      </c>
      <c r="J19" s="16"/>
    </row>
    <row r="20" spans="1:10" x14ac:dyDescent="0.25">
      <c r="A20" s="1" t="s">
        <v>16</v>
      </c>
      <c r="B20" s="1" t="s">
        <v>29</v>
      </c>
      <c r="C20" s="11"/>
      <c r="D20" s="11"/>
      <c r="E20" s="11">
        <v>59</v>
      </c>
      <c r="F20" s="11"/>
      <c r="G20" s="11">
        <f t="shared" si="0"/>
        <v>59</v>
      </c>
      <c r="H20" s="17">
        <f t="shared" si="1"/>
        <v>0.12</v>
      </c>
      <c r="I20" s="16">
        <f t="shared" si="2"/>
        <v>0</v>
      </c>
      <c r="J20" s="16"/>
    </row>
    <row r="21" spans="1:10" x14ac:dyDescent="0.25">
      <c r="A21" s="1" t="s">
        <v>16</v>
      </c>
      <c r="B21" s="1" t="s">
        <v>31</v>
      </c>
      <c r="C21" s="11"/>
      <c r="D21" s="11"/>
      <c r="E21" s="11">
        <v>163</v>
      </c>
      <c r="F21" s="11"/>
      <c r="G21" s="11">
        <f t="shared" si="0"/>
        <v>163</v>
      </c>
      <c r="H21" s="17">
        <f t="shared" si="1"/>
        <v>0.32</v>
      </c>
      <c r="I21" s="16">
        <f t="shared" si="2"/>
        <v>1E-3</v>
      </c>
      <c r="J21" s="16">
        <f>ROUND(G21/91.5-1,2)</f>
        <v>0.78</v>
      </c>
    </row>
    <row r="22" spans="1:10" x14ac:dyDescent="0.25">
      <c r="A22" s="1" t="s">
        <v>16</v>
      </c>
      <c r="B22" s="1" t="s">
        <v>32</v>
      </c>
      <c r="C22" s="11"/>
      <c r="D22" s="11"/>
      <c r="E22" s="11">
        <v>30</v>
      </c>
      <c r="F22" s="11"/>
      <c r="G22" s="11">
        <f t="shared" si="0"/>
        <v>30</v>
      </c>
      <c r="H22" s="17">
        <f t="shared" si="1"/>
        <v>0.06</v>
      </c>
      <c r="I22" s="16">
        <f t="shared" si="2"/>
        <v>0</v>
      </c>
      <c r="J22" s="16"/>
    </row>
    <row r="23" spans="1:10" x14ac:dyDescent="0.25">
      <c r="A23" s="1" t="s">
        <v>16</v>
      </c>
      <c r="B23" s="1" t="s">
        <v>34</v>
      </c>
      <c r="C23" s="11"/>
      <c r="D23" s="11"/>
      <c r="E23" s="11">
        <v>120</v>
      </c>
      <c r="F23" s="11"/>
      <c r="G23" s="11">
        <f t="shared" si="0"/>
        <v>120</v>
      </c>
      <c r="H23" s="17">
        <f t="shared" si="1"/>
        <v>0.24</v>
      </c>
      <c r="I23" s="16">
        <f t="shared" si="2"/>
        <v>1E-3</v>
      </c>
      <c r="J23" s="16"/>
    </row>
    <row r="24" spans="1:10" x14ac:dyDescent="0.25">
      <c r="A24" s="1" t="s">
        <v>16</v>
      </c>
      <c r="B24" s="1" t="s">
        <v>35</v>
      </c>
      <c r="C24" s="11"/>
      <c r="D24" s="11"/>
      <c r="E24" s="11">
        <v>10905</v>
      </c>
      <c r="F24" s="11"/>
      <c r="G24" s="11">
        <f t="shared" si="0"/>
        <v>10905</v>
      </c>
      <c r="H24" s="17">
        <f t="shared" si="1"/>
        <v>21.42</v>
      </c>
      <c r="I24" s="16">
        <f t="shared" si="2"/>
        <v>8.5000000000000006E-2</v>
      </c>
      <c r="J24" s="16">
        <f>ROUND(G24/3831.89-1,2)</f>
        <v>1.85</v>
      </c>
    </row>
    <row r="25" spans="1:10" x14ac:dyDescent="0.25">
      <c r="A25" s="1" t="s">
        <v>16</v>
      </c>
      <c r="B25" s="1" t="s">
        <v>36</v>
      </c>
      <c r="C25" s="11"/>
      <c r="D25" s="11"/>
      <c r="E25" s="11">
        <v>725</v>
      </c>
      <c r="F25" s="11"/>
      <c r="G25" s="11">
        <f t="shared" si="0"/>
        <v>725</v>
      </c>
      <c r="H25" s="17">
        <f t="shared" si="1"/>
        <v>1.42</v>
      </c>
      <c r="I25" s="16">
        <f t="shared" si="2"/>
        <v>6.0000000000000001E-3</v>
      </c>
      <c r="J25" s="16">
        <f>ROUND(G25/332.54-1,2)</f>
        <v>1.18</v>
      </c>
    </row>
    <row r="26" spans="1:10" x14ac:dyDescent="0.25">
      <c r="A26" s="1" t="s">
        <v>16</v>
      </c>
      <c r="B26" s="1" t="s">
        <v>37</v>
      </c>
      <c r="C26" s="11"/>
      <c r="D26" s="11"/>
      <c r="E26" s="11">
        <v>3126</v>
      </c>
      <c r="F26" s="11"/>
      <c r="G26" s="11">
        <f t="shared" si="0"/>
        <v>3126</v>
      </c>
      <c r="H26" s="17">
        <f t="shared" si="1"/>
        <v>6.14</v>
      </c>
      <c r="I26" s="16">
        <f t="shared" si="2"/>
        <v>2.4E-2</v>
      </c>
      <c r="J26" s="16">
        <f>ROUND(G26/818.51-1,2)</f>
        <v>2.82</v>
      </c>
    </row>
    <row r="27" spans="1:10" x14ac:dyDescent="0.25">
      <c r="A27" s="1" t="s">
        <v>16</v>
      </c>
      <c r="B27" s="1" t="s">
        <v>38</v>
      </c>
      <c r="C27" s="11"/>
      <c r="D27" s="11"/>
      <c r="E27" s="11">
        <v>3473</v>
      </c>
      <c r="F27" s="11"/>
      <c r="G27" s="11">
        <f t="shared" si="0"/>
        <v>3473</v>
      </c>
      <c r="H27" s="17">
        <f t="shared" si="1"/>
        <v>6.82</v>
      </c>
      <c r="I27" s="16">
        <f t="shared" si="2"/>
        <v>2.7E-2</v>
      </c>
      <c r="J27" s="16">
        <f>ROUND(G27/265.16-1,2)</f>
        <v>12.1</v>
      </c>
    </row>
    <row r="28" spans="1:10" x14ac:dyDescent="0.25">
      <c r="A28" s="1" t="s">
        <v>16</v>
      </c>
      <c r="B28" s="1" t="s">
        <v>40</v>
      </c>
      <c r="C28" s="11"/>
      <c r="D28" s="11"/>
      <c r="E28" s="11"/>
      <c r="F28" s="11"/>
      <c r="G28" s="11">
        <f t="shared" si="0"/>
        <v>0</v>
      </c>
      <c r="H28" s="17">
        <f t="shared" si="1"/>
        <v>0</v>
      </c>
      <c r="I28" s="16">
        <f t="shared" si="2"/>
        <v>0</v>
      </c>
      <c r="J28" s="16">
        <f>ROUND(G28/184.29-1,2)</f>
        <v>-1</v>
      </c>
    </row>
    <row r="29" spans="1:10" x14ac:dyDescent="0.25">
      <c r="A29" s="1" t="s">
        <v>16</v>
      </c>
      <c r="B29" s="1" t="s">
        <v>42</v>
      </c>
      <c r="C29" s="11"/>
      <c r="D29" s="11"/>
      <c r="E29" s="11"/>
      <c r="F29" s="11"/>
      <c r="G29" s="11">
        <f t="shared" si="0"/>
        <v>0</v>
      </c>
      <c r="H29" s="17">
        <f t="shared" si="1"/>
        <v>0</v>
      </c>
      <c r="I29" s="16">
        <f t="shared" si="2"/>
        <v>0</v>
      </c>
      <c r="J29" s="16">
        <f>ROUND(G29/315.38-1,2)</f>
        <v>-1</v>
      </c>
    </row>
    <row r="30" spans="1:10" x14ac:dyDescent="0.25">
      <c r="A30" s="1" t="s">
        <v>16</v>
      </c>
      <c r="B30" s="1" t="s">
        <v>41</v>
      </c>
      <c r="C30" s="11"/>
      <c r="D30" s="11"/>
      <c r="E30" s="11"/>
      <c r="F30" s="11"/>
      <c r="G30" s="11">
        <f t="shared" si="0"/>
        <v>0</v>
      </c>
      <c r="H30" s="17">
        <f t="shared" si="1"/>
        <v>0</v>
      </c>
      <c r="I30" s="16">
        <f t="shared" si="2"/>
        <v>0</v>
      </c>
      <c r="J30" s="16">
        <f>ROUND(G30/83.22-1,2)</f>
        <v>-1</v>
      </c>
    </row>
    <row r="31" spans="1:10" x14ac:dyDescent="0.25">
      <c r="A31" s="1" t="s">
        <v>16</v>
      </c>
      <c r="B31" s="1" t="s">
        <v>39</v>
      </c>
      <c r="C31" s="11"/>
      <c r="D31" s="11"/>
      <c r="E31" s="11"/>
      <c r="F31" s="11"/>
      <c r="G31" s="11">
        <f t="shared" si="0"/>
        <v>0</v>
      </c>
      <c r="H31" s="17">
        <f t="shared" si="1"/>
        <v>0</v>
      </c>
      <c r="I31" s="16">
        <f t="shared" si="2"/>
        <v>0</v>
      </c>
      <c r="J31" s="16"/>
    </row>
    <row r="32" spans="1:10" x14ac:dyDescent="0.25">
      <c r="A32" s="1" t="s">
        <v>16</v>
      </c>
      <c r="B32" s="1" t="s">
        <v>118</v>
      </c>
      <c r="C32" s="11"/>
      <c r="D32" s="11"/>
      <c r="E32" s="11"/>
      <c r="F32" s="11"/>
      <c r="G32" s="11">
        <f t="shared" si="0"/>
        <v>0</v>
      </c>
      <c r="H32" s="17">
        <f t="shared" si="1"/>
        <v>0</v>
      </c>
      <c r="I32" s="16">
        <f t="shared" si="2"/>
        <v>0</v>
      </c>
      <c r="J32" s="16"/>
    </row>
    <row r="33" spans="1:10" x14ac:dyDescent="0.25">
      <c r="A33" s="1" t="s">
        <v>16</v>
      </c>
      <c r="B33" s="1" t="s">
        <v>30</v>
      </c>
      <c r="C33" s="11"/>
      <c r="D33" s="11"/>
      <c r="E33" s="11"/>
      <c r="F33" s="11"/>
      <c r="G33" s="11">
        <f t="shared" si="0"/>
        <v>0</v>
      </c>
      <c r="H33" s="17">
        <f t="shared" si="1"/>
        <v>0</v>
      </c>
      <c r="I33" s="16">
        <f t="shared" si="2"/>
        <v>0</v>
      </c>
      <c r="J33" s="16"/>
    </row>
    <row r="34" spans="1:10" x14ac:dyDescent="0.25">
      <c r="A34" s="1" t="s">
        <v>44</v>
      </c>
      <c r="B34" s="1" t="s">
        <v>45</v>
      </c>
      <c r="C34" s="11">
        <v>47750</v>
      </c>
      <c r="D34" s="11"/>
      <c r="E34" s="11"/>
      <c r="F34" s="11"/>
      <c r="G34" s="11">
        <f t="shared" si="0"/>
        <v>47750</v>
      </c>
      <c r="H34" s="17">
        <f t="shared" si="1"/>
        <v>93.81</v>
      </c>
      <c r="I34" s="16">
        <f t="shared" si="2"/>
        <v>0.373</v>
      </c>
      <c r="J34" s="16">
        <f>ROUND(G34/40990-1,2)</f>
        <v>0.16</v>
      </c>
    </row>
    <row r="35" spans="1:10" x14ac:dyDescent="0.25">
      <c r="A35" s="1" t="s">
        <v>44</v>
      </c>
      <c r="B35" s="1" t="s">
        <v>46</v>
      </c>
      <c r="C35" s="11"/>
      <c r="D35" s="11"/>
      <c r="E35" s="11">
        <v>6307</v>
      </c>
      <c r="F35" s="11"/>
      <c r="G35" s="11">
        <f t="shared" si="0"/>
        <v>6307</v>
      </c>
      <c r="H35" s="17">
        <f t="shared" si="1"/>
        <v>12.39</v>
      </c>
      <c r="I35" s="16">
        <f t="shared" si="2"/>
        <v>4.9000000000000002E-2</v>
      </c>
      <c r="J35" s="16">
        <f>ROUND(G35/2352.21-1,2)</f>
        <v>1.68</v>
      </c>
    </row>
    <row r="36" spans="1:10" x14ac:dyDescent="0.25">
      <c r="A36" s="1" t="s">
        <v>44</v>
      </c>
      <c r="B36" s="1" t="s">
        <v>47</v>
      </c>
      <c r="C36" s="11"/>
      <c r="D36" s="11"/>
      <c r="E36" s="11"/>
      <c r="F36" s="11"/>
      <c r="G36" s="11">
        <f t="shared" si="0"/>
        <v>0</v>
      </c>
      <c r="H36" s="17">
        <f t="shared" si="1"/>
        <v>0</v>
      </c>
      <c r="I36" s="16">
        <f t="shared" si="2"/>
        <v>0</v>
      </c>
      <c r="J36" s="16"/>
    </row>
    <row r="37" spans="1:10" x14ac:dyDescent="0.25">
      <c r="A37" s="1" t="s">
        <v>48</v>
      </c>
      <c r="B37" s="1" t="s">
        <v>51</v>
      </c>
      <c r="C37" s="11"/>
      <c r="D37" s="11"/>
      <c r="E37" s="11"/>
      <c r="F37" s="11"/>
      <c r="G37" s="11">
        <f t="shared" si="0"/>
        <v>0</v>
      </c>
      <c r="H37" s="17">
        <f t="shared" si="1"/>
        <v>0</v>
      </c>
      <c r="I37" s="16">
        <f t="shared" si="2"/>
        <v>0</v>
      </c>
      <c r="J37" s="16"/>
    </row>
    <row r="38" spans="1:10" x14ac:dyDescent="0.25">
      <c r="A38" s="21" t="s">
        <v>12</v>
      </c>
      <c r="B38" s="21"/>
      <c r="C38" s="12">
        <f t="shared" ref="C38:H38" si="3">SUM(C8:C37)</f>
        <v>83630</v>
      </c>
      <c r="D38" s="12">
        <f t="shared" si="3"/>
        <v>0</v>
      </c>
      <c r="E38" s="12">
        <f t="shared" si="3"/>
        <v>44334</v>
      </c>
      <c r="F38" s="12">
        <f t="shared" si="3"/>
        <v>0</v>
      </c>
      <c r="G38" s="12">
        <f t="shared" si="3"/>
        <v>127964</v>
      </c>
      <c r="H38" s="15">
        <f t="shared" si="3"/>
        <v>251.40999999999997</v>
      </c>
      <c r="I38" s="18"/>
      <c r="J38" s="18"/>
    </row>
    <row r="39" spans="1:10" x14ac:dyDescent="0.25">
      <c r="A39" s="21" t="s">
        <v>14</v>
      </c>
      <c r="B39" s="21"/>
      <c r="C39" s="13">
        <f>ROUND(C38/G38,2)</f>
        <v>0.65</v>
      </c>
      <c r="D39" s="13">
        <f>ROUND(D38/G38,2)</f>
        <v>0</v>
      </c>
      <c r="E39" s="13">
        <f>ROUND(E38/G38,2)</f>
        <v>0.35</v>
      </c>
      <c r="F39" s="13">
        <f>ROUND(F38/G38,2)</f>
        <v>0</v>
      </c>
      <c r="G39" s="14"/>
      <c r="H39" s="14"/>
      <c r="I39" s="18"/>
      <c r="J39" s="18"/>
    </row>
    <row r="40" spans="1:10" x14ac:dyDescent="0.25">
      <c r="A40" s="2" t="s">
        <v>52</v>
      </c>
      <c r="B40" s="2"/>
      <c r="C40" s="14"/>
      <c r="D40" s="14"/>
      <c r="E40" s="14"/>
      <c r="F40" s="14"/>
      <c r="G40" s="14"/>
      <c r="H40" s="14"/>
      <c r="I40" s="18"/>
      <c r="J40" s="18"/>
    </row>
    <row r="41" spans="1:10" x14ac:dyDescent="0.25">
      <c r="C41" s="9"/>
      <c r="D41" s="9"/>
      <c r="E41" s="9"/>
      <c r="F41" s="9"/>
      <c r="G41" s="9"/>
      <c r="H41" s="9"/>
      <c r="I41" s="10"/>
      <c r="J41" s="10"/>
    </row>
    <row r="42" spans="1:10" x14ac:dyDescent="0.25">
      <c r="C42" s="9"/>
      <c r="D42" s="9"/>
      <c r="E42" s="9"/>
      <c r="F42" s="9"/>
      <c r="G42" s="9"/>
      <c r="H42" s="9"/>
      <c r="I42" s="10"/>
      <c r="J42" s="10"/>
    </row>
    <row r="43" spans="1:10" x14ac:dyDescent="0.25">
      <c r="C43" s="9"/>
      <c r="D43" s="9"/>
      <c r="E43" s="9"/>
      <c r="F43" s="9"/>
      <c r="G43" s="9"/>
      <c r="H43" s="9"/>
      <c r="I43" s="10"/>
      <c r="J43" s="10"/>
    </row>
    <row r="44" spans="1:10" x14ac:dyDescent="0.25">
      <c r="A44" s="21" t="s">
        <v>53</v>
      </c>
      <c r="B44" s="21"/>
      <c r="C44" s="12" t="s">
        <v>8</v>
      </c>
      <c r="D44" s="12" t="s">
        <v>9</v>
      </c>
      <c r="E44" s="12" t="s">
        <v>10</v>
      </c>
      <c r="F44" s="12" t="s">
        <v>11</v>
      </c>
      <c r="G44" s="12" t="s">
        <v>12</v>
      </c>
      <c r="H44" s="15" t="s">
        <v>13</v>
      </c>
      <c r="I44" s="18"/>
      <c r="J44" s="18"/>
    </row>
    <row r="45" spans="1:10" x14ac:dyDescent="0.25">
      <c r="A45" s="20" t="s">
        <v>54</v>
      </c>
      <c r="B45" s="20"/>
      <c r="C45" s="11">
        <v>35880</v>
      </c>
      <c r="D45" s="11">
        <v>0</v>
      </c>
      <c r="E45" s="11">
        <v>38027</v>
      </c>
      <c r="F45" s="11">
        <v>0</v>
      </c>
      <c r="G45" s="11">
        <f>SUM(C45:F45)</f>
        <v>73907</v>
      </c>
      <c r="H45" s="17">
        <f>ROUND(G45/509,2)</f>
        <v>145.19999999999999</v>
      </c>
      <c r="I45" s="10"/>
      <c r="J45" s="10"/>
    </row>
    <row r="46" spans="1:10" x14ac:dyDescent="0.25">
      <c r="A46" s="20" t="s">
        <v>55</v>
      </c>
      <c r="B46" s="20"/>
      <c r="C46" s="11">
        <v>47750</v>
      </c>
      <c r="D46" s="11">
        <v>0</v>
      </c>
      <c r="E46" s="11">
        <v>6307</v>
      </c>
      <c r="F46" s="11">
        <v>0</v>
      </c>
      <c r="G46" s="11">
        <f>SUM(C46:F46)</f>
        <v>54057</v>
      </c>
      <c r="H46" s="17">
        <f>ROUND(G46/509,2)</f>
        <v>106.2</v>
      </c>
      <c r="I46" s="10"/>
      <c r="J46" s="10"/>
    </row>
    <row r="47" spans="1:10" x14ac:dyDescent="0.25">
      <c r="A47" s="20" t="s">
        <v>56</v>
      </c>
      <c r="B47" s="20"/>
      <c r="C47" s="11">
        <v>0</v>
      </c>
      <c r="D47" s="11">
        <v>0</v>
      </c>
      <c r="E47" s="11">
        <v>0</v>
      </c>
      <c r="F47" s="11">
        <v>0</v>
      </c>
      <c r="G47" s="11">
        <f>SUM(C47:F47)</f>
        <v>0</v>
      </c>
      <c r="H47" s="17">
        <f>ROUND(G47/509,2)</f>
        <v>0</v>
      </c>
      <c r="I47" s="10"/>
      <c r="J47" s="10"/>
    </row>
    <row r="48" spans="1:10" x14ac:dyDescent="0.25">
      <c r="C48" s="9"/>
      <c r="D48" s="9"/>
      <c r="E48" s="9"/>
      <c r="F48" s="9"/>
      <c r="G48" s="9"/>
      <c r="H48" s="9"/>
      <c r="I48" s="10"/>
      <c r="J48" s="10"/>
    </row>
    <row r="49" spans="1:10" x14ac:dyDescent="0.25">
      <c r="C49" s="9"/>
      <c r="D49" s="9"/>
      <c r="E49" s="9"/>
      <c r="F49" s="9"/>
      <c r="G49" s="9"/>
      <c r="H49" s="9"/>
      <c r="I49" s="10"/>
      <c r="J49" s="10"/>
    </row>
    <row r="50" spans="1:10" x14ac:dyDescent="0.25">
      <c r="C50" s="9"/>
      <c r="D50" s="9"/>
      <c r="E50" s="9"/>
      <c r="F50" s="9"/>
      <c r="G50" s="9"/>
      <c r="H50" s="9"/>
      <c r="I50" s="10"/>
      <c r="J50" s="10"/>
    </row>
    <row r="51" spans="1:10" x14ac:dyDescent="0.25">
      <c r="C51" s="9"/>
      <c r="D51" s="9"/>
      <c r="E51" s="9"/>
      <c r="F51" s="9"/>
      <c r="G51" s="9"/>
      <c r="H51" s="9"/>
      <c r="I51" s="10"/>
      <c r="J51" s="10"/>
    </row>
    <row r="52" spans="1:10" x14ac:dyDescent="0.25">
      <c r="A52" s="21" t="s">
        <v>57</v>
      </c>
      <c r="B52" s="21"/>
      <c r="C52" s="15" t="s">
        <v>2</v>
      </c>
      <c r="D52" s="15">
        <v>2023</v>
      </c>
      <c r="E52" s="15" t="s">
        <v>59</v>
      </c>
      <c r="F52" s="14"/>
      <c r="G52" s="15" t="s">
        <v>60</v>
      </c>
      <c r="H52" s="15" t="s">
        <v>2</v>
      </c>
      <c r="I52" s="13" t="s">
        <v>61</v>
      </c>
      <c r="J52" s="13" t="s">
        <v>59</v>
      </c>
    </row>
    <row r="53" spans="1:10" x14ac:dyDescent="0.25">
      <c r="A53" s="20" t="s">
        <v>58</v>
      </c>
      <c r="B53" s="20"/>
      <c r="C53" s="16">
        <f>ROUND(0.5911, 4)</f>
        <v>0.59109999999999996</v>
      </c>
      <c r="D53" s="16">
        <f>ROUND(0.5397, 4)</f>
        <v>0.53969999999999996</v>
      </c>
      <c r="E53" s="16">
        <f>ROUND(0.777, 4)</f>
        <v>0.77700000000000002</v>
      </c>
      <c r="F53" s="9"/>
      <c r="G53" s="15" t="s">
        <v>62</v>
      </c>
      <c r="H53" s="22" t="s">
        <v>63</v>
      </c>
      <c r="I53" s="24" t="s">
        <v>64</v>
      </c>
      <c r="J53" s="24" t="s">
        <v>65</v>
      </c>
    </row>
    <row r="54" spans="1:10" x14ac:dyDescent="0.25">
      <c r="A54" s="20" t="s">
        <v>66</v>
      </c>
      <c r="B54" s="20"/>
      <c r="C54" s="16">
        <f>ROUND(0.5616, 4)</f>
        <v>0.56159999999999999</v>
      </c>
      <c r="D54" s="16">
        <f>ROUND(0.5026, 4)</f>
        <v>0.50260000000000005</v>
      </c>
      <c r="E54" s="16">
        <f>ROUND(0.7608, 4)</f>
        <v>0.76080000000000003</v>
      </c>
      <c r="F54" s="9"/>
      <c r="G54" s="15" t="s">
        <v>67</v>
      </c>
      <c r="H54" s="23"/>
      <c r="I54" s="25"/>
      <c r="J54" s="25"/>
    </row>
    <row r="55" spans="1:10" x14ac:dyDescent="0.25">
      <c r="C55" s="9"/>
      <c r="D55" s="9"/>
      <c r="E55" s="9"/>
      <c r="F55" s="9"/>
      <c r="G55" s="9"/>
      <c r="H55" s="9"/>
      <c r="I55" s="10"/>
      <c r="J55" s="10"/>
    </row>
    <row r="56" spans="1:10" x14ac:dyDescent="0.25">
      <c r="C56" s="9"/>
      <c r="D56" s="9"/>
      <c r="E56" s="9"/>
      <c r="F56" s="9"/>
      <c r="G56" s="9"/>
      <c r="H56" s="9"/>
      <c r="I56" s="10"/>
      <c r="J56" s="10"/>
    </row>
    <row r="57" spans="1:10" x14ac:dyDescent="0.25">
      <c r="C57" s="9"/>
      <c r="D57" s="9"/>
      <c r="E57" s="9"/>
      <c r="F57" s="9"/>
      <c r="G57" s="9"/>
      <c r="H57" s="9"/>
      <c r="I57" s="10"/>
      <c r="J57" s="10"/>
    </row>
    <row r="58" spans="1:10" x14ac:dyDescent="0.25">
      <c r="A58" s="21" t="s">
        <v>68</v>
      </c>
      <c r="B58" s="21"/>
      <c r="C58" s="15" t="s">
        <v>2</v>
      </c>
      <c r="D58" s="15" t="s">
        <v>271</v>
      </c>
      <c r="E58" s="15" t="s">
        <v>70</v>
      </c>
      <c r="F58" s="15" t="s">
        <v>71</v>
      </c>
      <c r="G58" s="15" t="s">
        <v>72</v>
      </c>
      <c r="H58" s="14"/>
      <c r="I58" s="18"/>
      <c r="J58" s="18"/>
    </row>
    <row r="59" spans="1:10" x14ac:dyDescent="0.25">
      <c r="A59" s="20" t="s">
        <v>73</v>
      </c>
      <c r="B59" s="20"/>
      <c r="C59" s="17">
        <v>93.81</v>
      </c>
      <c r="D59" s="17">
        <v>141.83000000000001</v>
      </c>
      <c r="E59" s="17">
        <v>81.84</v>
      </c>
      <c r="F59" s="17">
        <v>48</v>
      </c>
      <c r="G59" s="17">
        <f>12/4*C59</f>
        <v>281.43</v>
      </c>
      <c r="H59" s="9"/>
      <c r="I59" s="10"/>
      <c r="J59" s="10"/>
    </row>
    <row r="60" spans="1:10" x14ac:dyDescent="0.25">
      <c r="A60" s="20" t="s">
        <v>74</v>
      </c>
      <c r="B60" s="20"/>
      <c r="C60" s="17">
        <v>7.05</v>
      </c>
      <c r="D60" s="17">
        <v>46.65</v>
      </c>
      <c r="E60" s="17">
        <v>55.63</v>
      </c>
      <c r="F60" s="17">
        <v>55.33</v>
      </c>
      <c r="G60" s="17">
        <f>12/4*C60</f>
        <v>21.15</v>
      </c>
      <c r="H60" s="9"/>
      <c r="I60" s="10"/>
      <c r="J60" s="10"/>
    </row>
    <row r="61" spans="1:10" x14ac:dyDescent="0.25">
      <c r="A61" s="20" t="s">
        <v>75</v>
      </c>
      <c r="B61" s="20"/>
      <c r="C61" s="17">
        <v>145.19999999999999</v>
      </c>
      <c r="D61" s="17">
        <v>280.42</v>
      </c>
      <c r="E61" s="17">
        <v>257.88</v>
      </c>
      <c r="F61" s="17">
        <v>242.78</v>
      </c>
      <c r="G61" s="17">
        <f>12/4*C61</f>
        <v>435.59999999999997</v>
      </c>
      <c r="H61" s="9"/>
      <c r="I61" s="10"/>
      <c r="J61" s="10"/>
    </row>
    <row r="62" spans="1:10" x14ac:dyDescent="0.25">
      <c r="A62" s="20" t="s">
        <v>76</v>
      </c>
      <c r="B62" s="20"/>
      <c r="C62" s="17">
        <v>106.2</v>
      </c>
      <c r="D62" s="17">
        <v>157.71</v>
      </c>
      <c r="E62" s="17">
        <v>103.14</v>
      </c>
      <c r="F62" s="17">
        <v>68.31</v>
      </c>
      <c r="G62" s="17">
        <f>12/4*C62</f>
        <v>318.60000000000002</v>
      </c>
      <c r="H62" s="9"/>
      <c r="I62" s="10"/>
      <c r="J62" s="10"/>
    </row>
    <row r="63" spans="1:10" x14ac:dyDescent="0.25">
      <c r="C63" s="9"/>
      <c r="D63" s="9"/>
      <c r="E63" s="9"/>
      <c r="F63" s="9"/>
      <c r="G63" s="9"/>
      <c r="H63" s="9"/>
      <c r="I63" s="10"/>
      <c r="J63" s="10"/>
    </row>
    <row r="64" spans="1:10" x14ac:dyDescent="0.25">
      <c r="C64" s="9"/>
      <c r="D64" s="9"/>
      <c r="E64" s="9"/>
      <c r="F64" s="9"/>
      <c r="G64" s="9"/>
      <c r="H64" s="9"/>
      <c r="I64" s="10"/>
      <c r="J64" s="10"/>
    </row>
    <row r="65" spans="1:10" x14ac:dyDescent="0.25">
      <c r="A65" s="19" t="s">
        <v>60</v>
      </c>
      <c r="B65" s="26"/>
      <c r="C65" s="9"/>
      <c r="D65" s="9"/>
      <c r="E65" s="9"/>
      <c r="F65" s="9"/>
      <c r="G65" s="9"/>
      <c r="H65" s="9"/>
      <c r="I65" s="10"/>
      <c r="J65" s="10"/>
    </row>
    <row r="66" spans="1:10" x14ac:dyDescent="0.25">
      <c r="A66" s="3" t="s">
        <v>77</v>
      </c>
      <c r="B66" s="1" t="s">
        <v>272</v>
      </c>
      <c r="C66" s="9"/>
      <c r="D66" s="9"/>
      <c r="E66" s="9"/>
      <c r="F66" s="9"/>
      <c r="G66" s="9"/>
      <c r="H66" s="9"/>
      <c r="I66" s="10"/>
      <c r="J66" s="10"/>
    </row>
    <row r="67" spans="1:10" x14ac:dyDescent="0.25">
      <c r="A67" s="3" t="s">
        <v>70</v>
      </c>
      <c r="B67" s="1" t="s">
        <v>79</v>
      </c>
      <c r="C67" s="9"/>
      <c r="D67" s="9"/>
      <c r="E67" s="9"/>
      <c r="F67" s="9"/>
      <c r="G67" s="9"/>
      <c r="H67" s="9"/>
      <c r="I67" s="10"/>
      <c r="J67" s="10"/>
    </row>
    <row r="68" spans="1:10" x14ac:dyDescent="0.25">
      <c r="A68" s="3" t="s">
        <v>71</v>
      </c>
      <c r="B68" s="1" t="s">
        <v>80</v>
      </c>
      <c r="C68" s="9"/>
      <c r="D68" s="9"/>
      <c r="E68" s="9"/>
      <c r="F68" s="9"/>
      <c r="G68" s="9"/>
      <c r="H68" s="9"/>
      <c r="I68" s="10"/>
      <c r="J68" s="10"/>
    </row>
    <row r="69" spans="1:10" x14ac:dyDescent="0.25">
      <c r="A69" s="3" t="s">
        <v>72</v>
      </c>
      <c r="B69" s="1" t="s">
        <v>81</v>
      </c>
      <c r="C69" s="9"/>
      <c r="D69" s="9"/>
      <c r="E69" s="9"/>
      <c r="F69" s="9"/>
      <c r="G69" s="9"/>
      <c r="H69" s="9"/>
      <c r="I69" s="10"/>
      <c r="J69" s="10"/>
    </row>
    <row r="70" spans="1:10" x14ac:dyDescent="0.25">
      <c r="C70" s="9"/>
      <c r="D70" s="9"/>
      <c r="E70" s="9"/>
      <c r="F70" s="9"/>
      <c r="G70" s="9"/>
      <c r="H70" s="9"/>
      <c r="I70" s="10"/>
      <c r="J70" s="10"/>
    </row>
    <row r="71" spans="1:10" x14ac:dyDescent="0.25">
      <c r="C71" s="9"/>
      <c r="D71" s="9"/>
      <c r="E71" s="9"/>
      <c r="F71" s="9"/>
      <c r="G71" s="9"/>
      <c r="H71" s="9"/>
      <c r="I71" s="10"/>
      <c r="J71" s="10"/>
    </row>
  </sheetData>
  <mergeCells count="19">
    <mergeCell ref="A60:B60"/>
    <mergeCell ref="A61:B61"/>
    <mergeCell ref="A62:B62"/>
    <mergeCell ref="A65:B65"/>
    <mergeCell ref="I53:I54"/>
    <mergeCell ref="J53:J54"/>
    <mergeCell ref="A54:B54"/>
    <mergeCell ref="A58:B58"/>
    <mergeCell ref="A59:B59"/>
    <mergeCell ref="A46:B46"/>
    <mergeCell ref="A47:B47"/>
    <mergeCell ref="A52:B52"/>
    <mergeCell ref="A53:B53"/>
    <mergeCell ref="H53:H54"/>
    <mergeCell ref="C7:G7"/>
    <mergeCell ref="A38:B38"/>
    <mergeCell ref="A39:B39"/>
    <mergeCell ref="A44:B44"/>
    <mergeCell ref="A45:B45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2:J75"/>
  <sheetViews>
    <sheetView workbookViewId="0">
      <selection activeCell="C9" sqref="C9:J75"/>
    </sheetView>
  </sheetViews>
  <sheetFormatPr defaultRowHeight="15" x14ac:dyDescent="0.25"/>
  <cols>
    <col min="1" max="1" width="38.85546875" bestFit="1" customWidth="1"/>
    <col min="2" max="2" width="79" bestFit="1" customWidth="1"/>
    <col min="3" max="3" width="14" bestFit="1" customWidth="1"/>
    <col min="4" max="4" width="21.140625" bestFit="1" customWidth="1"/>
    <col min="5" max="5" width="16.42578125" bestFit="1" customWidth="1"/>
    <col min="6" max="6" width="10.5703125" bestFit="1" customWidth="1"/>
    <col min="7" max="7" width="68.28515625" bestFit="1" customWidth="1"/>
    <col min="8" max="9" width="20" bestFit="1" customWidth="1"/>
    <col min="10" max="10" width="30.5703125" bestFit="1" customWidth="1"/>
  </cols>
  <sheetData>
    <row r="2" spans="1:10" ht="18.75" x14ac:dyDescent="0.3">
      <c r="A2" s="3" t="s">
        <v>0</v>
      </c>
      <c r="B2" s="4" t="s">
        <v>273</v>
      </c>
    </row>
    <row r="3" spans="1:10" x14ac:dyDescent="0.25">
      <c r="A3" s="3" t="s">
        <v>2</v>
      </c>
      <c r="B3" s="1" t="s">
        <v>3</v>
      </c>
    </row>
    <row r="4" spans="1:10" x14ac:dyDescent="0.25">
      <c r="A4" s="3" t="s">
        <v>4</v>
      </c>
      <c r="B4" s="1">
        <v>437</v>
      </c>
    </row>
    <row r="7" spans="1:10" x14ac:dyDescent="0.25">
      <c r="C7" s="19" t="s">
        <v>5</v>
      </c>
      <c r="D7" s="20"/>
      <c r="E7" s="20"/>
      <c r="F7" s="20"/>
      <c r="G7" s="20"/>
    </row>
    <row r="8" spans="1:10" x14ac:dyDescent="0.25">
      <c r="A8" s="3" t="s">
        <v>6</v>
      </c>
      <c r="B8" s="3" t="s">
        <v>7</v>
      </c>
      <c r="C8" s="3" t="s">
        <v>8</v>
      </c>
      <c r="D8" s="3" t="s">
        <v>9</v>
      </c>
      <c r="E8" s="3" t="s">
        <v>10</v>
      </c>
      <c r="F8" s="3" t="s">
        <v>11</v>
      </c>
      <c r="G8" s="3" t="s">
        <v>12</v>
      </c>
      <c r="H8" s="3" t="s">
        <v>13</v>
      </c>
      <c r="I8" s="3" t="s">
        <v>14</v>
      </c>
      <c r="J8" s="3" t="s">
        <v>15</v>
      </c>
    </row>
    <row r="9" spans="1:10" x14ac:dyDescent="0.25">
      <c r="A9" s="1" t="s">
        <v>16</v>
      </c>
      <c r="B9" s="1" t="s">
        <v>17</v>
      </c>
      <c r="C9" s="11"/>
      <c r="D9" s="11"/>
      <c r="E9" s="11">
        <v>1</v>
      </c>
      <c r="F9" s="11"/>
      <c r="G9" s="11">
        <f t="shared" ref="G9:G39" si="0">SUM(C9:F9)</f>
        <v>1</v>
      </c>
      <c r="H9" s="17">
        <f t="shared" ref="H9:H39" si="1">ROUND(G9/437,2)</f>
        <v>0</v>
      </c>
      <c r="I9" s="16">
        <f t="shared" ref="I9:I39" si="2">ROUND(G9/$G$40,3)</f>
        <v>0</v>
      </c>
      <c r="J9" s="16"/>
    </row>
    <row r="10" spans="1:10" x14ac:dyDescent="0.25">
      <c r="A10" s="1" t="s">
        <v>16</v>
      </c>
      <c r="B10" s="1" t="s">
        <v>19</v>
      </c>
      <c r="C10" s="11">
        <v>3810</v>
      </c>
      <c r="D10" s="11"/>
      <c r="E10" s="11">
        <v>649</v>
      </c>
      <c r="F10" s="11"/>
      <c r="G10" s="11">
        <f t="shared" si="0"/>
        <v>4459</v>
      </c>
      <c r="H10" s="17">
        <f t="shared" si="1"/>
        <v>10.199999999999999</v>
      </c>
      <c r="I10" s="16">
        <f t="shared" si="2"/>
        <v>6.9000000000000006E-2</v>
      </c>
      <c r="J10" s="16">
        <f>ROUND(G10/3771.1-1,2)</f>
        <v>0.18</v>
      </c>
    </row>
    <row r="11" spans="1:10" x14ac:dyDescent="0.25">
      <c r="A11" s="1" t="s">
        <v>16</v>
      </c>
      <c r="B11" s="1" t="s">
        <v>20</v>
      </c>
      <c r="C11" s="11">
        <v>4555</v>
      </c>
      <c r="D11" s="11"/>
      <c r="E11" s="11"/>
      <c r="F11" s="11"/>
      <c r="G11" s="11">
        <f t="shared" si="0"/>
        <v>4555</v>
      </c>
      <c r="H11" s="17">
        <f t="shared" si="1"/>
        <v>10.42</v>
      </c>
      <c r="I11" s="16">
        <f t="shared" si="2"/>
        <v>7.0000000000000007E-2</v>
      </c>
      <c r="J11" s="16">
        <f>ROUND(G11/5040-1,2)</f>
        <v>-0.1</v>
      </c>
    </row>
    <row r="12" spans="1:10" x14ac:dyDescent="0.25">
      <c r="A12" s="1" t="s">
        <v>16</v>
      </c>
      <c r="B12" s="1" t="s">
        <v>21</v>
      </c>
      <c r="C12" s="11"/>
      <c r="D12" s="11"/>
      <c r="E12" s="11">
        <v>18</v>
      </c>
      <c r="F12" s="11"/>
      <c r="G12" s="11">
        <f t="shared" si="0"/>
        <v>18</v>
      </c>
      <c r="H12" s="17">
        <f t="shared" si="1"/>
        <v>0.04</v>
      </c>
      <c r="I12" s="16">
        <f t="shared" si="2"/>
        <v>0</v>
      </c>
      <c r="J12" s="16">
        <f>ROUND(G12/35-1,2)</f>
        <v>-0.49</v>
      </c>
    </row>
    <row r="13" spans="1:10" x14ac:dyDescent="0.25">
      <c r="A13" s="1" t="s">
        <v>16</v>
      </c>
      <c r="B13" s="1" t="s">
        <v>22</v>
      </c>
      <c r="C13" s="11"/>
      <c r="D13" s="11"/>
      <c r="E13" s="11">
        <v>187</v>
      </c>
      <c r="F13" s="11"/>
      <c r="G13" s="11">
        <f t="shared" si="0"/>
        <v>187</v>
      </c>
      <c r="H13" s="17">
        <f t="shared" si="1"/>
        <v>0.43</v>
      </c>
      <c r="I13" s="16">
        <f t="shared" si="2"/>
        <v>3.0000000000000001E-3</v>
      </c>
      <c r="J13" s="16"/>
    </row>
    <row r="14" spans="1:10" x14ac:dyDescent="0.25">
      <c r="A14" s="1" t="s">
        <v>16</v>
      </c>
      <c r="B14" s="1" t="s">
        <v>23</v>
      </c>
      <c r="C14" s="11"/>
      <c r="D14" s="11"/>
      <c r="E14" s="11">
        <v>16544</v>
      </c>
      <c r="F14" s="11"/>
      <c r="G14" s="11">
        <f t="shared" si="0"/>
        <v>16544</v>
      </c>
      <c r="H14" s="17">
        <f t="shared" si="1"/>
        <v>37.86</v>
      </c>
      <c r="I14" s="16">
        <f t="shared" si="2"/>
        <v>0.255</v>
      </c>
      <c r="J14" s="16">
        <f>ROUND(G14/6940.18-1,2)</f>
        <v>1.38</v>
      </c>
    </row>
    <row r="15" spans="1:10" x14ac:dyDescent="0.25">
      <c r="A15" s="1" t="s">
        <v>16</v>
      </c>
      <c r="B15" s="1" t="s">
        <v>24</v>
      </c>
      <c r="C15" s="11">
        <v>3750</v>
      </c>
      <c r="D15" s="11"/>
      <c r="E15" s="11">
        <v>1560</v>
      </c>
      <c r="F15" s="11"/>
      <c r="G15" s="11">
        <f t="shared" si="0"/>
        <v>5310</v>
      </c>
      <c r="H15" s="17">
        <f t="shared" si="1"/>
        <v>12.15</v>
      </c>
      <c r="I15" s="16">
        <f t="shared" si="2"/>
        <v>8.2000000000000003E-2</v>
      </c>
      <c r="J15" s="16">
        <f>ROUND(G15/3657.7-1,2)</f>
        <v>0.45</v>
      </c>
    </row>
    <row r="16" spans="1:10" x14ac:dyDescent="0.25">
      <c r="A16" s="1" t="s">
        <v>16</v>
      </c>
      <c r="B16" s="1" t="s">
        <v>25</v>
      </c>
      <c r="C16" s="11"/>
      <c r="D16" s="11"/>
      <c r="E16" s="11">
        <v>2911</v>
      </c>
      <c r="F16" s="11"/>
      <c r="G16" s="11">
        <f t="shared" si="0"/>
        <v>2911</v>
      </c>
      <c r="H16" s="17">
        <f t="shared" si="1"/>
        <v>6.66</v>
      </c>
      <c r="I16" s="16">
        <f t="shared" si="2"/>
        <v>4.4999999999999998E-2</v>
      </c>
      <c r="J16" s="16">
        <f>ROUND(G16/830-1,2)</f>
        <v>2.5099999999999998</v>
      </c>
    </row>
    <row r="17" spans="1:10" x14ac:dyDescent="0.25">
      <c r="A17" s="1" t="s">
        <v>16</v>
      </c>
      <c r="B17" s="1" t="s">
        <v>26</v>
      </c>
      <c r="C17" s="11">
        <v>4220</v>
      </c>
      <c r="D17" s="11"/>
      <c r="E17" s="11"/>
      <c r="F17" s="11"/>
      <c r="G17" s="11">
        <f t="shared" si="0"/>
        <v>4220</v>
      </c>
      <c r="H17" s="17">
        <f t="shared" si="1"/>
        <v>9.66</v>
      </c>
      <c r="I17" s="16">
        <f t="shared" si="2"/>
        <v>6.5000000000000002E-2</v>
      </c>
      <c r="J17" s="16">
        <f>ROUND(G17/5040-1,2)</f>
        <v>-0.16</v>
      </c>
    </row>
    <row r="18" spans="1:10" x14ac:dyDescent="0.25">
      <c r="A18" s="1" t="s">
        <v>16</v>
      </c>
      <c r="B18" s="1" t="s">
        <v>27</v>
      </c>
      <c r="C18" s="11"/>
      <c r="D18" s="11"/>
      <c r="E18" s="11">
        <v>57</v>
      </c>
      <c r="F18" s="11"/>
      <c r="G18" s="11">
        <f t="shared" si="0"/>
        <v>57</v>
      </c>
      <c r="H18" s="17">
        <f t="shared" si="1"/>
        <v>0.13</v>
      </c>
      <c r="I18" s="16">
        <f t="shared" si="2"/>
        <v>1E-3</v>
      </c>
      <c r="J18" s="16">
        <f>ROUND(G18/137-1,2)</f>
        <v>-0.57999999999999996</v>
      </c>
    </row>
    <row r="19" spans="1:10" x14ac:dyDescent="0.25">
      <c r="A19" s="1" t="s">
        <v>16</v>
      </c>
      <c r="B19" s="1" t="s">
        <v>28</v>
      </c>
      <c r="C19" s="11"/>
      <c r="D19" s="11"/>
      <c r="E19" s="11">
        <v>51</v>
      </c>
      <c r="F19" s="11"/>
      <c r="G19" s="11">
        <f t="shared" si="0"/>
        <v>51</v>
      </c>
      <c r="H19" s="17">
        <f t="shared" si="1"/>
        <v>0.12</v>
      </c>
      <c r="I19" s="16">
        <f t="shared" si="2"/>
        <v>1E-3</v>
      </c>
      <c r="J19" s="16">
        <f>ROUND(G19/25-1,2)</f>
        <v>1.04</v>
      </c>
    </row>
    <row r="20" spans="1:10" x14ac:dyDescent="0.25">
      <c r="A20" s="1" t="s">
        <v>16</v>
      </c>
      <c r="B20" s="1" t="s">
        <v>29</v>
      </c>
      <c r="C20" s="11"/>
      <c r="D20" s="11"/>
      <c r="E20" s="11">
        <v>28</v>
      </c>
      <c r="F20" s="11"/>
      <c r="G20" s="11">
        <f t="shared" si="0"/>
        <v>28</v>
      </c>
      <c r="H20" s="17">
        <f t="shared" si="1"/>
        <v>0.06</v>
      </c>
      <c r="I20" s="16">
        <f t="shared" si="2"/>
        <v>0</v>
      </c>
      <c r="J20" s="16">
        <f>ROUND(G20/39.03-1,2)</f>
        <v>-0.28000000000000003</v>
      </c>
    </row>
    <row r="21" spans="1:10" x14ac:dyDescent="0.25">
      <c r="A21" s="1" t="s">
        <v>16</v>
      </c>
      <c r="B21" s="1" t="s">
        <v>31</v>
      </c>
      <c r="C21" s="11"/>
      <c r="D21" s="11"/>
      <c r="E21" s="11">
        <v>99</v>
      </c>
      <c r="F21" s="11"/>
      <c r="G21" s="11">
        <f t="shared" si="0"/>
        <v>99</v>
      </c>
      <c r="H21" s="17">
        <f t="shared" si="1"/>
        <v>0.23</v>
      </c>
      <c r="I21" s="16">
        <f t="shared" si="2"/>
        <v>2E-3</v>
      </c>
      <c r="J21" s="16"/>
    </row>
    <row r="22" spans="1:10" x14ac:dyDescent="0.25">
      <c r="A22" s="1" t="s">
        <v>16</v>
      </c>
      <c r="B22" s="1" t="s">
        <v>32</v>
      </c>
      <c r="C22" s="11"/>
      <c r="D22" s="11"/>
      <c r="E22" s="11">
        <v>14</v>
      </c>
      <c r="F22" s="11"/>
      <c r="G22" s="11">
        <f t="shared" si="0"/>
        <v>14</v>
      </c>
      <c r="H22" s="17">
        <f t="shared" si="1"/>
        <v>0.03</v>
      </c>
      <c r="I22" s="16">
        <f t="shared" si="2"/>
        <v>0</v>
      </c>
      <c r="J22" s="16"/>
    </row>
    <row r="23" spans="1:10" x14ac:dyDescent="0.25">
      <c r="A23" s="1" t="s">
        <v>16</v>
      </c>
      <c r="B23" s="1" t="s">
        <v>35</v>
      </c>
      <c r="C23" s="11"/>
      <c r="D23" s="11"/>
      <c r="E23" s="11">
        <v>4289</v>
      </c>
      <c r="F23" s="11"/>
      <c r="G23" s="11">
        <f t="shared" si="0"/>
        <v>4289</v>
      </c>
      <c r="H23" s="17">
        <f t="shared" si="1"/>
        <v>9.81</v>
      </c>
      <c r="I23" s="16">
        <f t="shared" si="2"/>
        <v>6.6000000000000003E-2</v>
      </c>
      <c r="J23" s="16">
        <f>ROUND(G23/843.1-1,2)</f>
        <v>4.09</v>
      </c>
    </row>
    <row r="24" spans="1:10" x14ac:dyDescent="0.25">
      <c r="A24" s="1" t="s">
        <v>16</v>
      </c>
      <c r="B24" s="1" t="s">
        <v>37</v>
      </c>
      <c r="C24" s="11"/>
      <c r="D24" s="11"/>
      <c r="E24" s="11">
        <v>2467</v>
      </c>
      <c r="F24" s="11"/>
      <c r="G24" s="11">
        <f t="shared" si="0"/>
        <v>2467</v>
      </c>
      <c r="H24" s="17">
        <f t="shared" si="1"/>
        <v>5.65</v>
      </c>
      <c r="I24" s="16">
        <f t="shared" si="2"/>
        <v>3.7999999999999999E-2</v>
      </c>
      <c r="J24" s="16">
        <f>ROUND(G24/1049.78-1,2)</f>
        <v>1.35</v>
      </c>
    </row>
    <row r="25" spans="1:10" x14ac:dyDescent="0.25">
      <c r="A25" s="1" t="s">
        <v>16</v>
      </c>
      <c r="B25" s="1" t="s">
        <v>38</v>
      </c>
      <c r="C25" s="11"/>
      <c r="D25" s="11"/>
      <c r="E25" s="11">
        <v>1891</v>
      </c>
      <c r="F25" s="11"/>
      <c r="G25" s="11">
        <f t="shared" si="0"/>
        <v>1891</v>
      </c>
      <c r="H25" s="17">
        <f t="shared" si="1"/>
        <v>4.33</v>
      </c>
      <c r="I25" s="16">
        <f t="shared" si="2"/>
        <v>2.9000000000000001E-2</v>
      </c>
      <c r="J25" s="16">
        <f>ROUND(G25/495.23-1,2)</f>
        <v>2.82</v>
      </c>
    </row>
    <row r="26" spans="1:10" x14ac:dyDescent="0.25">
      <c r="A26" s="1" t="s">
        <v>16</v>
      </c>
      <c r="B26" s="1" t="s">
        <v>42</v>
      </c>
      <c r="C26" s="11"/>
      <c r="D26" s="11"/>
      <c r="E26" s="11"/>
      <c r="F26" s="11"/>
      <c r="G26" s="11">
        <f t="shared" si="0"/>
        <v>0</v>
      </c>
      <c r="H26" s="17">
        <f t="shared" si="1"/>
        <v>0</v>
      </c>
      <c r="I26" s="16">
        <f t="shared" si="2"/>
        <v>0</v>
      </c>
      <c r="J26" s="16">
        <f>ROUND(G26/23.21-1,2)</f>
        <v>-1</v>
      </c>
    </row>
    <row r="27" spans="1:10" x14ac:dyDescent="0.25">
      <c r="A27" s="1" t="s">
        <v>16</v>
      </c>
      <c r="B27" s="1" t="s">
        <v>40</v>
      </c>
      <c r="C27" s="11"/>
      <c r="D27" s="11"/>
      <c r="E27" s="11"/>
      <c r="F27" s="11"/>
      <c r="G27" s="11">
        <f t="shared" si="0"/>
        <v>0</v>
      </c>
      <c r="H27" s="17">
        <f t="shared" si="1"/>
        <v>0</v>
      </c>
      <c r="I27" s="16">
        <f t="shared" si="2"/>
        <v>0</v>
      </c>
      <c r="J27" s="16">
        <f>ROUND(G27/380-1,2)</f>
        <v>-1</v>
      </c>
    </row>
    <row r="28" spans="1:10" x14ac:dyDescent="0.25">
      <c r="A28" s="1" t="s">
        <v>16</v>
      </c>
      <c r="B28" s="1" t="s">
        <v>43</v>
      </c>
      <c r="C28" s="11"/>
      <c r="D28" s="11"/>
      <c r="E28" s="11"/>
      <c r="F28" s="11"/>
      <c r="G28" s="11">
        <f t="shared" si="0"/>
        <v>0</v>
      </c>
      <c r="H28" s="17">
        <f t="shared" si="1"/>
        <v>0</v>
      </c>
      <c r="I28" s="16">
        <f t="shared" si="2"/>
        <v>0</v>
      </c>
      <c r="J28" s="16">
        <f>ROUND(G28/630-1,2)</f>
        <v>-1</v>
      </c>
    </row>
    <row r="29" spans="1:10" x14ac:dyDescent="0.25">
      <c r="A29" s="1" t="s">
        <v>16</v>
      </c>
      <c r="B29" s="1" t="s">
        <v>30</v>
      </c>
      <c r="C29" s="11"/>
      <c r="D29" s="11"/>
      <c r="E29" s="11"/>
      <c r="F29" s="11"/>
      <c r="G29" s="11">
        <f t="shared" si="0"/>
        <v>0</v>
      </c>
      <c r="H29" s="17">
        <f t="shared" si="1"/>
        <v>0</v>
      </c>
      <c r="I29" s="16">
        <f t="shared" si="2"/>
        <v>0</v>
      </c>
      <c r="J29" s="16"/>
    </row>
    <row r="30" spans="1:10" x14ac:dyDescent="0.25">
      <c r="A30" s="1" t="s">
        <v>16</v>
      </c>
      <c r="B30" s="1" t="s">
        <v>33</v>
      </c>
      <c r="C30" s="11"/>
      <c r="D30" s="11"/>
      <c r="E30" s="11"/>
      <c r="F30" s="11"/>
      <c r="G30" s="11">
        <f t="shared" si="0"/>
        <v>0</v>
      </c>
      <c r="H30" s="17">
        <f t="shared" si="1"/>
        <v>0</v>
      </c>
      <c r="I30" s="16">
        <f t="shared" si="2"/>
        <v>0</v>
      </c>
      <c r="J30" s="16"/>
    </row>
    <row r="31" spans="1:10" x14ac:dyDescent="0.25">
      <c r="A31" s="1" t="s">
        <v>16</v>
      </c>
      <c r="B31" s="1" t="s">
        <v>41</v>
      </c>
      <c r="C31" s="11"/>
      <c r="D31" s="11"/>
      <c r="E31" s="11"/>
      <c r="F31" s="11"/>
      <c r="G31" s="11">
        <f t="shared" si="0"/>
        <v>0</v>
      </c>
      <c r="H31" s="17">
        <f t="shared" si="1"/>
        <v>0</v>
      </c>
      <c r="I31" s="16">
        <f t="shared" si="2"/>
        <v>0</v>
      </c>
      <c r="J31" s="16"/>
    </row>
    <row r="32" spans="1:10" x14ac:dyDescent="0.25">
      <c r="A32" s="1" t="s">
        <v>16</v>
      </c>
      <c r="B32" s="1" t="s">
        <v>39</v>
      </c>
      <c r="C32" s="11"/>
      <c r="D32" s="11"/>
      <c r="E32" s="11"/>
      <c r="F32" s="11"/>
      <c r="G32" s="11">
        <f t="shared" si="0"/>
        <v>0</v>
      </c>
      <c r="H32" s="17">
        <f t="shared" si="1"/>
        <v>0</v>
      </c>
      <c r="I32" s="16">
        <f t="shared" si="2"/>
        <v>0</v>
      </c>
      <c r="J32" s="16"/>
    </row>
    <row r="33" spans="1:10" x14ac:dyDescent="0.25">
      <c r="A33" s="1" t="s">
        <v>16</v>
      </c>
      <c r="B33" s="1" t="s">
        <v>34</v>
      </c>
      <c r="C33" s="11"/>
      <c r="D33" s="11"/>
      <c r="E33" s="11"/>
      <c r="F33" s="11"/>
      <c r="G33" s="11">
        <f t="shared" si="0"/>
        <v>0</v>
      </c>
      <c r="H33" s="17">
        <f t="shared" si="1"/>
        <v>0</v>
      </c>
      <c r="I33" s="16">
        <f t="shared" si="2"/>
        <v>0</v>
      </c>
      <c r="J33" s="16"/>
    </row>
    <row r="34" spans="1:10" x14ac:dyDescent="0.25">
      <c r="A34" s="1" t="s">
        <v>16</v>
      </c>
      <c r="B34" s="1" t="s">
        <v>36</v>
      </c>
      <c r="C34" s="11"/>
      <c r="D34" s="11"/>
      <c r="E34" s="11"/>
      <c r="F34" s="11"/>
      <c r="G34" s="11">
        <f t="shared" si="0"/>
        <v>0</v>
      </c>
      <c r="H34" s="17">
        <f t="shared" si="1"/>
        <v>0</v>
      </c>
      <c r="I34" s="16">
        <f t="shared" si="2"/>
        <v>0</v>
      </c>
      <c r="J34" s="16"/>
    </row>
    <row r="35" spans="1:10" x14ac:dyDescent="0.25">
      <c r="A35" s="1" t="s">
        <v>44</v>
      </c>
      <c r="B35" s="1" t="s">
        <v>45</v>
      </c>
      <c r="C35" s="11">
        <v>12540</v>
      </c>
      <c r="D35" s="11"/>
      <c r="E35" s="11"/>
      <c r="F35" s="11"/>
      <c r="G35" s="11">
        <f t="shared" si="0"/>
        <v>12540</v>
      </c>
      <c r="H35" s="17">
        <f t="shared" si="1"/>
        <v>28.7</v>
      </c>
      <c r="I35" s="16">
        <f t="shared" si="2"/>
        <v>0.193</v>
      </c>
      <c r="J35" s="16">
        <f>ROUND(G35/9640-1,2)</f>
        <v>0.3</v>
      </c>
    </row>
    <row r="36" spans="1:10" x14ac:dyDescent="0.25">
      <c r="A36" s="1" t="s">
        <v>44</v>
      </c>
      <c r="B36" s="1" t="s">
        <v>46</v>
      </c>
      <c r="C36" s="11"/>
      <c r="D36" s="11"/>
      <c r="E36" s="11">
        <v>5191</v>
      </c>
      <c r="F36" s="11"/>
      <c r="G36" s="11">
        <f t="shared" si="0"/>
        <v>5191</v>
      </c>
      <c r="H36" s="17">
        <f t="shared" si="1"/>
        <v>11.88</v>
      </c>
      <c r="I36" s="16">
        <f t="shared" si="2"/>
        <v>0.08</v>
      </c>
      <c r="J36" s="16">
        <f>ROUND(G36/3561.12-1,2)</f>
        <v>0.46</v>
      </c>
    </row>
    <row r="37" spans="1:10" x14ac:dyDescent="0.25">
      <c r="A37" s="1" t="s">
        <v>44</v>
      </c>
      <c r="B37" s="1" t="s">
        <v>47</v>
      </c>
      <c r="C37" s="11"/>
      <c r="D37" s="11"/>
      <c r="E37" s="11"/>
      <c r="F37" s="11"/>
      <c r="G37" s="11">
        <f t="shared" si="0"/>
        <v>0</v>
      </c>
      <c r="H37" s="17">
        <f t="shared" si="1"/>
        <v>0</v>
      </c>
      <c r="I37" s="16">
        <f t="shared" si="2"/>
        <v>0</v>
      </c>
      <c r="J37" s="16"/>
    </row>
    <row r="38" spans="1:10" x14ac:dyDescent="0.25">
      <c r="A38" s="1" t="s">
        <v>48</v>
      </c>
      <c r="B38" s="1" t="s">
        <v>86</v>
      </c>
      <c r="C38" s="11"/>
      <c r="D38" s="11"/>
      <c r="E38" s="11"/>
      <c r="F38" s="11"/>
      <c r="G38" s="11">
        <f t="shared" si="0"/>
        <v>0</v>
      </c>
      <c r="H38" s="17">
        <f t="shared" si="1"/>
        <v>0</v>
      </c>
      <c r="I38" s="16">
        <f t="shared" si="2"/>
        <v>0</v>
      </c>
      <c r="J38" s="16"/>
    </row>
    <row r="39" spans="1:10" x14ac:dyDescent="0.25">
      <c r="A39" s="1" t="s">
        <v>48</v>
      </c>
      <c r="B39" s="1" t="s">
        <v>51</v>
      </c>
      <c r="C39" s="11"/>
      <c r="D39" s="11"/>
      <c r="E39" s="11"/>
      <c r="F39" s="11"/>
      <c r="G39" s="11">
        <f t="shared" si="0"/>
        <v>0</v>
      </c>
      <c r="H39" s="17">
        <f t="shared" si="1"/>
        <v>0</v>
      </c>
      <c r="I39" s="16">
        <f t="shared" si="2"/>
        <v>0</v>
      </c>
      <c r="J39" s="16"/>
    </row>
    <row r="40" spans="1:10" x14ac:dyDescent="0.25">
      <c r="A40" s="21" t="s">
        <v>12</v>
      </c>
      <c r="B40" s="21"/>
      <c r="C40" s="12">
        <f t="shared" ref="C40:H40" si="3">SUM(C8:C39)</f>
        <v>28875</v>
      </c>
      <c r="D40" s="12">
        <f t="shared" si="3"/>
        <v>0</v>
      </c>
      <c r="E40" s="12">
        <f t="shared" si="3"/>
        <v>35957</v>
      </c>
      <c r="F40" s="12">
        <f t="shared" si="3"/>
        <v>0</v>
      </c>
      <c r="G40" s="12">
        <f t="shared" si="3"/>
        <v>64832</v>
      </c>
      <c r="H40" s="15">
        <f t="shared" si="3"/>
        <v>148.35999999999999</v>
      </c>
      <c r="I40" s="18"/>
      <c r="J40" s="18"/>
    </row>
    <row r="41" spans="1:10" x14ac:dyDescent="0.25">
      <c r="A41" s="21" t="s">
        <v>14</v>
      </c>
      <c r="B41" s="21"/>
      <c r="C41" s="13">
        <f>ROUND(C40/G40,2)</f>
        <v>0.45</v>
      </c>
      <c r="D41" s="13">
        <f>ROUND(D40/G40,2)</f>
        <v>0</v>
      </c>
      <c r="E41" s="13">
        <f>ROUND(E40/G40,2)</f>
        <v>0.55000000000000004</v>
      </c>
      <c r="F41" s="13">
        <f>ROUND(F40/G40,2)</f>
        <v>0</v>
      </c>
      <c r="G41" s="14"/>
      <c r="H41" s="14"/>
      <c r="I41" s="18"/>
      <c r="J41" s="18"/>
    </row>
    <row r="42" spans="1:10" x14ac:dyDescent="0.25">
      <c r="A42" s="2" t="s">
        <v>52</v>
      </c>
      <c r="B42" s="2"/>
      <c r="C42" s="14"/>
      <c r="D42" s="14"/>
      <c r="E42" s="14"/>
      <c r="F42" s="14"/>
      <c r="G42" s="14"/>
      <c r="H42" s="14"/>
      <c r="I42" s="18"/>
      <c r="J42" s="18"/>
    </row>
    <row r="43" spans="1:10" x14ac:dyDescent="0.25">
      <c r="C43" s="9"/>
      <c r="D43" s="9"/>
      <c r="E43" s="9"/>
      <c r="F43" s="9"/>
      <c r="G43" s="9"/>
      <c r="H43" s="9"/>
      <c r="I43" s="10"/>
      <c r="J43" s="10"/>
    </row>
    <row r="44" spans="1:10" x14ac:dyDescent="0.25">
      <c r="C44" s="9"/>
      <c r="D44" s="9"/>
      <c r="E44" s="9"/>
      <c r="F44" s="9"/>
      <c r="G44" s="9"/>
      <c r="H44" s="9"/>
      <c r="I44" s="10"/>
      <c r="J44" s="10"/>
    </row>
    <row r="45" spans="1:10" x14ac:dyDescent="0.25">
      <c r="C45" s="9"/>
      <c r="D45" s="9"/>
      <c r="E45" s="9"/>
      <c r="F45" s="9"/>
      <c r="G45" s="9"/>
      <c r="H45" s="9"/>
      <c r="I45" s="10"/>
      <c r="J45" s="10"/>
    </row>
    <row r="46" spans="1:10" x14ac:dyDescent="0.25">
      <c r="A46" s="21" t="s">
        <v>53</v>
      </c>
      <c r="B46" s="21"/>
      <c r="C46" s="12" t="s">
        <v>8</v>
      </c>
      <c r="D46" s="12" t="s">
        <v>9</v>
      </c>
      <c r="E46" s="12" t="s">
        <v>10</v>
      </c>
      <c r="F46" s="12" t="s">
        <v>11</v>
      </c>
      <c r="G46" s="12" t="s">
        <v>12</v>
      </c>
      <c r="H46" s="15" t="s">
        <v>13</v>
      </c>
      <c r="I46" s="18"/>
      <c r="J46" s="18"/>
    </row>
    <row r="47" spans="1:10" x14ac:dyDescent="0.25">
      <c r="A47" s="20" t="s">
        <v>54</v>
      </c>
      <c r="B47" s="20"/>
      <c r="C47" s="11">
        <v>16335</v>
      </c>
      <c r="D47" s="11">
        <v>0</v>
      </c>
      <c r="E47" s="11">
        <v>30766</v>
      </c>
      <c r="F47" s="11">
        <v>0</v>
      </c>
      <c r="G47" s="11">
        <f>SUM(C47:F47)</f>
        <v>47101</v>
      </c>
      <c r="H47" s="17">
        <f>ROUND(G47/437,2)</f>
        <v>107.78</v>
      </c>
      <c r="I47" s="10"/>
      <c r="J47" s="10"/>
    </row>
    <row r="48" spans="1:10" x14ac:dyDescent="0.25">
      <c r="A48" s="20" t="s">
        <v>55</v>
      </c>
      <c r="B48" s="20"/>
      <c r="C48" s="11">
        <v>12540</v>
      </c>
      <c r="D48" s="11">
        <v>0</v>
      </c>
      <c r="E48" s="11">
        <v>5191</v>
      </c>
      <c r="F48" s="11">
        <v>0</v>
      </c>
      <c r="G48" s="11">
        <f>SUM(C48:F48)</f>
        <v>17731</v>
      </c>
      <c r="H48" s="17">
        <f>ROUND(G48/437,2)</f>
        <v>40.57</v>
      </c>
      <c r="I48" s="10"/>
      <c r="J48" s="10"/>
    </row>
    <row r="49" spans="1:10" x14ac:dyDescent="0.25">
      <c r="A49" s="20" t="s">
        <v>56</v>
      </c>
      <c r="B49" s="20"/>
      <c r="C49" s="11">
        <v>0</v>
      </c>
      <c r="D49" s="11">
        <v>0</v>
      </c>
      <c r="E49" s="11">
        <v>0</v>
      </c>
      <c r="F49" s="11">
        <v>0</v>
      </c>
      <c r="G49" s="11">
        <f>SUM(C49:F49)</f>
        <v>0</v>
      </c>
      <c r="H49" s="17">
        <f>ROUND(G49/437,2)</f>
        <v>0</v>
      </c>
      <c r="I49" s="10"/>
      <c r="J49" s="10"/>
    </row>
    <row r="50" spans="1:10" x14ac:dyDescent="0.25">
      <c r="C50" s="9"/>
      <c r="D50" s="9"/>
      <c r="E50" s="9"/>
      <c r="F50" s="9"/>
      <c r="G50" s="9"/>
      <c r="H50" s="9"/>
      <c r="I50" s="10"/>
      <c r="J50" s="10"/>
    </row>
    <row r="51" spans="1:10" x14ac:dyDescent="0.25">
      <c r="C51" s="9"/>
      <c r="D51" s="9"/>
      <c r="E51" s="9"/>
      <c r="F51" s="9"/>
      <c r="G51" s="9"/>
      <c r="H51" s="9"/>
      <c r="I51" s="10"/>
      <c r="J51" s="10"/>
    </row>
    <row r="52" spans="1:10" x14ac:dyDescent="0.25">
      <c r="C52" s="9"/>
      <c r="D52" s="9"/>
      <c r="E52" s="9"/>
      <c r="F52" s="9"/>
      <c r="G52" s="9"/>
      <c r="H52" s="9"/>
      <c r="I52" s="10"/>
      <c r="J52" s="10"/>
    </row>
    <row r="53" spans="1:10" x14ac:dyDescent="0.25">
      <c r="C53" s="9"/>
      <c r="D53" s="9"/>
      <c r="E53" s="9"/>
      <c r="F53" s="9"/>
      <c r="G53" s="9"/>
      <c r="H53" s="9"/>
      <c r="I53" s="10"/>
      <c r="J53" s="10"/>
    </row>
    <row r="54" spans="1:10" x14ac:dyDescent="0.25">
      <c r="A54" s="21" t="s">
        <v>57</v>
      </c>
      <c r="B54" s="21"/>
      <c r="C54" s="15" t="s">
        <v>2</v>
      </c>
      <c r="D54" s="15">
        <v>2023</v>
      </c>
      <c r="E54" s="15" t="s">
        <v>59</v>
      </c>
      <c r="F54" s="14"/>
      <c r="G54" s="15" t="s">
        <v>60</v>
      </c>
      <c r="H54" s="15" t="s">
        <v>2</v>
      </c>
      <c r="I54" s="13" t="s">
        <v>61</v>
      </c>
      <c r="J54" s="13" t="s">
        <v>59</v>
      </c>
    </row>
    <row r="55" spans="1:10" x14ac:dyDescent="0.25">
      <c r="A55" s="20" t="s">
        <v>58</v>
      </c>
      <c r="B55" s="20"/>
      <c r="C55" s="16">
        <f>ROUND(0.7334, 4)</f>
        <v>0.73340000000000005</v>
      </c>
      <c r="D55" s="16">
        <f>ROUND(0.7282, 4)</f>
        <v>0.72819999999999996</v>
      </c>
      <c r="E55" s="16">
        <f>ROUND(0.777, 4)</f>
        <v>0.77700000000000002</v>
      </c>
      <c r="F55" s="9"/>
      <c r="G55" s="15" t="s">
        <v>62</v>
      </c>
      <c r="H55" s="22" t="s">
        <v>63</v>
      </c>
      <c r="I55" s="24" t="s">
        <v>64</v>
      </c>
      <c r="J55" s="24" t="s">
        <v>65</v>
      </c>
    </row>
    <row r="56" spans="1:10" x14ac:dyDescent="0.25">
      <c r="A56" s="20" t="s">
        <v>66</v>
      </c>
      <c r="B56" s="20"/>
      <c r="C56" s="16">
        <f>ROUND(0.6989, 4)</f>
        <v>0.69889999999999997</v>
      </c>
      <c r="D56" s="16">
        <f>ROUND(0.6909, 4)</f>
        <v>0.69089999999999996</v>
      </c>
      <c r="E56" s="16">
        <f>ROUND(0.7608, 4)</f>
        <v>0.76080000000000003</v>
      </c>
      <c r="F56" s="9"/>
      <c r="G56" s="15" t="s">
        <v>67</v>
      </c>
      <c r="H56" s="23"/>
      <c r="I56" s="25"/>
      <c r="J56" s="25"/>
    </row>
    <row r="57" spans="1:10" x14ac:dyDescent="0.25">
      <c r="C57" s="9"/>
      <c r="D57" s="9"/>
      <c r="E57" s="9"/>
      <c r="F57" s="9"/>
      <c r="G57" s="9"/>
      <c r="H57" s="9"/>
      <c r="I57" s="10"/>
      <c r="J57" s="10"/>
    </row>
    <row r="58" spans="1:10" x14ac:dyDescent="0.25">
      <c r="C58" s="9"/>
      <c r="D58" s="9"/>
      <c r="E58" s="9"/>
      <c r="F58" s="9"/>
      <c r="G58" s="9"/>
      <c r="H58" s="9"/>
      <c r="I58" s="10"/>
      <c r="J58" s="10"/>
    </row>
    <row r="59" spans="1:10" x14ac:dyDescent="0.25">
      <c r="C59" s="9"/>
      <c r="D59" s="9"/>
      <c r="E59" s="9"/>
      <c r="F59" s="9"/>
      <c r="G59" s="9"/>
      <c r="H59" s="9"/>
      <c r="I59" s="10"/>
      <c r="J59" s="10"/>
    </row>
    <row r="60" spans="1:10" x14ac:dyDescent="0.25">
      <c r="A60" s="21" t="s">
        <v>68</v>
      </c>
      <c r="B60" s="21"/>
      <c r="C60" s="15" t="s">
        <v>2</v>
      </c>
      <c r="D60" s="15" t="s">
        <v>274</v>
      </c>
      <c r="E60" s="15" t="s">
        <v>70</v>
      </c>
      <c r="F60" s="15" t="s">
        <v>71</v>
      </c>
      <c r="G60" s="15" t="s">
        <v>72</v>
      </c>
      <c r="H60" s="14"/>
      <c r="I60" s="18"/>
      <c r="J60" s="18"/>
    </row>
    <row r="61" spans="1:10" x14ac:dyDescent="0.25">
      <c r="A61" s="20" t="s">
        <v>73</v>
      </c>
      <c r="B61" s="20"/>
      <c r="C61" s="17">
        <v>28.7</v>
      </c>
      <c r="D61" s="17">
        <v>61.51</v>
      </c>
      <c r="E61" s="17">
        <v>81.84</v>
      </c>
      <c r="F61" s="17">
        <v>48</v>
      </c>
      <c r="G61" s="17">
        <f>12/4*C61</f>
        <v>86.1</v>
      </c>
      <c r="H61" s="9"/>
      <c r="I61" s="10"/>
      <c r="J61" s="10"/>
    </row>
    <row r="62" spans="1:10" x14ac:dyDescent="0.25">
      <c r="A62" s="20" t="s">
        <v>74</v>
      </c>
      <c r="B62" s="20"/>
      <c r="C62" s="17">
        <v>9.66</v>
      </c>
      <c r="D62" s="17">
        <v>33.4</v>
      </c>
      <c r="E62" s="17">
        <v>55.63</v>
      </c>
      <c r="F62" s="17">
        <v>55.33</v>
      </c>
      <c r="G62" s="17">
        <f>12/4*C62</f>
        <v>28.98</v>
      </c>
      <c r="H62" s="9"/>
      <c r="I62" s="10"/>
      <c r="J62" s="10"/>
    </row>
    <row r="63" spans="1:10" x14ac:dyDescent="0.25">
      <c r="A63" s="20" t="s">
        <v>75</v>
      </c>
      <c r="B63" s="20"/>
      <c r="C63" s="17">
        <v>107.78</v>
      </c>
      <c r="D63" s="17">
        <v>219.31</v>
      </c>
      <c r="E63" s="17">
        <v>257.88</v>
      </c>
      <c r="F63" s="17">
        <v>242.78</v>
      </c>
      <c r="G63" s="17">
        <f>12/4*C63</f>
        <v>323.34000000000003</v>
      </c>
      <c r="H63" s="9"/>
      <c r="I63" s="10"/>
      <c r="J63" s="10"/>
    </row>
    <row r="64" spans="1:10" x14ac:dyDescent="0.25">
      <c r="A64" s="20" t="s">
        <v>76</v>
      </c>
      <c r="B64" s="20"/>
      <c r="C64" s="17">
        <v>40.57</v>
      </c>
      <c r="D64" s="17">
        <v>114.57</v>
      </c>
      <c r="E64" s="17">
        <v>103.14</v>
      </c>
      <c r="F64" s="17">
        <v>68.31</v>
      </c>
      <c r="G64" s="17">
        <f>12/4*C64</f>
        <v>121.71000000000001</v>
      </c>
      <c r="H64" s="9"/>
      <c r="I64" s="10"/>
      <c r="J64" s="10"/>
    </row>
    <row r="65" spans="1:10" x14ac:dyDescent="0.25">
      <c r="C65" s="9"/>
      <c r="D65" s="9"/>
      <c r="E65" s="9"/>
      <c r="F65" s="9"/>
      <c r="G65" s="9"/>
      <c r="H65" s="9"/>
      <c r="I65" s="10"/>
      <c r="J65" s="10"/>
    </row>
    <row r="66" spans="1:10" x14ac:dyDescent="0.25">
      <c r="C66" s="9"/>
      <c r="D66" s="9"/>
      <c r="E66" s="9"/>
      <c r="F66" s="9"/>
      <c r="G66" s="9"/>
      <c r="H66" s="9"/>
      <c r="I66" s="10"/>
      <c r="J66" s="10"/>
    </row>
    <row r="67" spans="1:10" x14ac:dyDescent="0.25">
      <c r="A67" s="19" t="s">
        <v>60</v>
      </c>
      <c r="B67" s="26"/>
      <c r="C67" s="9"/>
      <c r="D67" s="9"/>
      <c r="E67" s="9"/>
      <c r="F67" s="9"/>
      <c r="G67" s="9"/>
      <c r="H67" s="9"/>
      <c r="I67" s="10"/>
      <c r="J67" s="10"/>
    </row>
    <row r="68" spans="1:10" x14ac:dyDescent="0.25">
      <c r="A68" s="3" t="s">
        <v>77</v>
      </c>
      <c r="B68" s="1" t="s">
        <v>275</v>
      </c>
      <c r="C68" s="9"/>
      <c r="D68" s="9"/>
      <c r="E68" s="9"/>
      <c r="F68" s="9"/>
      <c r="G68" s="9"/>
      <c r="H68" s="9"/>
      <c r="I68" s="10"/>
      <c r="J68" s="10"/>
    </row>
    <row r="69" spans="1:10" x14ac:dyDescent="0.25">
      <c r="A69" s="3" t="s">
        <v>70</v>
      </c>
      <c r="B69" s="1" t="s">
        <v>79</v>
      </c>
      <c r="C69" s="9"/>
      <c r="D69" s="9"/>
      <c r="E69" s="9"/>
      <c r="F69" s="9"/>
      <c r="G69" s="9"/>
      <c r="H69" s="9"/>
      <c r="I69" s="10"/>
      <c r="J69" s="10"/>
    </row>
    <row r="70" spans="1:10" x14ac:dyDescent="0.25">
      <c r="A70" s="3" t="s">
        <v>71</v>
      </c>
      <c r="B70" s="1" t="s">
        <v>80</v>
      </c>
      <c r="C70" s="9"/>
      <c r="D70" s="9"/>
      <c r="E70" s="9"/>
      <c r="F70" s="9"/>
      <c r="G70" s="9"/>
      <c r="H70" s="9"/>
      <c r="I70" s="10"/>
      <c r="J70" s="10"/>
    </row>
    <row r="71" spans="1:10" x14ac:dyDescent="0.25">
      <c r="A71" s="3" t="s">
        <v>72</v>
      </c>
      <c r="B71" s="1" t="s">
        <v>81</v>
      </c>
      <c r="C71" s="9"/>
      <c r="D71" s="9"/>
      <c r="E71" s="9"/>
      <c r="F71" s="9"/>
      <c r="G71" s="9"/>
      <c r="H71" s="9"/>
      <c r="I71" s="10"/>
      <c r="J71" s="10"/>
    </row>
    <row r="72" spans="1:10" x14ac:dyDescent="0.25">
      <c r="C72" s="9"/>
      <c r="D72" s="9"/>
      <c r="E72" s="9"/>
      <c r="F72" s="9"/>
      <c r="G72" s="9"/>
      <c r="H72" s="9"/>
      <c r="I72" s="10"/>
      <c r="J72" s="10"/>
    </row>
    <row r="73" spans="1:10" x14ac:dyDescent="0.25">
      <c r="C73" s="9"/>
      <c r="D73" s="9"/>
      <c r="E73" s="9"/>
      <c r="F73" s="9"/>
      <c r="G73" s="9"/>
      <c r="H73" s="9"/>
      <c r="I73" s="10"/>
      <c r="J73" s="10"/>
    </row>
    <row r="74" spans="1:10" x14ac:dyDescent="0.25">
      <c r="C74" s="9"/>
      <c r="D74" s="9"/>
      <c r="E74" s="9"/>
      <c r="F74" s="9"/>
      <c r="G74" s="9"/>
      <c r="H74" s="9"/>
      <c r="I74" s="10"/>
      <c r="J74" s="10"/>
    </row>
    <row r="75" spans="1:10" x14ac:dyDescent="0.25">
      <c r="C75" s="9"/>
      <c r="D75" s="9"/>
      <c r="E75" s="9"/>
      <c r="F75" s="9"/>
      <c r="G75" s="9"/>
      <c r="H75" s="9"/>
      <c r="I75" s="10"/>
      <c r="J75" s="10"/>
    </row>
  </sheetData>
  <mergeCells count="19">
    <mergeCell ref="A62:B62"/>
    <mergeCell ref="A63:B63"/>
    <mergeCell ref="A64:B64"/>
    <mergeCell ref="A67:B67"/>
    <mergeCell ref="I55:I56"/>
    <mergeCell ref="J55:J56"/>
    <mergeCell ref="A56:B56"/>
    <mergeCell ref="A60:B60"/>
    <mergeCell ref="A61:B61"/>
    <mergeCell ref="A48:B48"/>
    <mergeCell ref="A49:B49"/>
    <mergeCell ref="A54:B54"/>
    <mergeCell ref="A55:B55"/>
    <mergeCell ref="H55:H56"/>
    <mergeCell ref="C7:G7"/>
    <mergeCell ref="A40:B40"/>
    <mergeCell ref="A41:B41"/>
    <mergeCell ref="A46:B46"/>
    <mergeCell ref="A47:B47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2:J76"/>
  <sheetViews>
    <sheetView workbookViewId="0">
      <selection activeCell="C9" sqref="C9:J76"/>
    </sheetView>
  </sheetViews>
  <sheetFormatPr defaultRowHeight="15" x14ac:dyDescent="0.25"/>
  <cols>
    <col min="1" max="1" width="38.85546875" bestFit="1" customWidth="1"/>
    <col min="2" max="2" width="79" bestFit="1" customWidth="1"/>
    <col min="3" max="3" width="14" bestFit="1" customWidth="1"/>
    <col min="4" max="4" width="34.140625" bestFit="1" customWidth="1"/>
    <col min="5" max="5" width="16.42578125" bestFit="1" customWidth="1"/>
    <col min="6" max="6" width="10.5703125" bestFit="1" customWidth="1"/>
    <col min="7" max="7" width="68.28515625" bestFit="1" customWidth="1"/>
    <col min="8" max="9" width="20" bestFit="1" customWidth="1"/>
    <col min="10" max="10" width="30.5703125" bestFit="1" customWidth="1"/>
  </cols>
  <sheetData>
    <row r="2" spans="1:10" ht="18.75" x14ac:dyDescent="0.3">
      <c r="A2" s="3" t="s">
        <v>0</v>
      </c>
      <c r="B2" s="4" t="s">
        <v>276</v>
      </c>
    </row>
    <row r="3" spans="1:10" x14ac:dyDescent="0.25">
      <c r="A3" s="3" t="s">
        <v>2</v>
      </c>
      <c r="B3" s="1" t="s">
        <v>3</v>
      </c>
    </row>
    <row r="4" spans="1:10" x14ac:dyDescent="0.25">
      <c r="A4" s="3" t="s">
        <v>4</v>
      </c>
      <c r="B4" s="1">
        <v>4638</v>
      </c>
    </row>
    <row r="7" spans="1:10" x14ac:dyDescent="0.25">
      <c r="C7" s="19" t="s">
        <v>5</v>
      </c>
      <c r="D7" s="20"/>
      <c r="E7" s="20"/>
      <c r="F7" s="20"/>
      <c r="G7" s="20"/>
    </row>
    <row r="8" spans="1:10" x14ac:dyDescent="0.25">
      <c r="A8" s="3" t="s">
        <v>6</v>
      </c>
      <c r="B8" s="3" t="s">
        <v>7</v>
      </c>
      <c r="C8" s="3" t="s">
        <v>8</v>
      </c>
      <c r="D8" s="3" t="s">
        <v>9</v>
      </c>
      <c r="E8" s="3" t="s">
        <v>10</v>
      </c>
      <c r="F8" s="3" t="s">
        <v>11</v>
      </c>
      <c r="G8" s="3" t="s">
        <v>12</v>
      </c>
      <c r="H8" s="3" t="s">
        <v>13</v>
      </c>
      <c r="I8" s="3" t="s">
        <v>14</v>
      </c>
      <c r="J8" s="3" t="s">
        <v>15</v>
      </c>
    </row>
    <row r="9" spans="1:10" x14ac:dyDescent="0.25">
      <c r="A9" s="1" t="s">
        <v>16</v>
      </c>
      <c r="B9" s="1" t="s">
        <v>17</v>
      </c>
      <c r="C9" s="11"/>
      <c r="D9" s="11"/>
      <c r="E9" s="11">
        <v>69</v>
      </c>
      <c r="F9" s="11"/>
      <c r="G9" s="11">
        <f t="shared" ref="G9:G43" si="0">SUM(C9:F9)</f>
        <v>69</v>
      </c>
      <c r="H9" s="17">
        <f t="shared" ref="H9:H43" si="1">ROUND(G9/4638,2)</f>
        <v>0.01</v>
      </c>
      <c r="I9" s="16">
        <f t="shared" ref="I9:I43" si="2">ROUND(G9/$G$44,3)</f>
        <v>0</v>
      </c>
      <c r="J9" s="16"/>
    </row>
    <row r="10" spans="1:10" x14ac:dyDescent="0.25">
      <c r="A10" s="1" t="s">
        <v>16</v>
      </c>
      <c r="B10" s="1" t="s">
        <v>19</v>
      </c>
      <c r="C10" s="11">
        <v>49960</v>
      </c>
      <c r="D10" s="11"/>
      <c r="E10" s="11">
        <v>1500</v>
      </c>
      <c r="F10" s="11"/>
      <c r="G10" s="11">
        <f t="shared" si="0"/>
        <v>51460</v>
      </c>
      <c r="H10" s="17">
        <f t="shared" si="1"/>
        <v>11.1</v>
      </c>
      <c r="I10" s="16">
        <f t="shared" si="2"/>
        <v>9.6000000000000002E-2</v>
      </c>
      <c r="J10" s="16">
        <f>ROUND(G10/47320-1,2)</f>
        <v>0.09</v>
      </c>
    </row>
    <row r="11" spans="1:10" x14ac:dyDescent="0.25">
      <c r="A11" s="1" t="s">
        <v>16</v>
      </c>
      <c r="B11" s="1" t="s">
        <v>20</v>
      </c>
      <c r="C11" s="11">
        <v>62940</v>
      </c>
      <c r="D11" s="11"/>
      <c r="E11" s="11"/>
      <c r="F11" s="11"/>
      <c r="G11" s="11">
        <f t="shared" si="0"/>
        <v>62940</v>
      </c>
      <c r="H11" s="17">
        <f t="shared" si="1"/>
        <v>13.57</v>
      </c>
      <c r="I11" s="16">
        <f t="shared" si="2"/>
        <v>0.11700000000000001</v>
      </c>
      <c r="J11" s="16">
        <f>ROUND(G11/62420-1,2)</f>
        <v>0.01</v>
      </c>
    </row>
    <row r="12" spans="1:10" x14ac:dyDescent="0.25">
      <c r="A12" s="1" t="s">
        <v>16</v>
      </c>
      <c r="B12" s="1" t="s">
        <v>94</v>
      </c>
      <c r="C12" s="11"/>
      <c r="D12" s="11"/>
      <c r="E12" s="11">
        <v>8</v>
      </c>
      <c r="F12" s="11"/>
      <c r="G12" s="11">
        <f t="shared" si="0"/>
        <v>8</v>
      </c>
      <c r="H12" s="17">
        <f t="shared" si="1"/>
        <v>0</v>
      </c>
      <c r="I12" s="16">
        <f t="shared" si="2"/>
        <v>0</v>
      </c>
      <c r="J12" s="16">
        <f>ROUND(G12/18-1,2)</f>
        <v>-0.56000000000000005</v>
      </c>
    </row>
    <row r="13" spans="1:10" x14ac:dyDescent="0.25">
      <c r="A13" s="1" t="s">
        <v>16</v>
      </c>
      <c r="B13" s="1" t="s">
        <v>21</v>
      </c>
      <c r="C13" s="11"/>
      <c r="D13" s="11"/>
      <c r="E13" s="11">
        <v>145</v>
      </c>
      <c r="F13" s="11"/>
      <c r="G13" s="11">
        <f t="shared" si="0"/>
        <v>145</v>
      </c>
      <c r="H13" s="17">
        <f t="shared" si="1"/>
        <v>0.03</v>
      </c>
      <c r="I13" s="16">
        <f t="shared" si="2"/>
        <v>0</v>
      </c>
      <c r="J13" s="16">
        <f>ROUND(G13/72-1,2)</f>
        <v>1.01</v>
      </c>
    </row>
    <row r="14" spans="1:10" x14ac:dyDescent="0.25">
      <c r="A14" s="1" t="s">
        <v>16</v>
      </c>
      <c r="B14" s="1" t="s">
        <v>22</v>
      </c>
      <c r="C14" s="11"/>
      <c r="D14" s="11"/>
      <c r="E14" s="11">
        <v>1800</v>
      </c>
      <c r="F14" s="11"/>
      <c r="G14" s="11">
        <f t="shared" si="0"/>
        <v>1800</v>
      </c>
      <c r="H14" s="17">
        <f t="shared" si="1"/>
        <v>0.39</v>
      </c>
      <c r="I14" s="16">
        <f t="shared" si="2"/>
        <v>3.0000000000000001E-3</v>
      </c>
      <c r="J14" s="16"/>
    </row>
    <row r="15" spans="1:10" x14ac:dyDescent="0.25">
      <c r="A15" s="1" t="s">
        <v>16</v>
      </c>
      <c r="B15" s="1" t="s">
        <v>23</v>
      </c>
      <c r="C15" s="11"/>
      <c r="D15" s="11"/>
      <c r="E15" s="11">
        <v>11880</v>
      </c>
      <c r="F15" s="11"/>
      <c r="G15" s="11">
        <f t="shared" si="0"/>
        <v>11880</v>
      </c>
      <c r="H15" s="17">
        <f t="shared" si="1"/>
        <v>2.56</v>
      </c>
      <c r="I15" s="16">
        <f t="shared" si="2"/>
        <v>2.1999999999999999E-2</v>
      </c>
      <c r="J15" s="16">
        <f>ROUND(G15/5660-1,2)</f>
        <v>1.1000000000000001</v>
      </c>
    </row>
    <row r="16" spans="1:10" x14ac:dyDescent="0.25">
      <c r="A16" s="1" t="s">
        <v>16</v>
      </c>
      <c r="B16" s="1" t="s">
        <v>24</v>
      </c>
      <c r="C16" s="11">
        <v>78540</v>
      </c>
      <c r="D16" s="11"/>
      <c r="E16" s="11">
        <v>580</v>
      </c>
      <c r="F16" s="11"/>
      <c r="G16" s="11">
        <f t="shared" si="0"/>
        <v>79120</v>
      </c>
      <c r="H16" s="17">
        <f t="shared" si="1"/>
        <v>17.059999999999999</v>
      </c>
      <c r="I16" s="16">
        <f t="shared" si="2"/>
        <v>0.14699999999999999</v>
      </c>
      <c r="J16" s="16">
        <f>ROUND(G16/76310-1,2)</f>
        <v>0.04</v>
      </c>
    </row>
    <row r="17" spans="1:10" x14ac:dyDescent="0.25">
      <c r="A17" s="1" t="s">
        <v>16</v>
      </c>
      <c r="B17" s="1" t="s">
        <v>25</v>
      </c>
      <c r="C17" s="11"/>
      <c r="D17" s="11"/>
      <c r="E17" s="11">
        <v>4080</v>
      </c>
      <c r="F17" s="11"/>
      <c r="G17" s="11">
        <f t="shared" si="0"/>
        <v>4080</v>
      </c>
      <c r="H17" s="17">
        <f t="shared" si="1"/>
        <v>0.88</v>
      </c>
      <c r="I17" s="16">
        <f t="shared" si="2"/>
        <v>8.0000000000000002E-3</v>
      </c>
      <c r="J17" s="16">
        <f>ROUND(G17/2140-1,2)</f>
        <v>0.91</v>
      </c>
    </row>
    <row r="18" spans="1:10" x14ac:dyDescent="0.25">
      <c r="A18" s="1" t="s">
        <v>16</v>
      </c>
      <c r="B18" s="1" t="s">
        <v>26</v>
      </c>
      <c r="C18" s="11">
        <v>103510</v>
      </c>
      <c r="D18" s="11"/>
      <c r="E18" s="11"/>
      <c r="F18" s="11"/>
      <c r="G18" s="11">
        <f t="shared" si="0"/>
        <v>103510</v>
      </c>
      <c r="H18" s="17">
        <f t="shared" si="1"/>
        <v>22.32</v>
      </c>
      <c r="I18" s="16">
        <f t="shared" si="2"/>
        <v>0.193</v>
      </c>
      <c r="J18" s="16">
        <f>ROUND(G18/101620-1,2)</f>
        <v>0.02</v>
      </c>
    </row>
    <row r="19" spans="1:10" x14ac:dyDescent="0.25">
      <c r="A19" s="1" t="s">
        <v>16</v>
      </c>
      <c r="B19" s="1" t="s">
        <v>27</v>
      </c>
      <c r="C19" s="11"/>
      <c r="D19" s="11"/>
      <c r="E19" s="11">
        <v>193</v>
      </c>
      <c r="F19" s="11"/>
      <c r="G19" s="11">
        <f t="shared" si="0"/>
        <v>193</v>
      </c>
      <c r="H19" s="17">
        <f t="shared" si="1"/>
        <v>0.04</v>
      </c>
      <c r="I19" s="16">
        <f t="shared" si="2"/>
        <v>0</v>
      </c>
      <c r="J19" s="16">
        <f>ROUND(G19/1768-1,2)</f>
        <v>-0.89</v>
      </c>
    </row>
    <row r="20" spans="1:10" x14ac:dyDescent="0.25">
      <c r="A20" s="1" t="s">
        <v>16</v>
      </c>
      <c r="B20" s="1" t="s">
        <v>28</v>
      </c>
      <c r="C20" s="11"/>
      <c r="D20" s="11"/>
      <c r="E20" s="11">
        <v>144</v>
      </c>
      <c r="F20" s="11"/>
      <c r="G20" s="11">
        <f t="shared" si="0"/>
        <v>144</v>
      </c>
      <c r="H20" s="17">
        <f t="shared" si="1"/>
        <v>0.03</v>
      </c>
      <c r="I20" s="16">
        <f t="shared" si="2"/>
        <v>0</v>
      </c>
      <c r="J20" s="16">
        <f>ROUND(G20/37-1,2)</f>
        <v>2.89</v>
      </c>
    </row>
    <row r="21" spans="1:10" x14ac:dyDescent="0.25">
      <c r="A21" s="1" t="s">
        <v>16</v>
      </c>
      <c r="B21" s="1" t="s">
        <v>29</v>
      </c>
      <c r="C21" s="11"/>
      <c r="D21" s="11"/>
      <c r="E21" s="11">
        <v>450</v>
      </c>
      <c r="F21" s="11"/>
      <c r="G21" s="11">
        <f t="shared" si="0"/>
        <v>450</v>
      </c>
      <c r="H21" s="17">
        <f t="shared" si="1"/>
        <v>0.1</v>
      </c>
      <c r="I21" s="16">
        <f t="shared" si="2"/>
        <v>1E-3</v>
      </c>
      <c r="J21" s="16">
        <f>ROUND(G21/140-1,2)</f>
        <v>2.21</v>
      </c>
    </row>
    <row r="22" spans="1:10" x14ac:dyDescent="0.25">
      <c r="A22" s="1" t="s">
        <v>16</v>
      </c>
      <c r="B22" s="1" t="s">
        <v>30</v>
      </c>
      <c r="C22" s="11"/>
      <c r="D22" s="11"/>
      <c r="E22" s="11">
        <v>20</v>
      </c>
      <c r="F22" s="11"/>
      <c r="G22" s="11">
        <f t="shared" si="0"/>
        <v>20</v>
      </c>
      <c r="H22" s="17">
        <f t="shared" si="1"/>
        <v>0</v>
      </c>
      <c r="I22" s="16">
        <f t="shared" si="2"/>
        <v>0</v>
      </c>
      <c r="J22" s="16"/>
    </row>
    <row r="23" spans="1:10" x14ac:dyDescent="0.25">
      <c r="A23" s="1" t="s">
        <v>16</v>
      </c>
      <c r="B23" s="1" t="s">
        <v>31</v>
      </c>
      <c r="C23" s="11"/>
      <c r="D23" s="11"/>
      <c r="E23" s="11">
        <v>1400</v>
      </c>
      <c r="F23" s="11"/>
      <c r="G23" s="11">
        <f t="shared" si="0"/>
        <v>1400</v>
      </c>
      <c r="H23" s="17">
        <f t="shared" si="1"/>
        <v>0.3</v>
      </c>
      <c r="I23" s="16">
        <f t="shared" si="2"/>
        <v>3.0000000000000001E-3</v>
      </c>
      <c r="J23" s="16">
        <f>ROUND(G23/580-1,2)</f>
        <v>1.41</v>
      </c>
    </row>
    <row r="24" spans="1:10" x14ac:dyDescent="0.25">
      <c r="A24" s="1" t="s">
        <v>16</v>
      </c>
      <c r="B24" s="1" t="s">
        <v>32</v>
      </c>
      <c r="C24" s="11"/>
      <c r="D24" s="11">
        <v>153</v>
      </c>
      <c r="E24" s="11"/>
      <c r="F24" s="11"/>
      <c r="G24" s="11">
        <f t="shared" si="0"/>
        <v>153</v>
      </c>
      <c r="H24" s="17">
        <f t="shared" si="1"/>
        <v>0.03</v>
      </c>
      <c r="I24" s="16">
        <f t="shared" si="2"/>
        <v>0</v>
      </c>
      <c r="J24" s="16">
        <f>ROUND(G24/172-1,2)</f>
        <v>-0.11</v>
      </c>
    </row>
    <row r="25" spans="1:10" x14ac:dyDescent="0.25">
      <c r="A25" s="1" t="s">
        <v>16</v>
      </c>
      <c r="B25" s="1" t="s">
        <v>34</v>
      </c>
      <c r="C25" s="11"/>
      <c r="D25" s="11"/>
      <c r="E25" s="11">
        <v>305</v>
      </c>
      <c r="F25" s="11"/>
      <c r="G25" s="11">
        <f t="shared" si="0"/>
        <v>305</v>
      </c>
      <c r="H25" s="17">
        <f t="shared" si="1"/>
        <v>7.0000000000000007E-2</v>
      </c>
      <c r="I25" s="16">
        <f t="shared" si="2"/>
        <v>1E-3</v>
      </c>
      <c r="J25" s="16">
        <f>ROUND(G25/453-1,2)</f>
        <v>-0.33</v>
      </c>
    </row>
    <row r="26" spans="1:10" x14ac:dyDescent="0.25">
      <c r="A26" s="1" t="s">
        <v>16</v>
      </c>
      <c r="B26" s="1" t="s">
        <v>33</v>
      </c>
      <c r="C26" s="11"/>
      <c r="D26" s="11"/>
      <c r="E26" s="11">
        <v>1220</v>
      </c>
      <c r="F26" s="11"/>
      <c r="G26" s="11">
        <f t="shared" si="0"/>
        <v>1220</v>
      </c>
      <c r="H26" s="17">
        <f t="shared" si="1"/>
        <v>0.26</v>
      </c>
      <c r="I26" s="16">
        <f t="shared" si="2"/>
        <v>2E-3</v>
      </c>
      <c r="J26" s="16">
        <f>ROUND(G26/980-1,2)</f>
        <v>0.24</v>
      </c>
    </row>
    <row r="27" spans="1:10" x14ac:dyDescent="0.25">
      <c r="A27" s="1" t="s">
        <v>16</v>
      </c>
      <c r="B27" s="1" t="s">
        <v>35</v>
      </c>
      <c r="C27" s="11"/>
      <c r="D27" s="11"/>
      <c r="E27" s="11">
        <v>28050</v>
      </c>
      <c r="F27" s="11"/>
      <c r="G27" s="11">
        <f t="shared" si="0"/>
        <v>28050</v>
      </c>
      <c r="H27" s="17">
        <f t="shared" si="1"/>
        <v>6.05</v>
      </c>
      <c r="I27" s="16">
        <f t="shared" si="2"/>
        <v>5.1999999999999998E-2</v>
      </c>
      <c r="J27" s="16">
        <f>ROUND(G27/19895-1,2)</f>
        <v>0.41</v>
      </c>
    </row>
    <row r="28" spans="1:10" x14ac:dyDescent="0.25">
      <c r="A28" s="1" t="s">
        <v>16</v>
      </c>
      <c r="B28" s="1" t="s">
        <v>36</v>
      </c>
      <c r="C28" s="11"/>
      <c r="D28" s="11"/>
      <c r="E28" s="11">
        <v>1710</v>
      </c>
      <c r="F28" s="11"/>
      <c r="G28" s="11">
        <f t="shared" si="0"/>
        <v>1710</v>
      </c>
      <c r="H28" s="17">
        <f t="shared" si="1"/>
        <v>0.37</v>
      </c>
      <c r="I28" s="16">
        <f t="shared" si="2"/>
        <v>3.0000000000000001E-3</v>
      </c>
      <c r="J28" s="16">
        <f>ROUND(G28/2480-1,2)</f>
        <v>-0.31</v>
      </c>
    </row>
    <row r="29" spans="1:10" x14ac:dyDescent="0.25">
      <c r="A29" s="1" t="s">
        <v>16</v>
      </c>
      <c r="B29" s="1" t="s">
        <v>37</v>
      </c>
      <c r="C29" s="11"/>
      <c r="D29" s="11"/>
      <c r="E29" s="11">
        <v>5600</v>
      </c>
      <c r="F29" s="11"/>
      <c r="G29" s="11">
        <f t="shared" si="0"/>
        <v>5600</v>
      </c>
      <c r="H29" s="17">
        <f t="shared" si="1"/>
        <v>1.21</v>
      </c>
      <c r="I29" s="16">
        <f t="shared" si="2"/>
        <v>0.01</v>
      </c>
      <c r="J29" s="16">
        <f>ROUND(G29/6580-1,2)</f>
        <v>-0.15</v>
      </c>
    </row>
    <row r="30" spans="1:10" x14ac:dyDescent="0.25">
      <c r="A30" s="1" t="s">
        <v>16</v>
      </c>
      <c r="B30" s="1" t="s">
        <v>38</v>
      </c>
      <c r="C30" s="11"/>
      <c r="D30" s="11"/>
      <c r="E30" s="11">
        <v>40900</v>
      </c>
      <c r="F30" s="11"/>
      <c r="G30" s="11">
        <f t="shared" si="0"/>
        <v>40900</v>
      </c>
      <c r="H30" s="17">
        <f t="shared" si="1"/>
        <v>8.82</v>
      </c>
      <c r="I30" s="16">
        <f t="shared" si="2"/>
        <v>7.5999999999999998E-2</v>
      </c>
      <c r="J30" s="16">
        <f>ROUND(G30/61160-1,2)</f>
        <v>-0.33</v>
      </c>
    </row>
    <row r="31" spans="1:10" x14ac:dyDescent="0.25">
      <c r="A31" s="1" t="s">
        <v>16</v>
      </c>
      <c r="B31" s="1" t="s">
        <v>40</v>
      </c>
      <c r="C31" s="11"/>
      <c r="D31" s="11"/>
      <c r="E31" s="11"/>
      <c r="F31" s="11"/>
      <c r="G31" s="11">
        <f t="shared" si="0"/>
        <v>0</v>
      </c>
      <c r="H31" s="17">
        <f t="shared" si="1"/>
        <v>0</v>
      </c>
      <c r="I31" s="16">
        <f t="shared" si="2"/>
        <v>0</v>
      </c>
      <c r="J31" s="16">
        <f>ROUND(G31/1830-1,2)</f>
        <v>-1</v>
      </c>
    </row>
    <row r="32" spans="1:10" x14ac:dyDescent="0.25">
      <c r="A32" s="1" t="s">
        <v>16</v>
      </c>
      <c r="B32" s="1" t="s">
        <v>41</v>
      </c>
      <c r="C32" s="11"/>
      <c r="D32" s="11"/>
      <c r="E32" s="11"/>
      <c r="F32" s="11"/>
      <c r="G32" s="11">
        <f t="shared" si="0"/>
        <v>0</v>
      </c>
      <c r="H32" s="17">
        <f t="shared" si="1"/>
        <v>0</v>
      </c>
      <c r="I32" s="16">
        <f t="shared" si="2"/>
        <v>0</v>
      </c>
      <c r="J32" s="16">
        <f>ROUND(G32/2080-1,2)</f>
        <v>-1</v>
      </c>
    </row>
    <row r="33" spans="1:10" x14ac:dyDescent="0.25">
      <c r="A33" s="1" t="s">
        <v>16</v>
      </c>
      <c r="B33" s="1" t="s">
        <v>43</v>
      </c>
      <c r="C33" s="11"/>
      <c r="D33" s="11"/>
      <c r="E33" s="11"/>
      <c r="F33" s="11"/>
      <c r="G33" s="11">
        <f t="shared" si="0"/>
        <v>0</v>
      </c>
      <c r="H33" s="17">
        <f t="shared" si="1"/>
        <v>0</v>
      </c>
      <c r="I33" s="16">
        <f t="shared" si="2"/>
        <v>0</v>
      </c>
      <c r="J33" s="16">
        <f>ROUND(G33/2040-1,2)</f>
        <v>-1</v>
      </c>
    </row>
    <row r="34" spans="1:10" x14ac:dyDescent="0.25">
      <c r="A34" s="1" t="s">
        <v>16</v>
      </c>
      <c r="B34" s="1" t="s">
        <v>42</v>
      </c>
      <c r="C34" s="11"/>
      <c r="D34" s="11"/>
      <c r="E34" s="11"/>
      <c r="F34" s="11"/>
      <c r="G34" s="11">
        <f t="shared" si="0"/>
        <v>0</v>
      </c>
      <c r="H34" s="17">
        <f t="shared" si="1"/>
        <v>0</v>
      </c>
      <c r="I34" s="16">
        <f t="shared" si="2"/>
        <v>0</v>
      </c>
      <c r="J34" s="16">
        <f>ROUND(G34/3728-1,2)</f>
        <v>-1</v>
      </c>
    </row>
    <row r="35" spans="1:10" x14ac:dyDescent="0.25">
      <c r="A35" s="1" t="s">
        <v>16</v>
      </c>
      <c r="B35" s="1" t="s">
        <v>39</v>
      </c>
      <c r="C35" s="11"/>
      <c r="D35" s="11"/>
      <c r="E35" s="11"/>
      <c r="F35" s="11"/>
      <c r="G35" s="11">
        <f t="shared" si="0"/>
        <v>0</v>
      </c>
      <c r="H35" s="17">
        <f t="shared" si="1"/>
        <v>0</v>
      </c>
      <c r="I35" s="16">
        <f t="shared" si="2"/>
        <v>0</v>
      </c>
      <c r="J35" s="16"/>
    </row>
    <row r="36" spans="1:10" x14ac:dyDescent="0.25">
      <c r="A36" s="1" t="s">
        <v>16</v>
      </c>
      <c r="B36" s="1" t="s">
        <v>95</v>
      </c>
      <c r="C36" s="11"/>
      <c r="D36" s="11"/>
      <c r="E36" s="11"/>
      <c r="F36" s="11"/>
      <c r="G36" s="11">
        <f t="shared" si="0"/>
        <v>0</v>
      </c>
      <c r="H36" s="17">
        <f t="shared" si="1"/>
        <v>0</v>
      </c>
      <c r="I36" s="16">
        <f t="shared" si="2"/>
        <v>0</v>
      </c>
      <c r="J36" s="16">
        <f>ROUND(G36/400-1,2)</f>
        <v>-1</v>
      </c>
    </row>
    <row r="37" spans="1:10" x14ac:dyDescent="0.25">
      <c r="A37" s="1" t="s">
        <v>44</v>
      </c>
      <c r="B37" s="1" t="s">
        <v>45</v>
      </c>
      <c r="C37" s="11">
        <v>88890</v>
      </c>
      <c r="D37" s="11"/>
      <c r="E37" s="11"/>
      <c r="F37" s="11"/>
      <c r="G37" s="11">
        <f t="shared" si="0"/>
        <v>88890</v>
      </c>
      <c r="H37" s="17">
        <f t="shared" si="1"/>
        <v>19.170000000000002</v>
      </c>
      <c r="I37" s="16">
        <f t="shared" si="2"/>
        <v>0.16600000000000001</v>
      </c>
      <c r="J37" s="16">
        <f>ROUND(G37/82690-1,2)</f>
        <v>7.0000000000000007E-2</v>
      </c>
    </row>
    <row r="38" spans="1:10" x14ac:dyDescent="0.25">
      <c r="A38" s="1" t="s">
        <v>44</v>
      </c>
      <c r="B38" s="1" t="s">
        <v>47</v>
      </c>
      <c r="C38" s="11"/>
      <c r="D38" s="11"/>
      <c r="E38" s="11"/>
      <c r="F38" s="11">
        <v>28580</v>
      </c>
      <c r="G38" s="11">
        <f t="shared" si="0"/>
        <v>28580</v>
      </c>
      <c r="H38" s="17">
        <f t="shared" si="1"/>
        <v>6.16</v>
      </c>
      <c r="I38" s="16">
        <f t="shared" si="2"/>
        <v>5.2999999999999999E-2</v>
      </c>
      <c r="J38" s="16">
        <f>ROUND(G38/35180-1,2)</f>
        <v>-0.19</v>
      </c>
    </row>
    <row r="39" spans="1:10" x14ac:dyDescent="0.25">
      <c r="A39" s="1" t="s">
        <v>44</v>
      </c>
      <c r="B39" s="1" t="s">
        <v>46</v>
      </c>
      <c r="C39" s="11"/>
      <c r="D39" s="11"/>
      <c r="E39" s="11">
        <v>24440</v>
      </c>
      <c r="F39" s="11"/>
      <c r="G39" s="11">
        <f t="shared" si="0"/>
        <v>24440</v>
      </c>
      <c r="H39" s="17">
        <f t="shared" si="1"/>
        <v>5.27</v>
      </c>
      <c r="I39" s="16">
        <f t="shared" si="2"/>
        <v>4.5999999999999999E-2</v>
      </c>
      <c r="J39" s="16">
        <f>ROUND(G39/14340-1,2)</f>
        <v>0.7</v>
      </c>
    </row>
    <row r="40" spans="1:10" x14ac:dyDescent="0.25">
      <c r="A40" s="1" t="s">
        <v>48</v>
      </c>
      <c r="B40" s="1" t="s">
        <v>49</v>
      </c>
      <c r="C40" s="11"/>
      <c r="D40" s="11"/>
      <c r="E40" s="11"/>
      <c r="F40" s="11"/>
      <c r="G40" s="11">
        <f t="shared" si="0"/>
        <v>0</v>
      </c>
      <c r="H40" s="17">
        <f t="shared" si="1"/>
        <v>0</v>
      </c>
      <c r="I40" s="16">
        <f t="shared" si="2"/>
        <v>0</v>
      </c>
      <c r="J40" s="16"/>
    </row>
    <row r="41" spans="1:10" x14ac:dyDescent="0.25">
      <c r="A41" s="1" t="s">
        <v>48</v>
      </c>
      <c r="B41" s="1" t="s">
        <v>50</v>
      </c>
      <c r="C41" s="11"/>
      <c r="D41" s="11"/>
      <c r="E41" s="11"/>
      <c r="F41" s="11"/>
      <c r="G41" s="11">
        <f t="shared" si="0"/>
        <v>0</v>
      </c>
      <c r="H41" s="17">
        <f t="shared" si="1"/>
        <v>0</v>
      </c>
      <c r="I41" s="16">
        <f t="shared" si="2"/>
        <v>0</v>
      </c>
      <c r="J41" s="16"/>
    </row>
    <row r="42" spans="1:10" x14ac:dyDescent="0.25">
      <c r="A42" s="1" t="s">
        <v>48</v>
      </c>
      <c r="B42" s="1" t="s">
        <v>51</v>
      </c>
      <c r="C42" s="11"/>
      <c r="D42" s="11"/>
      <c r="E42" s="11"/>
      <c r="F42" s="11"/>
      <c r="G42" s="11">
        <f t="shared" si="0"/>
        <v>0</v>
      </c>
      <c r="H42" s="17">
        <f t="shared" si="1"/>
        <v>0</v>
      </c>
      <c r="I42" s="16">
        <f t="shared" si="2"/>
        <v>0</v>
      </c>
      <c r="J42" s="16"/>
    </row>
    <row r="43" spans="1:10" x14ac:dyDescent="0.25">
      <c r="A43" s="1" t="s">
        <v>48</v>
      </c>
      <c r="B43" s="1" t="s">
        <v>86</v>
      </c>
      <c r="C43" s="11"/>
      <c r="D43" s="11"/>
      <c r="E43" s="11"/>
      <c r="F43" s="11"/>
      <c r="G43" s="11">
        <f t="shared" si="0"/>
        <v>0</v>
      </c>
      <c r="H43" s="17">
        <f t="shared" si="1"/>
        <v>0</v>
      </c>
      <c r="I43" s="16">
        <f t="shared" si="2"/>
        <v>0</v>
      </c>
      <c r="J43" s="16"/>
    </row>
    <row r="44" spans="1:10" x14ac:dyDescent="0.25">
      <c r="A44" s="21" t="s">
        <v>12</v>
      </c>
      <c r="B44" s="21"/>
      <c r="C44" s="12">
        <f t="shared" ref="C44:H44" si="3">SUM(C8:C43)</f>
        <v>383840</v>
      </c>
      <c r="D44" s="12">
        <f t="shared" si="3"/>
        <v>153</v>
      </c>
      <c r="E44" s="12">
        <f t="shared" si="3"/>
        <v>124494</v>
      </c>
      <c r="F44" s="12">
        <f t="shared" si="3"/>
        <v>28580</v>
      </c>
      <c r="G44" s="12">
        <f t="shared" si="3"/>
        <v>537067</v>
      </c>
      <c r="H44" s="15">
        <f t="shared" si="3"/>
        <v>115.79999999999998</v>
      </c>
      <c r="I44" s="18"/>
      <c r="J44" s="18"/>
    </row>
    <row r="45" spans="1:10" x14ac:dyDescent="0.25">
      <c r="A45" s="21" t="s">
        <v>14</v>
      </c>
      <c r="B45" s="21"/>
      <c r="C45" s="13">
        <f>ROUND(C44/G44,2)</f>
        <v>0.71</v>
      </c>
      <c r="D45" s="13">
        <f>ROUND(D44/G44,2)</f>
        <v>0</v>
      </c>
      <c r="E45" s="13">
        <f>ROUND(E44/G44,2)</f>
        <v>0.23</v>
      </c>
      <c r="F45" s="13">
        <f>ROUND(F44/G44,2)</f>
        <v>0.05</v>
      </c>
      <c r="G45" s="14"/>
      <c r="H45" s="14"/>
      <c r="I45" s="18"/>
      <c r="J45" s="18"/>
    </row>
    <row r="46" spans="1:10" x14ac:dyDescent="0.25">
      <c r="A46" s="2" t="s">
        <v>52</v>
      </c>
      <c r="B46" s="2"/>
      <c r="C46" s="14"/>
      <c r="D46" s="14"/>
      <c r="E46" s="14"/>
      <c r="F46" s="14"/>
      <c r="G46" s="14"/>
      <c r="H46" s="14"/>
      <c r="I46" s="18"/>
      <c r="J46" s="18"/>
    </row>
    <row r="47" spans="1:10" x14ac:dyDescent="0.25">
      <c r="C47" s="9"/>
      <c r="D47" s="9"/>
      <c r="E47" s="9"/>
      <c r="F47" s="9"/>
      <c r="G47" s="9"/>
      <c r="H47" s="9"/>
      <c r="I47" s="10"/>
      <c r="J47" s="10"/>
    </row>
    <row r="48" spans="1:10" x14ac:dyDescent="0.25">
      <c r="C48" s="9"/>
      <c r="D48" s="9"/>
      <c r="E48" s="9"/>
      <c r="F48" s="9"/>
      <c r="G48" s="9"/>
      <c r="H48" s="9"/>
      <c r="I48" s="10"/>
      <c r="J48" s="10"/>
    </row>
    <row r="49" spans="1:10" x14ac:dyDescent="0.25">
      <c r="C49" s="9"/>
      <c r="D49" s="9"/>
      <c r="E49" s="9"/>
      <c r="F49" s="9"/>
      <c r="G49" s="9"/>
      <c r="H49" s="9"/>
      <c r="I49" s="10"/>
      <c r="J49" s="10"/>
    </row>
    <row r="50" spans="1:10" x14ac:dyDescent="0.25">
      <c r="A50" s="21" t="s">
        <v>53</v>
      </c>
      <c r="B50" s="21"/>
      <c r="C50" s="12" t="s">
        <v>8</v>
      </c>
      <c r="D50" s="12" t="s">
        <v>9</v>
      </c>
      <c r="E50" s="12" t="s">
        <v>10</v>
      </c>
      <c r="F50" s="12" t="s">
        <v>11</v>
      </c>
      <c r="G50" s="12" t="s">
        <v>12</v>
      </c>
      <c r="H50" s="15" t="s">
        <v>13</v>
      </c>
      <c r="I50" s="18"/>
      <c r="J50" s="18"/>
    </row>
    <row r="51" spans="1:10" x14ac:dyDescent="0.25">
      <c r="A51" s="20" t="s">
        <v>54</v>
      </c>
      <c r="B51" s="20"/>
      <c r="C51" s="11">
        <v>294950</v>
      </c>
      <c r="D51" s="11">
        <v>153</v>
      </c>
      <c r="E51" s="11">
        <v>100054</v>
      </c>
      <c r="F51" s="11">
        <v>0</v>
      </c>
      <c r="G51" s="11">
        <f>SUM(C51:F51)</f>
        <v>395157</v>
      </c>
      <c r="H51" s="17">
        <f>ROUND(G51/4638,2)</f>
        <v>85.2</v>
      </c>
      <c r="I51" s="10"/>
      <c r="J51" s="10"/>
    </row>
    <row r="52" spans="1:10" x14ac:dyDescent="0.25">
      <c r="A52" s="20" t="s">
        <v>55</v>
      </c>
      <c r="B52" s="20"/>
      <c r="C52" s="11">
        <v>88890</v>
      </c>
      <c r="D52" s="11">
        <v>0</v>
      </c>
      <c r="E52" s="11">
        <v>24440</v>
      </c>
      <c r="F52" s="11">
        <v>28580</v>
      </c>
      <c r="G52" s="11">
        <f>SUM(C52:F52)</f>
        <v>141910</v>
      </c>
      <c r="H52" s="17">
        <f>ROUND(G52/4638,2)</f>
        <v>30.6</v>
      </c>
      <c r="I52" s="10"/>
      <c r="J52" s="10"/>
    </row>
    <row r="53" spans="1:10" x14ac:dyDescent="0.25">
      <c r="A53" s="20" t="s">
        <v>56</v>
      </c>
      <c r="B53" s="20"/>
      <c r="C53" s="11">
        <v>0</v>
      </c>
      <c r="D53" s="11">
        <v>0</v>
      </c>
      <c r="E53" s="11">
        <v>0</v>
      </c>
      <c r="F53" s="11">
        <v>0</v>
      </c>
      <c r="G53" s="11">
        <f>SUM(C53:F53)</f>
        <v>0</v>
      </c>
      <c r="H53" s="17">
        <f>ROUND(G53/4638,2)</f>
        <v>0</v>
      </c>
      <c r="I53" s="10"/>
      <c r="J53" s="10"/>
    </row>
    <row r="54" spans="1:10" x14ac:dyDescent="0.25">
      <c r="C54" s="9"/>
      <c r="D54" s="9"/>
      <c r="E54" s="9"/>
      <c r="F54" s="9"/>
      <c r="G54" s="9"/>
      <c r="H54" s="9"/>
      <c r="I54" s="10"/>
      <c r="J54" s="10"/>
    </row>
    <row r="55" spans="1:10" x14ac:dyDescent="0.25">
      <c r="C55" s="9"/>
      <c r="D55" s="9"/>
      <c r="E55" s="9"/>
      <c r="F55" s="9"/>
      <c r="G55" s="9"/>
      <c r="H55" s="9"/>
      <c r="I55" s="10"/>
      <c r="J55" s="10"/>
    </row>
    <row r="56" spans="1:10" x14ac:dyDescent="0.25">
      <c r="C56" s="9"/>
      <c r="D56" s="9"/>
      <c r="E56" s="9"/>
      <c r="F56" s="9"/>
      <c r="G56" s="9"/>
      <c r="H56" s="9"/>
      <c r="I56" s="10"/>
      <c r="J56" s="10"/>
    </row>
    <row r="57" spans="1:10" x14ac:dyDescent="0.25">
      <c r="C57" s="9"/>
      <c r="D57" s="9"/>
      <c r="E57" s="9"/>
      <c r="F57" s="9"/>
      <c r="G57" s="9"/>
      <c r="H57" s="9"/>
      <c r="I57" s="10"/>
      <c r="J57" s="10"/>
    </row>
    <row r="58" spans="1:10" x14ac:dyDescent="0.25">
      <c r="A58" s="21" t="s">
        <v>57</v>
      </c>
      <c r="B58" s="21"/>
      <c r="C58" s="15" t="s">
        <v>2</v>
      </c>
      <c r="D58" s="15">
        <v>2023</v>
      </c>
      <c r="E58" s="15" t="s">
        <v>59</v>
      </c>
      <c r="F58" s="14"/>
      <c r="G58" s="15" t="s">
        <v>60</v>
      </c>
      <c r="H58" s="15" t="s">
        <v>2</v>
      </c>
      <c r="I58" s="13" t="s">
        <v>61</v>
      </c>
      <c r="J58" s="13" t="s">
        <v>59</v>
      </c>
    </row>
    <row r="59" spans="1:10" x14ac:dyDescent="0.25">
      <c r="A59" s="20" t="s">
        <v>58</v>
      </c>
      <c r="B59" s="20"/>
      <c r="C59" s="16">
        <f>ROUND(0.8173, 4)</f>
        <v>0.81730000000000003</v>
      </c>
      <c r="D59" s="16">
        <f>ROUND(0.8355, 4)</f>
        <v>0.83550000000000002</v>
      </c>
      <c r="E59" s="16">
        <f>ROUND(0.777, 4)</f>
        <v>0.77700000000000002</v>
      </c>
      <c r="F59" s="9"/>
      <c r="G59" s="15" t="s">
        <v>62</v>
      </c>
      <c r="H59" s="22" t="s">
        <v>63</v>
      </c>
      <c r="I59" s="24" t="s">
        <v>64</v>
      </c>
      <c r="J59" s="24" t="s">
        <v>65</v>
      </c>
    </row>
    <row r="60" spans="1:10" x14ac:dyDescent="0.25">
      <c r="A60" s="20" t="s">
        <v>66</v>
      </c>
      <c r="B60" s="20"/>
      <c r="C60" s="16">
        <f>ROUND(0.8047, 4)</f>
        <v>0.80469999999999997</v>
      </c>
      <c r="D60" s="16">
        <f>ROUND(0.8233, 4)</f>
        <v>0.82330000000000003</v>
      </c>
      <c r="E60" s="16">
        <f>ROUND(0.7608, 4)</f>
        <v>0.76080000000000003</v>
      </c>
      <c r="F60" s="9"/>
      <c r="G60" s="15" t="s">
        <v>67</v>
      </c>
      <c r="H60" s="23"/>
      <c r="I60" s="25"/>
      <c r="J60" s="25"/>
    </row>
    <row r="61" spans="1:10" x14ac:dyDescent="0.25">
      <c r="C61" s="9"/>
      <c r="D61" s="9"/>
      <c r="E61" s="9"/>
      <c r="F61" s="9"/>
      <c r="G61" s="9"/>
      <c r="H61" s="9"/>
      <c r="I61" s="10"/>
      <c r="J61" s="10"/>
    </row>
    <row r="62" spans="1:10" x14ac:dyDescent="0.25">
      <c r="C62" s="9"/>
      <c r="D62" s="9"/>
      <c r="E62" s="9"/>
      <c r="F62" s="9"/>
      <c r="G62" s="9"/>
      <c r="H62" s="9"/>
      <c r="I62" s="10"/>
      <c r="J62" s="10"/>
    </row>
    <row r="63" spans="1:10" x14ac:dyDescent="0.25">
      <c r="C63" s="9"/>
      <c r="D63" s="9"/>
      <c r="E63" s="9"/>
      <c r="F63" s="9"/>
      <c r="G63" s="9"/>
      <c r="H63" s="9"/>
      <c r="I63" s="10"/>
      <c r="J63" s="10"/>
    </row>
    <row r="64" spans="1:10" x14ac:dyDescent="0.25">
      <c r="A64" s="21" t="s">
        <v>68</v>
      </c>
      <c r="B64" s="21"/>
      <c r="C64" s="15" t="s">
        <v>2</v>
      </c>
      <c r="D64" s="15" t="s">
        <v>277</v>
      </c>
      <c r="E64" s="15" t="s">
        <v>70</v>
      </c>
      <c r="F64" s="15" t="s">
        <v>71</v>
      </c>
      <c r="G64" s="15" t="s">
        <v>72</v>
      </c>
      <c r="H64" s="14"/>
      <c r="I64" s="18"/>
      <c r="J64" s="18"/>
    </row>
    <row r="65" spans="1:10" x14ac:dyDescent="0.25">
      <c r="A65" s="20" t="s">
        <v>73</v>
      </c>
      <c r="B65" s="20"/>
      <c r="C65" s="17">
        <v>19.170000000000002</v>
      </c>
      <c r="D65" s="17">
        <v>73.5</v>
      </c>
      <c r="E65" s="17">
        <v>81.84</v>
      </c>
      <c r="F65" s="17">
        <v>48</v>
      </c>
      <c r="G65" s="17">
        <f>12/4*C65</f>
        <v>57.510000000000005</v>
      </c>
      <c r="H65" s="9"/>
      <c r="I65" s="10"/>
      <c r="J65" s="10"/>
    </row>
    <row r="66" spans="1:10" x14ac:dyDescent="0.25">
      <c r="A66" s="20" t="s">
        <v>74</v>
      </c>
      <c r="B66" s="20"/>
      <c r="C66" s="17">
        <v>22.32</v>
      </c>
      <c r="D66" s="17">
        <v>57.51</v>
      </c>
      <c r="E66" s="17">
        <v>55.63</v>
      </c>
      <c r="F66" s="17">
        <v>55.33</v>
      </c>
      <c r="G66" s="17">
        <f>12/4*C66</f>
        <v>66.960000000000008</v>
      </c>
      <c r="H66" s="9"/>
      <c r="I66" s="10"/>
      <c r="J66" s="10"/>
    </row>
    <row r="67" spans="1:10" x14ac:dyDescent="0.25">
      <c r="A67" s="20" t="s">
        <v>75</v>
      </c>
      <c r="B67" s="20"/>
      <c r="C67" s="17">
        <v>85.2</v>
      </c>
      <c r="D67" s="17">
        <v>272.67</v>
      </c>
      <c r="E67" s="17">
        <v>257.88</v>
      </c>
      <c r="F67" s="17">
        <v>242.78</v>
      </c>
      <c r="G67" s="17">
        <f>12/4*C67</f>
        <v>255.60000000000002</v>
      </c>
      <c r="H67" s="9"/>
      <c r="I67" s="10"/>
      <c r="J67" s="10"/>
    </row>
    <row r="68" spans="1:10" x14ac:dyDescent="0.25">
      <c r="A68" s="20" t="s">
        <v>76</v>
      </c>
      <c r="B68" s="20"/>
      <c r="C68" s="17">
        <v>30.6</v>
      </c>
      <c r="D68" s="17">
        <v>100.09</v>
      </c>
      <c r="E68" s="17">
        <v>103.14</v>
      </c>
      <c r="F68" s="17">
        <v>68.31</v>
      </c>
      <c r="G68" s="17">
        <f>12/4*C68</f>
        <v>91.800000000000011</v>
      </c>
      <c r="H68" s="9"/>
      <c r="I68" s="10"/>
      <c r="J68" s="10"/>
    </row>
    <row r="69" spans="1:10" x14ac:dyDescent="0.25">
      <c r="C69" s="9"/>
      <c r="D69" s="9"/>
      <c r="E69" s="9"/>
      <c r="F69" s="9"/>
      <c r="G69" s="9"/>
      <c r="H69" s="9"/>
      <c r="I69" s="10"/>
      <c r="J69" s="10"/>
    </row>
    <row r="70" spans="1:10" x14ac:dyDescent="0.25">
      <c r="C70" s="9"/>
      <c r="D70" s="9"/>
      <c r="E70" s="9"/>
      <c r="F70" s="9"/>
      <c r="G70" s="9"/>
      <c r="H70" s="9"/>
      <c r="I70" s="10"/>
      <c r="J70" s="10"/>
    </row>
    <row r="71" spans="1:10" x14ac:dyDescent="0.25">
      <c r="A71" s="19" t="s">
        <v>60</v>
      </c>
      <c r="B71" s="26"/>
      <c r="C71" s="9"/>
      <c r="D71" s="9"/>
      <c r="E71" s="9"/>
      <c r="F71" s="9"/>
      <c r="G71" s="9"/>
      <c r="H71" s="9"/>
      <c r="I71" s="10"/>
      <c r="J71" s="10"/>
    </row>
    <row r="72" spans="1:10" x14ac:dyDescent="0.25">
      <c r="A72" s="3" t="s">
        <v>77</v>
      </c>
      <c r="B72" s="1" t="s">
        <v>278</v>
      </c>
      <c r="C72" s="9"/>
      <c r="D72" s="9"/>
      <c r="E72" s="9"/>
      <c r="F72" s="9"/>
      <c r="G72" s="9"/>
      <c r="H72" s="9"/>
      <c r="I72" s="10"/>
      <c r="J72" s="10"/>
    </row>
    <row r="73" spans="1:10" x14ac:dyDescent="0.25">
      <c r="A73" s="3" t="s">
        <v>70</v>
      </c>
      <c r="B73" s="1" t="s">
        <v>79</v>
      </c>
      <c r="C73" s="9"/>
      <c r="D73" s="9"/>
      <c r="E73" s="9"/>
      <c r="F73" s="9"/>
      <c r="G73" s="9"/>
      <c r="H73" s="9"/>
      <c r="I73" s="10"/>
      <c r="J73" s="10"/>
    </row>
    <row r="74" spans="1:10" x14ac:dyDescent="0.25">
      <c r="A74" s="3" t="s">
        <v>71</v>
      </c>
      <c r="B74" s="1" t="s">
        <v>80</v>
      </c>
      <c r="C74" s="9"/>
      <c r="D74" s="9"/>
      <c r="E74" s="9"/>
      <c r="F74" s="9"/>
      <c r="G74" s="9"/>
      <c r="H74" s="9"/>
      <c r="I74" s="10"/>
      <c r="J74" s="10"/>
    </row>
    <row r="75" spans="1:10" x14ac:dyDescent="0.25">
      <c r="A75" s="3" t="s">
        <v>72</v>
      </c>
      <c r="B75" s="1" t="s">
        <v>81</v>
      </c>
      <c r="C75" s="9"/>
      <c r="D75" s="9"/>
      <c r="E75" s="9"/>
      <c r="F75" s="9"/>
      <c r="G75" s="9"/>
      <c r="H75" s="9"/>
      <c r="I75" s="10"/>
      <c r="J75" s="10"/>
    </row>
    <row r="76" spans="1:10" x14ac:dyDescent="0.25">
      <c r="C76" s="9"/>
      <c r="D76" s="9"/>
      <c r="E76" s="9"/>
      <c r="F76" s="9"/>
      <c r="G76" s="9"/>
      <c r="H76" s="9"/>
      <c r="I76" s="10"/>
      <c r="J76" s="10"/>
    </row>
  </sheetData>
  <mergeCells count="19">
    <mergeCell ref="A66:B66"/>
    <mergeCell ref="A67:B67"/>
    <mergeCell ref="A68:B68"/>
    <mergeCell ref="A71:B71"/>
    <mergeCell ref="I59:I60"/>
    <mergeCell ref="J59:J60"/>
    <mergeCell ref="A60:B60"/>
    <mergeCell ref="A64:B64"/>
    <mergeCell ref="A65:B65"/>
    <mergeCell ref="A52:B52"/>
    <mergeCell ref="A53:B53"/>
    <mergeCell ref="A58:B58"/>
    <mergeCell ref="A59:B59"/>
    <mergeCell ref="H59:H60"/>
    <mergeCell ref="C7:G7"/>
    <mergeCell ref="A44:B44"/>
    <mergeCell ref="A45:B45"/>
    <mergeCell ref="A50:B50"/>
    <mergeCell ref="A51:B51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2:J76"/>
  <sheetViews>
    <sheetView workbookViewId="0">
      <selection activeCell="C9" sqref="C9:J58"/>
    </sheetView>
  </sheetViews>
  <sheetFormatPr defaultRowHeight="15" x14ac:dyDescent="0.25"/>
  <cols>
    <col min="1" max="1" width="38.85546875" bestFit="1" customWidth="1"/>
    <col min="2" max="2" width="79" bestFit="1" customWidth="1"/>
    <col min="3" max="3" width="14" bestFit="1" customWidth="1"/>
    <col min="4" max="4" width="27" bestFit="1" customWidth="1"/>
    <col min="5" max="5" width="16.42578125" bestFit="1" customWidth="1"/>
    <col min="6" max="6" width="10.5703125" bestFit="1" customWidth="1"/>
    <col min="7" max="7" width="68.28515625" bestFit="1" customWidth="1"/>
    <col min="8" max="9" width="20" bestFit="1" customWidth="1"/>
    <col min="10" max="10" width="30.5703125" bestFit="1" customWidth="1"/>
  </cols>
  <sheetData>
    <row r="2" spans="1:10" ht="18.75" x14ac:dyDescent="0.3">
      <c r="A2" s="3" t="s">
        <v>0</v>
      </c>
      <c r="B2" s="4" t="s">
        <v>279</v>
      </c>
    </row>
    <row r="3" spans="1:10" x14ac:dyDescent="0.25">
      <c r="A3" s="3" t="s">
        <v>2</v>
      </c>
      <c r="B3" s="1" t="s">
        <v>3</v>
      </c>
    </row>
    <row r="4" spans="1:10" x14ac:dyDescent="0.25">
      <c r="A4" s="3" t="s">
        <v>4</v>
      </c>
      <c r="B4" s="1">
        <v>6015</v>
      </c>
    </row>
    <row r="7" spans="1:10" x14ac:dyDescent="0.25">
      <c r="C7" s="19" t="s">
        <v>5</v>
      </c>
      <c r="D7" s="20"/>
      <c r="E7" s="20"/>
      <c r="F7" s="20"/>
      <c r="G7" s="20"/>
    </row>
    <row r="8" spans="1:10" x14ac:dyDescent="0.25">
      <c r="A8" s="3" t="s">
        <v>6</v>
      </c>
      <c r="B8" s="3" t="s">
        <v>7</v>
      </c>
      <c r="C8" s="3" t="s">
        <v>8</v>
      </c>
      <c r="D8" s="3" t="s">
        <v>9</v>
      </c>
      <c r="E8" s="3" t="s">
        <v>10</v>
      </c>
      <c r="F8" s="3" t="s">
        <v>11</v>
      </c>
      <c r="G8" s="3" t="s">
        <v>12</v>
      </c>
      <c r="H8" s="3" t="s">
        <v>13</v>
      </c>
      <c r="I8" s="3" t="s">
        <v>14</v>
      </c>
      <c r="J8" s="3" t="s">
        <v>15</v>
      </c>
    </row>
    <row r="9" spans="1:10" x14ac:dyDescent="0.25">
      <c r="A9" s="1" t="s">
        <v>16</v>
      </c>
      <c r="B9" s="1" t="s">
        <v>17</v>
      </c>
      <c r="C9" s="11"/>
      <c r="D9" s="11"/>
      <c r="E9" s="11">
        <v>40</v>
      </c>
      <c r="F9" s="11"/>
      <c r="G9" s="11">
        <f t="shared" ref="G9:G44" si="0">SUM(C9:F9)</f>
        <v>40</v>
      </c>
      <c r="H9" s="17">
        <f t="shared" ref="H9:H44" si="1">ROUND(G9/6015,2)</f>
        <v>0.01</v>
      </c>
      <c r="I9" s="16">
        <f t="shared" ref="I9:I44" si="2">ROUND(G9/$G$45,3)</f>
        <v>0</v>
      </c>
      <c r="J9" s="16">
        <f>ROUND(G9/46-1,2)</f>
        <v>-0.13</v>
      </c>
    </row>
    <row r="10" spans="1:10" x14ac:dyDescent="0.25">
      <c r="A10" s="1" t="s">
        <v>16</v>
      </c>
      <c r="B10" s="1" t="s">
        <v>19</v>
      </c>
      <c r="C10" s="11">
        <v>65860</v>
      </c>
      <c r="D10" s="11"/>
      <c r="E10" s="11">
        <v>1640</v>
      </c>
      <c r="F10" s="11">
        <v>2520</v>
      </c>
      <c r="G10" s="11">
        <f t="shared" si="0"/>
        <v>70020</v>
      </c>
      <c r="H10" s="17">
        <f t="shared" si="1"/>
        <v>11.64</v>
      </c>
      <c r="I10" s="16">
        <f t="shared" si="2"/>
        <v>9.8000000000000004E-2</v>
      </c>
      <c r="J10" s="16">
        <f>ROUND(G10/65120-1,2)</f>
        <v>0.08</v>
      </c>
    </row>
    <row r="11" spans="1:10" x14ac:dyDescent="0.25">
      <c r="A11" s="1" t="s">
        <v>16</v>
      </c>
      <c r="B11" s="1" t="s">
        <v>20</v>
      </c>
      <c r="C11" s="11">
        <v>82390</v>
      </c>
      <c r="D11" s="11"/>
      <c r="E11" s="11"/>
      <c r="F11" s="11"/>
      <c r="G11" s="11">
        <f t="shared" si="0"/>
        <v>82390</v>
      </c>
      <c r="H11" s="17">
        <f t="shared" si="1"/>
        <v>13.7</v>
      </c>
      <c r="I11" s="16">
        <f t="shared" si="2"/>
        <v>0.115</v>
      </c>
      <c r="J11" s="16">
        <f>ROUND(G11/83800-1,2)</f>
        <v>-0.02</v>
      </c>
    </row>
    <row r="12" spans="1:10" x14ac:dyDescent="0.25">
      <c r="A12" s="1" t="s">
        <v>16</v>
      </c>
      <c r="B12" s="1" t="s">
        <v>94</v>
      </c>
      <c r="C12" s="11"/>
      <c r="D12" s="11"/>
      <c r="E12" s="11">
        <v>176</v>
      </c>
      <c r="F12" s="11"/>
      <c r="G12" s="11">
        <f t="shared" si="0"/>
        <v>176</v>
      </c>
      <c r="H12" s="17">
        <f t="shared" si="1"/>
        <v>0.03</v>
      </c>
      <c r="I12" s="16">
        <f t="shared" si="2"/>
        <v>0</v>
      </c>
      <c r="J12" s="16">
        <f>ROUND(G12/43-1,2)</f>
        <v>3.09</v>
      </c>
    </row>
    <row r="13" spans="1:10" x14ac:dyDescent="0.25">
      <c r="A13" s="1" t="s">
        <v>16</v>
      </c>
      <c r="B13" s="1" t="s">
        <v>21</v>
      </c>
      <c r="C13" s="11"/>
      <c r="D13" s="11"/>
      <c r="E13" s="11">
        <v>137</v>
      </c>
      <c r="F13" s="11"/>
      <c r="G13" s="11">
        <f t="shared" si="0"/>
        <v>137</v>
      </c>
      <c r="H13" s="17">
        <f t="shared" si="1"/>
        <v>0.02</v>
      </c>
      <c r="I13" s="16">
        <f t="shared" si="2"/>
        <v>0</v>
      </c>
      <c r="J13" s="16">
        <f>ROUND(G13/47-1,2)</f>
        <v>1.91</v>
      </c>
    </row>
    <row r="14" spans="1:10" x14ac:dyDescent="0.25">
      <c r="A14" s="1" t="s">
        <v>16</v>
      </c>
      <c r="B14" s="1" t="s">
        <v>22</v>
      </c>
      <c r="C14" s="11"/>
      <c r="D14" s="11"/>
      <c r="E14" s="11">
        <v>900</v>
      </c>
      <c r="F14" s="11"/>
      <c r="G14" s="11">
        <f t="shared" si="0"/>
        <v>900</v>
      </c>
      <c r="H14" s="17">
        <f t="shared" si="1"/>
        <v>0.15</v>
      </c>
      <c r="I14" s="16">
        <f t="shared" si="2"/>
        <v>1E-3</v>
      </c>
      <c r="J14" s="16">
        <f>ROUND(G14/2500-1,2)</f>
        <v>-0.64</v>
      </c>
    </row>
    <row r="15" spans="1:10" x14ac:dyDescent="0.25">
      <c r="A15" s="1" t="s">
        <v>16</v>
      </c>
      <c r="B15" s="1" t="s">
        <v>23</v>
      </c>
      <c r="C15" s="11"/>
      <c r="D15" s="11"/>
      <c r="E15" s="11">
        <v>11800</v>
      </c>
      <c r="F15" s="11"/>
      <c r="G15" s="11">
        <f t="shared" si="0"/>
        <v>11800</v>
      </c>
      <c r="H15" s="17">
        <f t="shared" si="1"/>
        <v>1.96</v>
      </c>
      <c r="I15" s="16">
        <f t="shared" si="2"/>
        <v>1.6E-2</v>
      </c>
      <c r="J15" s="16">
        <f>ROUND(G15/9980-1,2)</f>
        <v>0.18</v>
      </c>
    </row>
    <row r="16" spans="1:10" x14ac:dyDescent="0.25">
      <c r="A16" s="1" t="s">
        <v>16</v>
      </c>
      <c r="B16" s="1" t="s">
        <v>24</v>
      </c>
      <c r="C16" s="11">
        <v>120580</v>
      </c>
      <c r="D16" s="11"/>
      <c r="E16" s="11">
        <v>9720</v>
      </c>
      <c r="F16" s="11">
        <v>3480</v>
      </c>
      <c r="G16" s="11">
        <f t="shared" si="0"/>
        <v>133780</v>
      </c>
      <c r="H16" s="17">
        <f t="shared" si="1"/>
        <v>22.24</v>
      </c>
      <c r="I16" s="16">
        <f t="shared" si="2"/>
        <v>0.187</v>
      </c>
      <c r="J16" s="16">
        <f>ROUND(G16/127720-1,2)</f>
        <v>0.05</v>
      </c>
    </row>
    <row r="17" spans="1:10" x14ac:dyDescent="0.25">
      <c r="A17" s="1" t="s">
        <v>16</v>
      </c>
      <c r="B17" s="1" t="s">
        <v>25</v>
      </c>
      <c r="C17" s="11"/>
      <c r="D17" s="11"/>
      <c r="E17" s="11">
        <v>3750</v>
      </c>
      <c r="F17" s="11"/>
      <c r="G17" s="11">
        <f t="shared" si="0"/>
        <v>3750</v>
      </c>
      <c r="H17" s="17">
        <f t="shared" si="1"/>
        <v>0.62</v>
      </c>
      <c r="I17" s="16">
        <f t="shared" si="2"/>
        <v>5.0000000000000001E-3</v>
      </c>
      <c r="J17" s="16">
        <f>ROUND(G17/4160-1,2)</f>
        <v>-0.1</v>
      </c>
    </row>
    <row r="18" spans="1:10" x14ac:dyDescent="0.25">
      <c r="A18" s="1" t="s">
        <v>16</v>
      </c>
      <c r="B18" s="1" t="s">
        <v>26</v>
      </c>
      <c r="C18" s="11">
        <v>148620</v>
      </c>
      <c r="D18" s="11"/>
      <c r="E18" s="11"/>
      <c r="F18" s="11"/>
      <c r="G18" s="11">
        <f t="shared" si="0"/>
        <v>148620</v>
      </c>
      <c r="H18" s="17">
        <f t="shared" si="1"/>
        <v>24.71</v>
      </c>
      <c r="I18" s="16">
        <f t="shared" si="2"/>
        <v>0.20699999999999999</v>
      </c>
      <c r="J18" s="16">
        <f>ROUND(G18/130560-1,2)</f>
        <v>0.14000000000000001</v>
      </c>
    </row>
    <row r="19" spans="1:10" x14ac:dyDescent="0.25">
      <c r="A19" s="1" t="s">
        <v>16</v>
      </c>
      <c r="B19" s="1" t="s">
        <v>27</v>
      </c>
      <c r="C19" s="11"/>
      <c r="D19" s="11"/>
      <c r="E19" s="11">
        <v>643</v>
      </c>
      <c r="F19" s="11"/>
      <c r="G19" s="11">
        <f t="shared" si="0"/>
        <v>643</v>
      </c>
      <c r="H19" s="17">
        <f t="shared" si="1"/>
        <v>0.11</v>
      </c>
      <c r="I19" s="16">
        <f t="shared" si="2"/>
        <v>1E-3</v>
      </c>
      <c r="J19" s="16">
        <f>ROUND(G19/670-1,2)</f>
        <v>-0.04</v>
      </c>
    </row>
    <row r="20" spans="1:10" x14ac:dyDescent="0.25">
      <c r="A20" s="1" t="s">
        <v>16</v>
      </c>
      <c r="B20" s="1" t="s">
        <v>28</v>
      </c>
      <c r="C20" s="11"/>
      <c r="D20" s="11"/>
      <c r="E20" s="11">
        <v>630</v>
      </c>
      <c r="F20" s="11"/>
      <c r="G20" s="11">
        <f t="shared" si="0"/>
        <v>630</v>
      </c>
      <c r="H20" s="17">
        <f t="shared" si="1"/>
        <v>0.1</v>
      </c>
      <c r="I20" s="16">
        <f t="shared" si="2"/>
        <v>1E-3</v>
      </c>
      <c r="J20" s="16">
        <f>ROUND(G20/303-1,2)</f>
        <v>1.08</v>
      </c>
    </row>
    <row r="21" spans="1:10" x14ac:dyDescent="0.25">
      <c r="A21" s="1" t="s">
        <v>16</v>
      </c>
      <c r="B21" s="1" t="s">
        <v>29</v>
      </c>
      <c r="C21" s="11"/>
      <c r="D21" s="11"/>
      <c r="E21" s="11">
        <v>650</v>
      </c>
      <c r="F21" s="11"/>
      <c r="G21" s="11">
        <f t="shared" si="0"/>
        <v>650</v>
      </c>
      <c r="H21" s="17">
        <f t="shared" si="1"/>
        <v>0.11</v>
      </c>
      <c r="I21" s="16">
        <f t="shared" si="2"/>
        <v>1E-3</v>
      </c>
      <c r="J21" s="16">
        <f>ROUND(G21/670-1,2)</f>
        <v>-0.03</v>
      </c>
    </row>
    <row r="22" spans="1:10" x14ac:dyDescent="0.25">
      <c r="A22" s="1" t="s">
        <v>16</v>
      </c>
      <c r="B22" s="1" t="s">
        <v>30</v>
      </c>
      <c r="C22" s="11"/>
      <c r="D22" s="11"/>
      <c r="E22" s="11">
        <v>80</v>
      </c>
      <c r="F22" s="11"/>
      <c r="G22" s="11">
        <f t="shared" si="0"/>
        <v>80</v>
      </c>
      <c r="H22" s="17">
        <f t="shared" si="1"/>
        <v>0.01</v>
      </c>
      <c r="I22" s="16">
        <f t="shared" si="2"/>
        <v>0</v>
      </c>
      <c r="J22" s="16">
        <f>ROUND(G22/230-1,2)</f>
        <v>-0.65</v>
      </c>
    </row>
    <row r="23" spans="1:10" x14ac:dyDescent="0.25">
      <c r="A23" s="1" t="s">
        <v>16</v>
      </c>
      <c r="B23" s="1" t="s">
        <v>31</v>
      </c>
      <c r="C23" s="11"/>
      <c r="D23" s="11"/>
      <c r="E23" s="11">
        <v>1090</v>
      </c>
      <c r="F23" s="11"/>
      <c r="G23" s="11">
        <f t="shared" si="0"/>
        <v>1090</v>
      </c>
      <c r="H23" s="17">
        <f t="shared" si="1"/>
        <v>0.18</v>
      </c>
      <c r="I23" s="16">
        <f t="shared" si="2"/>
        <v>2E-3</v>
      </c>
      <c r="J23" s="16">
        <f>ROUND(G23/1315-1,2)</f>
        <v>-0.17</v>
      </c>
    </row>
    <row r="24" spans="1:10" x14ac:dyDescent="0.25">
      <c r="A24" s="1" t="s">
        <v>16</v>
      </c>
      <c r="B24" s="1" t="s">
        <v>32</v>
      </c>
      <c r="C24" s="11"/>
      <c r="D24" s="11">
        <v>214</v>
      </c>
      <c r="E24" s="11"/>
      <c r="F24" s="11"/>
      <c r="G24" s="11">
        <f t="shared" si="0"/>
        <v>214</v>
      </c>
      <c r="H24" s="17">
        <f t="shared" si="1"/>
        <v>0.04</v>
      </c>
      <c r="I24" s="16">
        <f t="shared" si="2"/>
        <v>0</v>
      </c>
      <c r="J24" s="16">
        <f>ROUND(G24/163-1,2)</f>
        <v>0.31</v>
      </c>
    </row>
    <row r="25" spans="1:10" x14ac:dyDescent="0.25">
      <c r="A25" s="1" t="s">
        <v>16</v>
      </c>
      <c r="B25" s="1" t="s">
        <v>35</v>
      </c>
      <c r="C25" s="11"/>
      <c r="D25" s="11"/>
      <c r="E25" s="11">
        <v>51200</v>
      </c>
      <c r="F25" s="11"/>
      <c r="G25" s="11">
        <f t="shared" si="0"/>
        <v>51200</v>
      </c>
      <c r="H25" s="17">
        <f t="shared" si="1"/>
        <v>8.51</v>
      </c>
      <c r="I25" s="16">
        <f t="shared" si="2"/>
        <v>7.0999999999999994E-2</v>
      </c>
      <c r="J25" s="16">
        <f>ROUND(G25/58770-1,2)</f>
        <v>-0.13</v>
      </c>
    </row>
    <row r="26" spans="1:10" x14ac:dyDescent="0.25">
      <c r="A26" s="1" t="s">
        <v>16</v>
      </c>
      <c r="B26" s="1" t="s">
        <v>36</v>
      </c>
      <c r="C26" s="11"/>
      <c r="D26" s="11"/>
      <c r="E26" s="11">
        <v>3230</v>
      </c>
      <c r="F26" s="11"/>
      <c r="G26" s="11">
        <f t="shared" si="0"/>
        <v>3230</v>
      </c>
      <c r="H26" s="17">
        <f t="shared" si="1"/>
        <v>0.54</v>
      </c>
      <c r="I26" s="16">
        <f t="shared" si="2"/>
        <v>5.0000000000000001E-3</v>
      </c>
      <c r="J26" s="16">
        <f>ROUND(G26/2200-1,2)</f>
        <v>0.47</v>
      </c>
    </row>
    <row r="27" spans="1:10" x14ac:dyDescent="0.25">
      <c r="A27" s="1" t="s">
        <v>16</v>
      </c>
      <c r="B27" s="1" t="s">
        <v>37</v>
      </c>
      <c r="C27" s="11"/>
      <c r="D27" s="11"/>
      <c r="E27" s="11">
        <v>11450</v>
      </c>
      <c r="F27" s="11"/>
      <c r="G27" s="11">
        <f t="shared" si="0"/>
        <v>11450</v>
      </c>
      <c r="H27" s="17">
        <f t="shared" si="1"/>
        <v>1.9</v>
      </c>
      <c r="I27" s="16">
        <f t="shared" si="2"/>
        <v>1.6E-2</v>
      </c>
      <c r="J27" s="16">
        <f>ROUND(G27/12390-1,2)</f>
        <v>-0.08</v>
      </c>
    </row>
    <row r="28" spans="1:10" x14ac:dyDescent="0.25">
      <c r="A28" s="1" t="s">
        <v>16</v>
      </c>
      <c r="B28" s="1" t="s">
        <v>38</v>
      </c>
      <c r="C28" s="11"/>
      <c r="D28" s="11"/>
      <c r="E28" s="11">
        <v>56870</v>
      </c>
      <c r="F28" s="11"/>
      <c r="G28" s="11">
        <f t="shared" si="0"/>
        <v>56870</v>
      </c>
      <c r="H28" s="17">
        <f t="shared" si="1"/>
        <v>9.4499999999999993</v>
      </c>
      <c r="I28" s="16">
        <f t="shared" si="2"/>
        <v>7.9000000000000001E-2</v>
      </c>
      <c r="J28" s="16">
        <f>ROUND(G28/73690-1,2)</f>
        <v>-0.23</v>
      </c>
    </row>
    <row r="29" spans="1:10" x14ac:dyDescent="0.25">
      <c r="A29" s="1" t="s">
        <v>16</v>
      </c>
      <c r="B29" s="1" t="s">
        <v>95</v>
      </c>
      <c r="C29" s="11"/>
      <c r="D29" s="11"/>
      <c r="E29" s="11"/>
      <c r="F29" s="11"/>
      <c r="G29" s="11">
        <f t="shared" si="0"/>
        <v>0</v>
      </c>
      <c r="H29" s="17">
        <f t="shared" si="1"/>
        <v>0</v>
      </c>
      <c r="I29" s="16">
        <f t="shared" si="2"/>
        <v>0</v>
      </c>
      <c r="J29" s="16">
        <f>ROUND(G29/380-1,2)</f>
        <v>-1</v>
      </c>
    </row>
    <row r="30" spans="1:10" x14ac:dyDescent="0.25">
      <c r="A30" s="1" t="s">
        <v>16</v>
      </c>
      <c r="B30" s="1" t="s">
        <v>40</v>
      </c>
      <c r="C30" s="11"/>
      <c r="D30" s="11"/>
      <c r="E30" s="11"/>
      <c r="F30" s="11"/>
      <c r="G30" s="11">
        <f t="shared" si="0"/>
        <v>0</v>
      </c>
      <c r="H30" s="17">
        <f t="shared" si="1"/>
        <v>0</v>
      </c>
      <c r="I30" s="16">
        <f t="shared" si="2"/>
        <v>0</v>
      </c>
      <c r="J30" s="16">
        <f>ROUND(G30/3730-1,2)</f>
        <v>-1</v>
      </c>
    </row>
    <row r="31" spans="1:10" x14ac:dyDescent="0.25">
      <c r="A31" s="1" t="s">
        <v>16</v>
      </c>
      <c r="B31" s="1" t="s">
        <v>33</v>
      </c>
      <c r="C31" s="11"/>
      <c r="D31" s="11"/>
      <c r="E31" s="11"/>
      <c r="F31" s="11"/>
      <c r="G31" s="11">
        <f t="shared" si="0"/>
        <v>0</v>
      </c>
      <c r="H31" s="17">
        <f t="shared" si="1"/>
        <v>0</v>
      </c>
      <c r="I31" s="16">
        <f t="shared" si="2"/>
        <v>0</v>
      </c>
      <c r="J31" s="16">
        <f>ROUND(G31/1380-1,2)</f>
        <v>-1</v>
      </c>
    </row>
    <row r="32" spans="1:10" x14ac:dyDescent="0.25">
      <c r="A32" s="1" t="s">
        <v>16</v>
      </c>
      <c r="B32" s="1" t="s">
        <v>34</v>
      </c>
      <c r="C32" s="11"/>
      <c r="D32" s="11"/>
      <c r="E32" s="11"/>
      <c r="F32" s="11"/>
      <c r="G32" s="11">
        <f t="shared" si="0"/>
        <v>0</v>
      </c>
      <c r="H32" s="17">
        <f t="shared" si="1"/>
        <v>0</v>
      </c>
      <c r="I32" s="16">
        <f t="shared" si="2"/>
        <v>0</v>
      </c>
      <c r="J32" s="16"/>
    </row>
    <row r="33" spans="1:10" x14ac:dyDescent="0.25">
      <c r="A33" s="1" t="s">
        <v>16</v>
      </c>
      <c r="B33" s="1" t="s">
        <v>41</v>
      </c>
      <c r="C33" s="11"/>
      <c r="D33" s="11"/>
      <c r="E33" s="11"/>
      <c r="F33" s="11"/>
      <c r="G33" s="11">
        <f t="shared" si="0"/>
        <v>0</v>
      </c>
      <c r="H33" s="17">
        <f t="shared" si="1"/>
        <v>0</v>
      </c>
      <c r="I33" s="16">
        <f t="shared" si="2"/>
        <v>0</v>
      </c>
      <c r="J33" s="16">
        <f>ROUND(G33/2844-1,2)</f>
        <v>-1</v>
      </c>
    </row>
    <row r="34" spans="1:10" x14ac:dyDescent="0.25">
      <c r="A34" s="1" t="s">
        <v>16</v>
      </c>
      <c r="B34" s="1" t="s">
        <v>43</v>
      </c>
      <c r="C34" s="11"/>
      <c r="D34" s="11"/>
      <c r="E34" s="11"/>
      <c r="F34" s="11"/>
      <c r="G34" s="11">
        <f t="shared" si="0"/>
        <v>0</v>
      </c>
      <c r="H34" s="17">
        <f t="shared" si="1"/>
        <v>0</v>
      </c>
      <c r="I34" s="16">
        <f t="shared" si="2"/>
        <v>0</v>
      </c>
      <c r="J34" s="16">
        <f>ROUND(G34/6848-1,2)</f>
        <v>-1</v>
      </c>
    </row>
    <row r="35" spans="1:10" x14ac:dyDescent="0.25">
      <c r="A35" s="1" t="s">
        <v>16</v>
      </c>
      <c r="B35" s="1" t="s">
        <v>42</v>
      </c>
      <c r="C35" s="11"/>
      <c r="D35" s="11"/>
      <c r="E35" s="11"/>
      <c r="F35" s="11"/>
      <c r="G35" s="11">
        <f t="shared" si="0"/>
        <v>0</v>
      </c>
      <c r="H35" s="17">
        <f t="shared" si="1"/>
        <v>0</v>
      </c>
      <c r="I35" s="16">
        <f t="shared" si="2"/>
        <v>0</v>
      </c>
      <c r="J35" s="16">
        <f>ROUND(G35/3020-1,2)</f>
        <v>-1</v>
      </c>
    </row>
    <row r="36" spans="1:10" x14ac:dyDescent="0.25">
      <c r="A36" s="1" t="s">
        <v>16</v>
      </c>
      <c r="B36" s="1" t="s">
        <v>118</v>
      </c>
      <c r="C36" s="11"/>
      <c r="D36" s="11"/>
      <c r="E36" s="11"/>
      <c r="F36" s="11"/>
      <c r="G36" s="11">
        <f t="shared" si="0"/>
        <v>0</v>
      </c>
      <c r="H36" s="17">
        <f t="shared" si="1"/>
        <v>0</v>
      </c>
      <c r="I36" s="16">
        <f t="shared" si="2"/>
        <v>0</v>
      </c>
      <c r="J36" s="16"/>
    </row>
    <row r="37" spans="1:10" x14ac:dyDescent="0.25">
      <c r="A37" s="1" t="s">
        <v>16</v>
      </c>
      <c r="B37" s="1" t="s">
        <v>39</v>
      </c>
      <c r="C37" s="11"/>
      <c r="D37" s="11"/>
      <c r="E37" s="11"/>
      <c r="F37" s="11"/>
      <c r="G37" s="11">
        <f t="shared" si="0"/>
        <v>0</v>
      </c>
      <c r="H37" s="17">
        <f t="shared" si="1"/>
        <v>0</v>
      </c>
      <c r="I37" s="16">
        <f t="shared" si="2"/>
        <v>0</v>
      </c>
      <c r="J37" s="16">
        <f>ROUND(G37/196-1,2)</f>
        <v>-1</v>
      </c>
    </row>
    <row r="38" spans="1:10" x14ac:dyDescent="0.25">
      <c r="A38" s="1" t="s">
        <v>44</v>
      </c>
      <c r="B38" s="1" t="s">
        <v>45</v>
      </c>
      <c r="C38" s="11">
        <v>106345</v>
      </c>
      <c r="D38" s="11"/>
      <c r="E38" s="11"/>
      <c r="F38" s="11"/>
      <c r="G38" s="11">
        <f t="shared" si="0"/>
        <v>106345</v>
      </c>
      <c r="H38" s="17">
        <f t="shared" si="1"/>
        <v>17.68</v>
      </c>
      <c r="I38" s="16">
        <f t="shared" si="2"/>
        <v>0.14799999999999999</v>
      </c>
      <c r="J38" s="16">
        <f>ROUND(G38/137900-1,2)</f>
        <v>-0.23</v>
      </c>
    </row>
    <row r="39" spans="1:10" x14ac:dyDescent="0.25">
      <c r="A39" s="1" t="s">
        <v>44</v>
      </c>
      <c r="B39" s="1" t="s">
        <v>46</v>
      </c>
      <c r="C39" s="11"/>
      <c r="D39" s="11"/>
      <c r="E39" s="11">
        <v>32540</v>
      </c>
      <c r="F39" s="11"/>
      <c r="G39" s="11">
        <f t="shared" si="0"/>
        <v>32540</v>
      </c>
      <c r="H39" s="17">
        <f t="shared" si="1"/>
        <v>5.41</v>
      </c>
      <c r="I39" s="16">
        <f t="shared" si="2"/>
        <v>4.4999999999999998E-2</v>
      </c>
      <c r="J39" s="16">
        <f>ROUND(G39/39290-1,2)</f>
        <v>-0.17</v>
      </c>
    </row>
    <row r="40" spans="1:10" x14ac:dyDescent="0.25">
      <c r="A40" s="1" t="s">
        <v>44</v>
      </c>
      <c r="B40" s="1" t="s">
        <v>47</v>
      </c>
      <c r="C40" s="11"/>
      <c r="D40" s="11"/>
      <c r="E40" s="11"/>
      <c r="F40" s="11"/>
      <c r="G40" s="11">
        <f t="shared" si="0"/>
        <v>0</v>
      </c>
      <c r="H40" s="17">
        <f t="shared" si="1"/>
        <v>0</v>
      </c>
      <c r="I40" s="16">
        <f t="shared" si="2"/>
        <v>0</v>
      </c>
      <c r="J40" s="16">
        <f>ROUND(G40/2400-1,2)</f>
        <v>-1</v>
      </c>
    </row>
    <row r="41" spans="1:10" x14ac:dyDescent="0.25">
      <c r="A41" s="1" t="s">
        <v>48</v>
      </c>
      <c r="B41" s="1" t="s">
        <v>49</v>
      </c>
      <c r="C41" s="11"/>
      <c r="D41" s="11"/>
      <c r="E41" s="11"/>
      <c r="F41" s="11"/>
      <c r="G41" s="11">
        <f t="shared" si="0"/>
        <v>0</v>
      </c>
      <c r="H41" s="17">
        <f t="shared" si="1"/>
        <v>0</v>
      </c>
      <c r="I41" s="16">
        <f t="shared" si="2"/>
        <v>0</v>
      </c>
      <c r="J41" s="16"/>
    </row>
    <row r="42" spans="1:10" x14ac:dyDescent="0.25">
      <c r="A42" s="1" t="s">
        <v>48</v>
      </c>
      <c r="B42" s="1" t="s">
        <v>86</v>
      </c>
      <c r="C42" s="11"/>
      <c r="D42" s="11"/>
      <c r="E42" s="11"/>
      <c r="F42" s="11"/>
      <c r="G42" s="11">
        <f t="shared" si="0"/>
        <v>0</v>
      </c>
      <c r="H42" s="17">
        <f t="shared" si="1"/>
        <v>0</v>
      </c>
      <c r="I42" s="16">
        <f t="shared" si="2"/>
        <v>0</v>
      </c>
      <c r="J42" s="16"/>
    </row>
    <row r="43" spans="1:10" x14ac:dyDescent="0.25">
      <c r="A43" s="1" t="s">
        <v>48</v>
      </c>
      <c r="B43" s="1" t="s">
        <v>50</v>
      </c>
      <c r="C43" s="11"/>
      <c r="D43" s="11"/>
      <c r="E43" s="11"/>
      <c r="F43" s="11"/>
      <c r="G43" s="11">
        <f t="shared" si="0"/>
        <v>0</v>
      </c>
      <c r="H43" s="17">
        <f t="shared" si="1"/>
        <v>0</v>
      </c>
      <c r="I43" s="16">
        <f t="shared" si="2"/>
        <v>0</v>
      </c>
      <c r="J43" s="16"/>
    </row>
    <row r="44" spans="1:10" x14ac:dyDescent="0.25">
      <c r="A44" s="1" t="s">
        <v>48</v>
      </c>
      <c r="B44" s="1" t="s">
        <v>51</v>
      </c>
      <c r="C44" s="11"/>
      <c r="D44" s="11"/>
      <c r="E44" s="11"/>
      <c r="F44" s="11"/>
      <c r="G44" s="11">
        <f t="shared" si="0"/>
        <v>0</v>
      </c>
      <c r="H44" s="17">
        <f t="shared" si="1"/>
        <v>0</v>
      </c>
      <c r="I44" s="16">
        <f t="shared" si="2"/>
        <v>0</v>
      </c>
      <c r="J44" s="16"/>
    </row>
    <row r="45" spans="1:10" x14ac:dyDescent="0.25">
      <c r="A45" s="21" t="s">
        <v>12</v>
      </c>
      <c r="B45" s="21"/>
      <c r="C45" s="12">
        <f t="shared" ref="C45:H45" si="3">SUM(C8:C44)</f>
        <v>523795</v>
      </c>
      <c r="D45" s="12">
        <f t="shared" si="3"/>
        <v>214</v>
      </c>
      <c r="E45" s="12">
        <f t="shared" si="3"/>
        <v>186546</v>
      </c>
      <c r="F45" s="12">
        <f t="shared" si="3"/>
        <v>6000</v>
      </c>
      <c r="G45" s="12">
        <f t="shared" si="3"/>
        <v>716555</v>
      </c>
      <c r="H45" s="15">
        <f t="shared" si="3"/>
        <v>119.12000000000003</v>
      </c>
      <c r="I45" s="18"/>
      <c r="J45" s="18"/>
    </row>
    <row r="46" spans="1:10" x14ac:dyDescent="0.25">
      <c r="A46" s="21" t="s">
        <v>14</v>
      </c>
      <c r="B46" s="21"/>
      <c r="C46" s="13">
        <f>ROUND(C45/G45,2)</f>
        <v>0.73</v>
      </c>
      <c r="D46" s="13">
        <f>ROUND(D45/G45,2)</f>
        <v>0</v>
      </c>
      <c r="E46" s="13">
        <f>ROUND(E45/G45,2)</f>
        <v>0.26</v>
      </c>
      <c r="F46" s="13">
        <f>ROUND(F45/G45,2)</f>
        <v>0.01</v>
      </c>
      <c r="G46" s="14"/>
      <c r="H46" s="14"/>
      <c r="I46" s="18"/>
      <c r="J46" s="18"/>
    </row>
    <row r="47" spans="1:10" x14ac:dyDescent="0.25">
      <c r="A47" s="2" t="s">
        <v>52</v>
      </c>
      <c r="B47" s="2"/>
      <c r="C47" s="14"/>
      <c r="D47" s="14"/>
      <c r="E47" s="14"/>
      <c r="F47" s="14"/>
      <c r="G47" s="14"/>
      <c r="H47" s="14"/>
      <c r="I47" s="18"/>
      <c r="J47" s="18"/>
    </row>
    <row r="48" spans="1:10" x14ac:dyDescent="0.25">
      <c r="C48" s="9"/>
      <c r="D48" s="9"/>
      <c r="E48" s="9"/>
      <c r="F48" s="9"/>
      <c r="G48" s="9"/>
      <c r="H48" s="9"/>
      <c r="I48" s="10"/>
      <c r="J48" s="10"/>
    </row>
    <row r="49" spans="1:10" x14ac:dyDescent="0.25">
      <c r="C49" s="9"/>
      <c r="D49" s="9"/>
      <c r="E49" s="9"/>
      <c r="F49" s="9"/>
      <c r="G49" s="9"/>
      <c r="H49" s="9"/>
      <c r="I49" s="10"/>
      <c r="J49" s="10"/>
    </row>
    <row r="50" spans="1:10" x14ac:dyDescent="0.25">
      <c r="C50" s="9"/>
      <c r="D50" s="9"/>
      <c r="E50" s="9"/>
      <c r="F50" s="9"/>
      <c r="G50" s="9"/>
      <c r="H50" s="9"/>
      <c r="I50" s="10"/>
      <c r="J50" s="10"/>
    </row>
    <row r="51" spans="1:10" x14ac:dyDescent="0.25">
      <c r="A51" s="21" t="s">
        <v>53</v>
      </c>
      <c r="B51" s="21"/>
      <c r="C51" s="12" t="s">
        <v>8</v>
      </c>
      <c r="D51" s="12" t="s">
        <v>9</v>
      </c>
      <c r="E51" s="12" t="s">
        <v>10</v>
      </c>
      <c r="F51" s="12" t="s">
        <v>11</v>
      </c>
      <c r="G51" s="12" t="s">
        <v>12</v>
      </c>
      <c r="H51" s="15" t="s">
        <v>13</v>
      </c>
      <c r="I51" s="18"/>
      <c r="J51" s="18"/>
    </row>
    <row r="52" spans="1:10" x14ac:dyDescent="0.25">
      <c r="A52" s="20" t="s">
        <v>54</v>
      </c>
      <c r="B52" s="20"/>
      <c r="C52" s="11">
        <v>417450</v>
      </c>
      <c r="D52" s="11">
        <v>214</v>
      </c>
      <c r="E52" s="11">
        <v>154006</v>
      </c>
      <c r="F52" s="11">
        <v>6000</v>
      </c>
      <c r="G52" s="11">
        <f>SUM(C52:F52)</f>
        <v>577670</v>
      </c>
      <c r="H52" s="17">
        <f>ROUND(G52/6015,2)</f>
        <v>96.04</v>
      </c>
      <c r="I52" s="10"/>
      <c r="J52" s="10"/>
    </row>
    <row r="53" spans="1:10" x14ac:dyDescent="0.25">
      <c r="A53" s="20" t="s">
        <v>55</v>
      </c>
      <c r="B53" s="20"/>
      <c r="C53" s="11">
        <v>106345</v>
      </c>
      <c r="D53" s="11">
        <v>0</v>
      </c>
      <c r="E53" s="11">
        <v>32540</v>
      </c>
      <c r="F53" s="11">
        <v>0</v>
      </c>
      <c r="G53" s="11">
        <f>SUM(C53:F53)</f>
        <v>138885</v>
      </c>
      <c r="H53" s="17">
        <f>ROUND(G53/6015,2)</f>
        <v>23.09</v>
      </c>
      <c r="I53" s="10"/>
      <c r="J53" s="10"/>
    </row>
    <row r="54" spans="1:10" x14ac:dyDescent="0.25">
      <c r="A54" s="20" t="s">
        <v>56</v>
      </c>
      <c r="B54" s="20"/>
      <c r="C54" s="11">
        <v>0</v>
      </c>
      <c r="D54" s="11">
        <v>0</v>
      </c>
      <c r="E54" s="11">
        <v>0</v>
      </c>
      <c r="F54" s="11">
        <v>0</v>
      </c>
      <c r="G54" s="11">
        <f>SUM(C54:F54)</f>
        <v>0</v>
      </c>
      <c r="H54" s="17">
        <f>ROUND(G54/6015,2)</f>
        <v>0</v>
      </c>
      <c r="I54" s="10"/>
      <c r="J54" s="10"/>
    </row>
    <row r="55" spans="1:10" x14ac:dyDescent="0.25">
      <c r="C55" s="9"/>
      <c r="D55" s="9"/>
      <c r="E55" s="9"/>
      <c r="F55" s="9"/>
      <c r="G55" s="9"/>
      <c r="H55" s="9"/>
      <c r="I55" s="10"/>
      <c r="J55" s="10"/>
    </row>
    <row r="56" spans="1:10" x14ac:dyDescent="0.25">
      <c r="C56" s="9"/>
      <c r="D56" s="9"/>
      <c r="E56" s="9"/>
      <c r="F56" s="9"/>
      <c r="G56" s="9"/>
      <c r="H56" s="9"/>
      <c r="I56" s="10"/>
      <c r="J56" s="10"/>
    </row>
    <row r="57" spans="1:10" x14ac:dyDescent="0.25">
      <c r="C57" s="9"/>
      <c r="D57" s="9"/>
      <c r="E57" s="9"/>
      <c r="F57" s="9"/>
      <c r="G57" s="9"/>
      <c r="H57" s="9"/>
      <c r="I57" s="10"/>
      <c r="J57" s="10"/>
    </row>
    <row r="58" spans="1:10" x14ac:dyDescent="0.25">
      <c r="C58" s="9"/>
      <c r="D58" s="9"/>
      <c r="E58" s="9"/>
      <c r="F58" s="9"/>
      <c r="G58" s="9"/>
      <c r="H58" s="9"/>
      <c r="I58" s="10"/>
      <c r="J58" s="10"/>
    </row>
    <row r="59" spans="1:10" x14ac:dyDescent="0.25">
      <c r="A59" s="21" t="s">
        <v>57</v>
      </c>
      <c r="B59" s="21"/>
      <c r="C59" s="3" t="s">
        <v>2</v>
      </c>
      <c r="D59" s="3">
        <v>2023</v>
      </c>
      <c r="E59" s="3" t="s">
        <v>59</v>
      </c>
      <c r="F59" s="2"/>
      <c r="G59" s="3" t="s">
        <v>60</v>
      </c>
      <c r="H59" s="3" t="s">
        <v>2</v>
      </c>
      <c r="I59" s="3" t="s">
        <v>61</v>
      </c>
      <c r="J59" s="3" t="s">
        <v>59</v>
      </c>
    </row>
    <row r="60" spans="1:10" x14ac:dyDescent="0.25">
      <c r="A60" s="20" t="s">
        <v>58</v>
      </c>
      <c r="B60" s="20"/>
      <c r="C60" s="8">
        <f>ROUND(0.8439, 4)</f>
        <v>0.84389999999999998</v>
      </c>
      <c r="D60" s="8">
        <f>ROUND(0.8366, 4)</f>
        <v>0.83660000000000001</v>
      </c>
      <c r="E60" s="8">
        <f>ROUND(0.777, 4)</f>
        <v>0.77700000000000002</v>
      </c>
      <c r="G60" s="3" t="s">
        <v>62</v>
      </c>
      <c r="H60" s="27" t="s">
        <v>63</v>
      </c>
      <c r="I60" s="27" t="s">
        <v>64</v>
      </c>
      <c r="J60" s="27" t="s">
        <v>65</v>
      </c>
    </row>
    <row r="61" spans="1:10" x14ac:dyDescent="0.25">
      <c r="A61" s="20" t="s">
        <v>66</v>
      </c>
      <c r="B61" s="20"/>
      <c r="C61" s="8">
        <f>ROUND(0.8311, 4)</f>
        <v>0.83109999999999995</v>
      </c>
      <c r="D61" s="8">
        <f>ROUND(0.8238, 4)</f>
        <v>0.82379999999999998</v>
      </c>
      <c r="E61" s="8">
        <f>ROUND(0.7608, 4)</f>
        <v>0.76080000000000003</v>
      </c>
      <c r="G61" s="3" t="s">
        <v>67</v>
      </c>
      <c r="H61" s="20"/>
      <c r="I61" s="20"/>
      <c r="J61" s="20"/>
    </row>
    <row r="65" spans="1:10" x14ac:dyDescent="0.25">
      <c r="A65" s="21" t="s">
        <v>68</v>
      </c>
      <c r="B65" s="21"/>
      <c r="C65" s="3" t="s">
        <v>2</v>
      </c>
      <c r="D65" s="3" t="s">
        <v>280</v>
      </c>
      <c r="E65" s="3" t="s">
        <v>70</v>
      </c>
      <c r="F65" s="3" t="s">
        <v>71</v>
      </c>
      <c r="G65" s="3" t="s">
        <v>72</v>
      </c>
      <c r="H65" s="2"/>
      <c r="I65" s="2"/>
      <c r="J65" s="2"/>
    </row>
    <row r="66" spans="1:10" x14ac:dyDescent="0.25">
      <c r="A66" s="20" t="s">
        <v>73</v>
      </c>
      <c r="B66" s="20"/>
      <c r="C66" s="1">
        <v>17.68</v>
      </c>
      <c r="D66" s="1">
        <v>70.95</v>
      </c>
      <c r="E66" s="1">
        <v>81.84</v>
      </c>
      <c r="F66" s="1">
        <v>48</v>
      </c>
      <c r="G66" s="1">
        <f>12/4*C66</f>
        <v>53.04</v>
      </c>
    </row>
    <row r="67" spans="1:10" x14ac:dyDescent="0.25">
      <c r="A67" s="20" t="s">
        <v>74</v>
      </c>
      <c r="B67" s="20"/>
      <c r="C67" s="1">
        <v>24.71</v>
      </c>
      <c r="D67" s="1">
        <v>56.11</v>
      </c>
      <c r="E67" s="1">
        <v>55.63</v>
      </c>
      <c r="F67" s="1">
        <v>55.33</v>
      </c>
      <c r="G67" s="1">
        <f>12/4*C67</f>
        <v>74.13</v>
      </c>
    </row>
    <row r="68" spans="1:10" x14ac:dyDescent="0.25">
      <c r="A68" s="20" t="s">
        <v>75</v>
      </c>
      <c r="B68" s="20"/>
      <c r="C68" s="1">
        <v>96.04</v>
      </c>
      <c r="D68" s="1">
        <v>265.88</v>
      </c>
      <c r="E68" s="1">
        <v>257.88</v>
      </c>
      <c r="F68" s="1">
        <v>242.78</v>
      </c>
      <c r="G68" s="1">
        <f>12/4*C68</f>
        <v>288.12</v>
      </c>
    </row>
    <row r="69" spans="1:10" x14ac:dyDescent="0.25">
      <c r="A69" s="20" t="s">
        <v>76</v>
      </c>
      <c r="B69" s="20"/>
      <c r="C69" s="1">
        <v>23.09</v>
      </c>
      <c r="D69" s="1">
        <v>90.23</v>
      </c>
      <c r="E69" s="1">
        <v>103.14</v>
      </c>
      <c r="F69" s="1">
        <v>68.31</v>
      </c>
      <c r="G69" s="1">
        <f>12/4*C69</f>
        <v>69.27</v>
      </c>
    </row>
    <row r="72" spans="1:10" x14ac:dyDescent="0.25">
      <c r="A72" s="19" t="s">
        <v>60</v>
      </c>
      <c r="B72" s="26"/>
    </row>
    <row r="73" spans="1:10" x14ac:dyDescent="0.25">
      <c r="A73" s="3" t="s">
        <v>77</v>
      </c>
      <c r="B73" s="1" t="s">
        <v>281</v>
      </c>
    </row>
    <row r="74" spans="1:10" x14ac:dyDescent="0.25">
      <c r="A74" s="3" t="s">
        <v>70</v>
      </c>
      <c r="B74" s="1" t="s">
        <v>79</v>
      </c>
    </row>
    <row r="75" spans="1:10" x14ac:dyDescent="0.25">
      <c r="A75" s="3" t="s">
        <v>71</v>
      </c>
      <c r="B75" s="1" t="s">
        <v>80</v>
      </c>
    </row>
    <row r="76" spans="1:10" x14ac:dyDescent="0.25">
      <c r="A76" s="3" t="s">
        <v>72</v>
      </c>
      <c r="B76" s="1" t="s">
        <v>81</v>
      </c>
    </row>
  </sheetData>
  <mergeCells count="19">
    <mergeCell ref="A67:B67"/>
    <mergeCell ref="A68:B68"/>
    <mergeCell ref="A69:B69"/>
    <mergeCell ref="A72:B72"/>
    <mergeCell ref="I60:I61"/>
    <mergeCell ref="J60:J61"/>
    <mergeCell ref="A61:B61"/>
    <mergeCell ref="A65:B65"/>
    <mergeCell ref="A66:B66"/>
    <mergeCell ref="A53:B53"/>
    <mergeCell ref="A54:B54"/>
    <mergeCell ref="A59:B59"/>
    <mergeCell ref="A60:B60"/>
    <mergeCell ref="H60:H61"/>
    <mergeCell ref="C7:G7"/>
    <mergeCell ref="A45:B45"/>
    <mergeCell ref="A46:B46"/>
    <mergeCell ref="A51:B51"/>
    <mergeCell ref="A52:B52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2:J68"/>
  <sheetViews>
    <sheetView workbookViewId="0">
      <selection activeCell="C9" sqref="C9:J68"/>
    </sheetView>
  </sheetViews>
  <sheetFormatPr defaultRowHeight="15" x14ac:dyDescent="0.25"/>
  <cols>
    <col min="1" max="1" width="38.85546875" bestFit="1" customWidth="1"/>
    <col min="2" max="2" width="79" bestFit="1" customWidth="1"/>
    <col min="3" max="3" width="14" bestFit="1" customWidth="1"/>
    <col min="4" max="4" width="24.7109375" bestFit="1" customWidth="1"/>
    <col min="5" max="5" width="16.42578125" bestFit="1" customWidth="1"/>
    <col min="6" max="6" width="10.5703125" bestFit="1" customWidth="1"/>
    <col min="7" max="7" width="68.28515625" bestFit="1" customWidth="1"/>
    <col min="8" max="9" width="20" bestFit="1" customWidth="1"/>
    <col min="10" max="10" width="30.5703125" bestFit="1" customWidth="1"/>
  </cols>
  <sheetData>
    <row r="2" spans="1:10" ht="18.75" x14ac:dyDescent="0.3">
      <c r="A2" s="3" t="s">
        <v>0</v>
      </c>
      <c r="B2" s="4" t="s">
        <v>282</v>
      </c>
    </row>
    <row r="3" spans="1:10" x14ac:dyDescent="0.25">
      <c r="A3" s="3" t="s">
        <v>2</v>
      </c>
      <c r="B3" s="1" t="s">
        <v>3</v>
      </c>
    </row>
    <row r="4" spans="1:10" x14ac:dyDescent="0.25">
      <c r="A4" s="3" t="s">
        <v>4</v>
      </c>
      <c r="B4" s="1">
        <v>267</v>
      </c>
    </row>
    <row r="7" spans="1:10" x14ac:dyDescent="0.25">
      <c r="C7" s="19" t="s">
        <v>5</v>
      </c>
      <c r="D7" s="20"/>
      <c r="E7" s="20"/>
      <c r="F7" s="20"/>
      <c r="G7" s="20"/>
    </row>
    <row r="8" spans="1:10" x14ac:dyDescent="0.25">
      <c r="A8" s="3" t="s">
        <v>6</v>
      </c>
      <c r="B8" s="3" t="s">
        <v>7</v>
      </c>
      <c r="C8" s="3" t="s">
        <v>8</v>
      </c>
      <c r="D8" s="3" t="s">
        <v>9</v>
      </c>
      <c r="E8" s="3" t="s">
        <v>10</v>
      </c>
      <c r="F8" s="3" t="s">
        <v>11</v>
      </c>
      <c r="G8" s="3" t="s">
        <v>12</v>
      </c>
      <c r="H8" s="3" t="s">
        <v>13</v>
      </c>
      <c r="I8" s="3" t="s">
        <v>14</v>
      </c>
      <c r="J8" s="3" t="s">
        <v>15</v>
      </c>
    </row>
    <row r="9" spans="1:10" x14ac:dyDescent="0.25">
      <c r="A9" s="1" t="s">
        <v>16</v>
      </c>
      <c r="B9" s="1" t="s">
        <v>19</v>
      </c>
      <c r="C9" s="11">
        <v>2710</v>
      </c>
      <c r="D9" s="11"/>
      <c r="E9" s="11"/>
      <c r="F9" s="11"/>
      <c r="G9" s="11">
        <f t="shared" ref="G9:G26" si="0">SUM(C9:F9)</f>
        <v>2710</v>
      </c>
      <c r="H9" s="17">
        <f t="shared" ref="H9:H26" si="1">ROUND(G9/267,2)</f>
        <v>10.15</v>
      </c>
      <c r="I9" s="16">
        <f t="shared" ref="I9:I26" si="2">ROUND(G9/$G$27,3)</f>
        <v>7.1999999999999995E-2</v>
      </c>
      <c r="J9" s="16">
        <f>ROUND(G9/3150-1,2)</f>
        <v>-0.14000000000000001</v>
      </c>
    </row>
    <row r="10" spans="1:10" x14ac:dyDescent="0.25">
      <c r="A10" s="1" t="s">
        <v>16</v>
      </c>
      <c r="B10" s="1" t="s">
        <v>20</v>
      </c>
      <c r="C10" s="11">
        <v>3625</v>
      </c>
      <c r="D10" s="11"/>
      <c r="E10" s="11"/>
      <c r="F10" s="11"/>
      <c r="G10" s="11">
        <f t="shared" si="0"/>
        <v>3625</v>
      </c>
      <c r="H10" s="17">
        <f t="shared" si="1"/>
        <v>13.58</v>
      </c>
      <c r="I10" s="16">
        <f t="shared" si="2"/>
        <v>9.7000000000000003E-2</v>
      </c>
      <c r="J10" s="16">
        <f>ROUND(G10/4950-1,2)</f>
        <v>-0.27</v>
      </c>
    </row>
    <row r="11" spans="1:10" x14ac:dyDescent="0.25">
      <c r="A11" s="1" t="s">
        <v>16</v>
      </c>
      <c r="B11" s="1" t="s">
        <v>24</v>
      </c>
      <c r="C11" s="11">
        <v>4935</v>
      </c>
      <c r="D11" s="11"/>
      <c r="E11" s="11"/>
      <c r="F11" s="11"/>
      <c r="G11" s="11">
        <f t="shared" si="0"/>
        <v>4935</v>
      </c>
      <c r="H11" s="17">
        <f t="shared" si="1"/>
        <v>18.48</v>
      </c>
      <c r="I11" s="16">
        <f t="shared" si="2"/>
        <v>0.13200000000000001</v>
      </c>
      <c r="J11" s="16">
        <f>ROUND(G11/4550-1,2)</f>
        <v>0.08</v>
      </c>
    </row>
    <row r="12" spans="1:10" x14ac:dyDescent="0.25">
      <c r="A12" s="1" t="s">
        <v>16</v>
      </c>
      <c r="B12" s="1" t="s">
        <v>26</v>
      </c>
      <c r="C12" s="11">
        <v>7850</v>
      </c>
      <c r="D12" s="11"/>
      <c r="E12" s="11"/>
      <c r="F12" s="11"/>
      <c r="G12" s="11">
        <f t="shared" si="0"/>
        <v>7850</v>
      </c>
      <c r="H12" s="17">
        <f t="shared" si="1"/>
        <v>29.4</v>
      </c>
      <c r="I12" s="16">
        <f t="shared" si="2"/>
        <v>0.21</v>
      </c>
      <c r="J12" s="16">
        <f>ROUND(G12/7550-1,2)</f>
        <v>0.04</v>
      </c>
    </row>
    <row r="13" spans="1:10" x14ac:dyDescent="0.25">
      <c r="A13" s="1" t="s">
        <v>16</v>
      </c>
      <c r="B13" s="1" t="s">
        <v>29</v>
      </c>
      <c r="C13" s="11"/>
      <c r="D13" s="11"/>
      <c r="E13" s="11">
        <v>160</v>
      </c>
      <c r="F13" s="11"/>
      <c r="G13" s="11">
        <f t="shared" si="0"/>
        <v>160</v>
      </c>
      <c r="H13" s="17">
        <f t="shared" si="1"/>
        <v>0.6</v>
      </c>
      <c r="I13" s="16">
        <f t="shared" si="2"/>
        <v>4.0000000000000001E-3</v>
      </c>
      <c r="J13" s="16">
        <f>ROUND(G13/180-1,2)</f>
        <v>-0.11</v>
      </c>
    </row>
    <row r="14" spans="1:10" x14ac:dyDescent="0.25">
      <c r="A14" s="1" t="s">
        <v>16</v>
      </c>
      <c r="B14" s="1" t="s">
        <v>32</v>
      </c>
      <c r="C14" s="11"/>
      <c r="D14" s="11">
        <v>47</v>
      </c>
      <c r="E14" s="11"/>
      <c r="F14" s="11"/>
      <c r="G14" s="11">
        <f t="shared" si="0"/>
        <v>47</v>
      </c>
      <c r="H14" s="17">
        <f t="shared" si="1"/>
        <v>0.18</v>
      </c>
      <c r="I14" s="16">
        <f t="shared" si="2"/>
        <v>1E-3</v>
      </c>
      <c r="J14" s="16">
        <f>ROUND(G14/23-1,2)</f>
        <v>1.04</v>
      </c>
    </row>
    <row r="15" spans="1:10" x14ac:dyDescent="0.25">
      <c r="A15" s="1" t="s">
        <v>16</v>
      </c>
      <c r="B15" s="1" t="s">
        <v>35</v>
      </c>
      <c r="C15" s="11"/>
      <c r="D15" s="11"/>
      <c r="E15" s="11">
        <v>1180</v>
      </c>
      <c r="F15" s="11"/>
      <c r="G15" s="11">
        <f t="shared" si="0"/>
        <v>1180</v>
      </c>
      <c r="H15" s="17">
        <f t="shared" si="1"/>
        <v>4.42</v>
      </c>
      <c r="I15" s="16">
        <f t="shared" si="2"/>
        <v>3.2000000000000001E-2</v>
      </c>
      <c r="J15" s="16">
        <f>ROUND(G15/1380-1,2)</f>
        <v>-0.14000000000000001</v>
      </c>
    </row>
    <row r="16" spans="1:10" x14ac:dyDescent="0.25">
      <c r="A16" s="1" t="s">
        <v>16</v>
      </c>
      <c r="B16" s="1" t="s">
        <v>37</v>
      </c>
      <c r="C16" s="11"/>
      <c r="D16" s="11"/>
      <c r="E16" s="11">
        <v>1220</v>
      </c>
      <c r="F16" s="11"/>
      <c r="G16" s="11">
        <f t="shared" si="0"/>
        <v>1220</v>
      </c>
      <c r="H16" s="17">
        <f t="shared" si="1"/>
        <v>4.57</v>
      </c>
      <c r="I16" s="16">
        <f t="shared" si="2"/>
        <v>3.3000000000000002E-2</v>
      </c>
      <c r="J16" s="16"/>
    </row>
    <row r="17" spans="1:10" x14ac:dyDescent="0.25">
      <c r="A17" s="1" t="s">
        <v>16</v>
      </c>
      <c r="B17" s="1" t="s">
        <v>22</v>
      </c>
      <c r="C17" s="11"/>
      <c r="D17" s="11"/>
      <c r="E17" s="11"/>
      <c r="F17" s="11"/>
      <c r="G17" s="11">
        <f t="shared" si="0"/>
        <v>0</v>
      </c>
      <c r="H17" s="17">
        <f t="shared" si="1"/>
        <v>0</v>
      </c>
      <c r="I17" s="16">
        <f t="shared" si="2"/>
        <v>0</v>
      </c>
      <c r="J17" s="16"/>
    </row>
    <row r="18" spans="1:10" x14ac:dyDescent="0.25">
      <c r="A18" s="1" t="s">
        <v>16</v>
      </c>
      <c r="B18" s="1" t="s">
        <v>23</v>
      </c>
      <c r="C18" s="11"/>
      <c r="D18" s="11"/>
      <c r="E18" s="11"/>
      <c r="F18" s="11"/>
      <c r="G18" s="11">
        <f t="shared" si="0"/>
        <v>0</v>
      </c>
      <c r="H18" s="17">
        <f t="shared" si="1"/>
        <v>0</v>
      </c>
      <c r="I18" s="16">
        <f t="shared" si="2"/>
        <v>0</v>
      </c>
      <c r="J18" s="16"/>
    </row>
    <row r="19" spans="1:10" x14ac:dyDescent="0.25">
      <c r="A19" s="1" t="s">
        <v>16</v>
      </c>
      <c r="B19" s="1" t="s">
        <v>42</v>
      </c>
      <c r="C19" s="11"/>
      <c r="D19" s="11"/>
      <c r="E19" s="11"/>
      <c r="F19" s="11"/>
      <c r="G19" s="11">
        <f t="shared" si="0"/>
        <v>0</v>
      </c>
      <c r="H19" s="17">
        <f t="shared" si="1"/>
        <v>0</v>
      </c>
      <c r="I19" s="16">
        <f t="shared" si="2"/>
        <v>0</v>
      </c>
      <c r="J19" s="16"/>
    </row>
    <row r="20" spans="1:10" x14ac:dyDescent="0.25">
      <c r="A20" s="1" t="s">
        <v>16</v>
      </c>
      <c r="B20" s="1" t="s">
        <v>25</v>
      </c>
      <c r="C20" s="11"/>
      <c r="D20" s="11"/>
      <c r="E20" s="11"/>
      <c r="F20" s="11"/>
      <c r="G20" s="11">
        <f t="shared" si="0"/>
        <v>0</v>
      </c>
      <c r="H20" s="17">
        <f t="shared" si="1"/>
        <v>0</v>
      </c>
      <c r="I20" s="16">
        <f t="shared" si="2"/>
        <v>0</v>
      </c>
      <c r="J20" s="16"/>
    </row>
    <row r="21" spans="1:10" x14ac:dyDescent="0.25">
      <c r="A21" s="1" t="s">
        <v>16</v>
      </c>
      <c r="B21" s="1" t="s">
        <v>41</v>
      </c>
      <c r="C21" s="11"/>
      <c r="D21" s="11"/>
      <c r="E21" s="11"/>
      <c r="F21" s="11"/>
      <c r="G21" s="11">
        <f t="shared" si="0"/>
        <v>0</v>
      </c>
      <c r="H21" s="17">
        <f t="shared" si="1"/>
        <v>0</v>
      </c>
      <c r="I21" s="16">
        <f t="shared" si="2"/>
        <v>0</v>
      </c>
      <c r="J21" s="16"/>
    </row>
    <row r="22" spans="1:10" x14ac:dyDescent="0.25">
      <c r="A22" s="1" t="s">
        <v>16</v>
      </c>
      <c r="B22" s="1" t="s">
        <v>43</v>
      </c>
      <c r="C22" s="11"/>
      <c r="D22" s="11"/>
      <c r="E22" s="11"/>
      <c r="F22" s="11"/>
      <c r="G22" s="11">
        <f t="shared" si="0"/>
        <v>0</v>
      </c>
      <c r="H22" s="17">
        <f t="shared" si="1"/>
        <v>0</v>
      </c>
      <c r="I22" s="16">
        <f t="shared" si="2"/>
        <v>0</v>
      </c>
      <c r="J22" s="16"/>
    </row>
    <row r="23" spans="1:10" x14ac:dyDescent="0.25">
      <c r="A23" s="1" t="s">
        <v>16</v>
      </c>
      <c r="B23" s="1" t="s">
        <v>40</v>
      </c>
      <c r="C23" s="11"/>
      <c r="D23" s="11"/>
      <c r="E23" s="11"/>
      <c r="F23" s="11"/>
      <c r="G23" s="11">
        <f t="shared" si="0"/>
        <v>0</v>
      </c>
      <c r="H23" s="17">
        <f t="shared" si="1"/>
        <v>0</v>
      </c>
      <c r="I23" s="16">
        <f t="shared" si="2"/>
        <v>0</v>
      </c>
      <c r="J23" s="16"/>
    </row>
    <row r="24" spans="1:10" x14ac:dyDescent="0.25">
      <c r="A24" s="1" t="s">
        <v>16</v>
      </c>
      <c r="B24" s="1" t="s">
        <v>34</v>
      </c>
      <c r="C24" s="11"/>
      <c r="D24" s="11"/>
      <c r="E24" s="11"/>
      <c r="F24" s="11"/>
      <c r="G24" s="11">
        <f t="shared" si="0"/>
        <v>0</v>
      </c>
      <c r="H24" s="17">
        <f t="shared" si="1"/>
        <v>0</v>
      </c>
      <c r="I24" s="16">
        <f t="shared" si="2"/>
        <v>0</v>
      </c>
      <c r="J24" s="16"/>
    </row>
    <row r="25" spans="1:10" x14ac:dyDescent="0.25">
      <c r="A25" s="1" t="s">
        <v>44</v>
      </c>
      <c r="B25" s="1" t="s">
        <v>45</v>
      </c>
      <c r="C25" s="11">
        <v>11975</v>
      </c>
      <c r="D25" s="11"/>
      <c r="E25" s="11"/>
      <c r="F25" s="11"/>
      <c r="G25" s="11">
        <f t="shared" si="0"/>
        <v>11975</v>
      </c>
      <c r="H25" s="17">
        <f t="shared" si="1"/>
        <v>44.85</v>
      </c>
      <c r="I25" s="16">
        <f t="shared" si="2"/>
        <v>0.32</v>
      </c>
      <c r="J25" s="16">
        <f>ROUND(G25/11540-1,2)</f>
        <v>0.04</v>
      </c>
    </row>
    <row r="26" spans="1:10" x14ac:dyDescent="0.25">
      <c r="A26" s="1" t="s">
        <v>44</v>
      </c>
      <c r="B26" s="1" t="s">
        <v>46</v>
      </c>
      <c r="C26" s="11"/>
      <c r="D26" s="11"/>
      <c r="E26" s="11">
        <v>3700</v>
      </c>
      <c r="F26" s="11"/>
      <c r="G26" s="11">
        <f t="shared" si="0"/>
        <v>3700</v>
      </c>
      <c r="H26" s="17">
        <f t="shared" si="1"/>
        <v>13.86</v>
      </c>
      <c r="I26" s="16">
        <f t="shared" si="2"/>
        <v>9.9000000000000005E-2</v>
      </c>
      <c r="J26" s="16">
        <f>ROUND(G26/4260-1,2)</f>
        <v>-0.13</v>
      </c>
    </row>
    <row r="27" spans="1:10" x14ac:dyDescent="0.25">
      <c r="A27" s="21" t="s">
        <v>12</v>
      </c>
      <c r="B27" s="21"/>
      <c r="C27" s="12">
        <f t="shared" ref="C27:H27" si="3">SUM(C8:C26)</f>
        <v>31095</v>
      </c>
      <c r="D27" s="12">
        <f t="shared" si="3"/>
        <v>47</v>
      </c>
      <c r="E27" s="12">
        <f t="shared" si="3"/>
        <v>6260</v>
      </c>
      <c r="F27" s="12">
        <f t="shared" si="3"/>
        <v>0</v>
      </c>
      <c r="G27" s="12">
        <f t="shared" si="3"/>
        <v>37402</v>
      </c>
      <c r="H27" s="15">
        <f t="shared" si="3"/>
        <v>140.08999999999997</v>
      </c>
      <c r="I27" s="18"/>
      <c r="J27" s="18"/>
    </row>
    <row r="28" spans="1:10" x14ac:dyDescent="0.25">
      <c r="A28" s="21" t="s">
        <v>14</v>
      </c>
      <c r="B28" s="21"/>
      <c r="C28" s="13">
        <f>ROUND(C27/G27,2)</f>
        <v>0.83</v>
      </c>
      <c r="D28" s="13">
        <f>ROUND(D27/G27,2)</f>
        <v>0</v>
      </c>
      <c r="E28" s="13">
        <f>ROUND(E27/G27,2)</f>
        <v>0.17</v>
      </c>
      <c r="F28" s="13">
        <f>ROUND(F27/G27,2)</f>
        <v>0</v>
      </c>
      <c r="G28" s="14"/>
      <c r="H28" s="14"/>
      <c r="I28" s="18"/>
      <c r="J28" s="18"/>
    </row>
    <row r="29" spans="1:10" x14ac:dyDescent="0.25">
      <c r="A29" s="2" t="s">
        <v>52</v>
      </c>
      <c r="B29" s="2"/>
      <c r="C29" s="14"/>
      <c r="D29" s="14"/>
      <c r="E29" s="14"/>
      <c r="F29" s="14"/>
      <c r="G29" s="14"/>
      <c r="H29" s="14"/>
      <c r="I29" s="18"/>
      <c r="J29" s="18"/>
    </row>
    <row r="30" spans="1:10" x14ac:dyDescent="0.25">
      <c r="C30" s="9"/>
      <c r="D30" s="9"/>
      <c r="E30" s="9"/>
      <c r="F30" s="9"/>
      <c r="G30" s="9"/>
      <c r="H30" s="9"/>
      <c r="I30" s="10"/>
      <c r="J30" s="10"/>
    </row>
    <row r="31" spans="1:10" x14ac:dyDescent="0.25">
      <c r="C31" s="9"/>
      <c r="D31" s="9"/>
      <c r="E31" s="9"/>
      <c r="F31" s="9"/>
      <c r="G31" s="9"/>
      <c r="H31" s="9"/>
      <c r="I31" s="10"/>
      <c r="J31" s="10"/>
    </row>
    <row r="32" spans="1:10" x14ac:dyDescent="0.25">
      <c r="C32" s="9"/>
      <c r="D32" s="9"/>
      <c r="E32" s="9"/>
      <c r="F32" s="9"/>
      <c r="G32" s="9"/>
      <c r="H32" s="9"/>
      <c r="I32" s="10"/>
      <c r="J32" s="10"/>
    </row>
    <row r="33" spans="1:10" x14ac:dyDescent="0.25">
      <c r="A33" s="21" t="s">
        <v>53</v>
      </c>
      <c r="B33" s="21"/>
      <c r="C33" s="12" t="s">
        <v>8</v>
      </c>
      <c r="D33" s="12" t="s">
        <v>9</v>
      </c>
      <c r="E33" s="12" t="s">
        <v>10</v>
      </c>
      <c r="F33" s="12" t="s">
        <v>11</v>
      </c>
      <c r="G33" s="12" t="s">
        <v>12</v>
      </c>
      <c r="H33" s="15" t="s">
        <v>13</v>
      </c>
      <c r="I33" s="18"/>
      <c r="J33" s="18"/>
    </row>
    <row r="34" spans="1:10" x14ac:dyDescent="0.25">
      <c r="A34" s="20" t="s">
        <v>54</v>
      </c>
      <c r="B34" s="20"/>
      <c r="C34" s="11">
        <v>19120</v>
      </c>
      <c r="D34" s="11">
        <v>47</v>
      </c>
      <c r="E34" s="11">
        <v>2560</v>
      </c>
      <c r="F34" s="11">
        <v>0</v>
      </c>
      <c r="G34" s="11">
        <f>SUM(C34:F34)</f>
        <v>21727</v>
      </c>
      <c r="H34" s="17">
        <f>ROUND(G34/267,2)</f>
        <v>81.37</v>
      </c>
      <c r="I34" s="10"/>
      <c r="J34" s="10"/>
    </row>
    <row r="35" spans="1:10" x14ac:dyDescent="0.25">
      <c r="A35" s="20" t="s">
        <v>55</v>
      </c>
      <c r="B35" s="20"/>
      <c r="C35" s="11">
        <v>11975</v>
      </c>
      <c r="D35" s="11">
        <v>0</v>
      </c>
      <c r="E35" s="11">
        <v>3700</v>
      </c>
      <c r="F35" s="11">
        <v>0</v>
      </c>
      <c r="G35" s="11">
        <f>SUM(C35:F35)</f>
        <v>15675</v>
      </c>
      <c r="H35" s="17">
        <f>ROUND(G35/267,2)</f>
        <v>58.71</v>
      </c>
      <c r="I35" s="10"/>
      <c r="J35" s="10"/>
    </row>
    <row r="36" spans="1:10" x14ac:dyDescent="0.25">
      <c r="A36" s="20" t="s">
        <v>56</v>
      </c>
      <c r="B36" s="20"/>
      <c r="C36" s="11"/>
      <c r="D36" s="11"/>
      <c r="E36" s="11"/>
      <c r="F36" s="11"/>
      <c r="G36" s="11">
        <f>SUM(C36:F36)</f>
        <v>0</v>
      </c>
      <c r="H36" s="17">
        <f>ROUND(G36/267,2)</f>
        <v>0</v>
      </c>
      <c r="I36" s="10"/>
      <c r="J36" s="10"/>
    </row>
    <row r="37" spans="1:10" x14ac:dyDescent="0.25">
      <c r="C37" s="9"/>
      <c r="D37" s="9"/>
      <c r="E37" s="9"/>
      <c r="F37" s="9"/>
      <c r="G37" s="9"/>
      <c r="H37" s="9"/>
      <c r="I37" s="10"/>
      <c r="J37" s="10"/>
    </row>
    <row r="38" spans="1:10" x14ac:dyDescent="0.25">
      <c r="C38" s="9"/>
      <c r="D38" s="9"/>
      <c r="E38" s="9"/>
      <c r="F38" s="9"/>
      <c r="G38" s="9"/>
      <c r="H38" s="9"/>
      <c r="I38" s="10"/>
      <c r="J38" s="10"/>
    </row>
    <row r="39" spans="1:10" x14ac:dyDescent="0.25">
      <c r="C39" s="9"/>
      <c r="D39" s="9"/>
      <c r="E39" s="9"/>
      <c r="F39" s="9"/>
      <c r="G39" s="9"/>
      <c r="H39" s="9"/>
      <c r="I39" s="10"/>
      <c r="J39" s="10"/>
    </row>
    <row r="40" spans="1:10" x14ac:dyDescent="0.25">
      <c r="C40" s="9"/>
      <c r="D40" s="9"/>
      <c r="E40" s="9"/>
      <c r="F40" s="9"/>
      <c r="G40" s="9"/>
      <c r="H40" s="9"/>
      <c r="I40" s="10"/>
      <c r="J40" s="10"/>
    </row>
    <row r="41" spans="1:10" x14ac:dyDescent="0.25">
      <c r="A41" s="21" t="s">
        <v>57</v>
      </c>
      <c r="B41" s="21"/>
      <c r="C41" s="15" t="s">
        <v>2</v>
      </c>
      <c r="D41" s="15">
        <v>2023</v>
      </c>
      <c r="E41" s="15" t="s">
        <v>59</v>
      </c>
      <c r="F41" s="14"/>
      <c r="G41" s="15" t="s">
        <v>60</v>
      </c>
      <c r="H41" s="15" t="s">
        <v>2</v>
      </c>
      <c r="I41" s="13" t="s">
        <v>61</v>
      </c>
      <c r="J41" s="13" t="s">
        <v>59</v>
      </c>
    </row>
    <row r="42" spans="1:10" x14ac:dyDescent="0.25">
      <c r="A42" s="20" t="s">
        <v>58</v>
      </c>
      <c r="B42" s="20"/>
      <c r="C42" s="16">
        <f>ROUND(0.6691, 4)</f>
        <v>0.66910000000000003</v>
      </c>
      <c r="D42" s="16">
        <f>ROUND(0.6937, 4)</f>
        <v>0.69369999999999998</v>
      </c>
      <c r="E42" s="16">
        <f>ROUND(0.777, 4)</f>
        <v>0.77700000000000002</v>
      </c>
      <c r="F42" s="9"/>
      <c r="G42" s="15" t="s">
        <v>62</v>
      </c>
      <c r="H42" s="22" t="s">
        <v>63</v>
      </c>
      <c r="I42" s="24" t="s">
        <v>64</v>
      </c>
      <c r="J42" s="24" t="s">
        <v>65</v>
      </c>
    </row>
    <row r="43" spans="1:10" x14ac:dyDescent="0.25">
      <c r="A43" s="20" t="s">
        <v>66</v>
      </c>
      <c r="B43" s="20"/>
      <c r="C43" s="16">
        <f>ROUND(0.6598, 4)</f>
        <v>0.65980000000000005</v>
      </c>
      <c r="D43" s="16">
        <f>ROUND(0.6839, 4)</f>
        <v>0.68389999999999995</v>
      </c>
      <c r="E43" s="16">
        <f>ROUND(0.7608, 4)</f>
        <v>0.76080000000000003</v>
      </c>
      <c r="F43" s="9"/>
      <c r="G43" s="15" t="s">
        <v>67</v>
      </c>
      <c r="H43" s="23"/>
      <c r="I43" s="25"/>
      <c r="J43" s="25"/>
    </row>
    <row r="44" spans="1:10" x14ac:dyDescent="0.25">
      <c r="C44" s="9"/>
      <c r="D44" s="9"/>
      <c r="E44" s="9"/>
      <c r="F44" s="9"/>
      <c r="G44" s="9"/>
      <c r="H44" s="9"/>
      <c r="I44" s="10"/>
      <c r="J44" s="10"/>
    </row>
    <row r="45" spans="1:10" x14ac:dyDescent="0.25">
      <c r="C45" s="9"/>
      <c r="D45" s="9"/>
      <c r="E45" s="9"/>
      <c r="F45" s="9"/>
      <c r="G45" s="9"/>
      <c r="H45" s="9"/>
      <c r="I45" s="10"/>
      <c r="J45" s="10"/>
    </row>
    <row r="46" spans="1:10" x14ac:dyDescent="0.25">
      <c r="C46" s="9"/>
      <c r="D46" s="9"/>
      <c r="E46" s="9"/>
      <c r="F46" s="9"/>
      <c r="G46" s="9"/>
      <c r="H46" s="9"/>
      <c r="I46" s="10"/>
      <c r="J46" s="10"/>
    </row>
    <row r="47" spans="1:10" x14ac:dyDescent="0.25">
      <c r="A47" s="21" t="s">
        <v>68</v>
      </c>
      <c r="B47" s="21"/>
      <c r="C47" s="15" t="s">
        <v>2</v>
      </c>
      <c r="D47" s="15" t="s">
        <v>283</v>
      </c>
      <c r="E47" s="15" t="s">
        <v>70</v>
      </c>
      <c r="F47" s="15" t="s">
        <v>71</v>
      </c>
      <c r="G47" s="15" t="s">
        <v>72</v>
      </c>
      <c r="H47" s="14"/>
      <c r="I47" s="18"/>
      <c r="J47" s="18"/>
    </row>
    <row r="48" spans="1:10" x14ac:dyDescent="0.25">
      <c r="A48" s="20" t="s">
        <v>73</v>
      </c>
      <c r="B48" s="20"/>
      <c r="C48" s="17">
        <v>44.85</v>
      </c>
      <c r="D48" s="17">
        <v>130.4</v>
      </c>
      <c r="E48" s="17">
        <v>81.84</v>
      </c>
      <c r="F48" s="17">
        <v>48</v>
      </c>
      <c r="G48" s="17">
        <f>12/4*C48</f>
        <v>134.55000000000001</v>
      </c>
      <c r="H48" s="9"/>
      <c r="I48" s="10"/>
      <c r="J48" s="10"/>
    </row>
    <row r="49" spans="1:10" x14ac:dyDescent="0.25">
      <c r="A49" s="20" t="s">
        <v>74</v>
      </c>
      <c r="B49" s="20"/>
      <c r="C49" s="17">
        <v>29.4</v>
      </c>
      <c r="D49" s="17">
        <v>96.99</v>
      </c>
      <c r="E49" s="17">
        <v>55.63</v>
      </c>
      <c r="F49" s="17">
        <v>55.33</v>
      </c>
      <c r="G49" s="17">
        <f>12/4*C49</f>
        <v>88.199999999999989</v>
      </c>
      <c r="H49" s="9"/>
      <c r="I49" s="10"/>
      <c r="J49" s="10"/>
    </row>
    <row r="50" spans="1:10" x14ac:dyDescent="0.25">
      <c r="A50" s="20" t="s">
        <v>75</v>
      </c>
      <c r="B50" s="20"/>
      <c r="C50" s="17">
        <v>81.37</v>
      </c>
      <c r="D50" s="17">
        <v>304.57</v>
      </c>
      <c r="E50" s="17">
        <v>257.88</v>
      </c>
      <c r="F50" s="17">
        <v>242.78</v>
      </c>
      <c r="G50" s="17">
        <f>12/4*C50</f>
        <v>244.11</v>
      </c>
      <c r="H50" s="9"/>
      <c r="I50" s="10"/>
      <c r="J50" s="10"/>
    </row>
    <row r="51" spans="1:10" x14ac:dyDescent="0.25">
      <c r="A51" s="20" t="s">
        <v>76</v>
      </c>
      <c r="B51" s="20"/>
      <c r="C51" s="17">
        <v>58.71</v>
      </c>
      <c r="D51" s="17">
        <v>189.73</v>
      </c>
      <c r="E51" s="17">
        <v>103.14</v>
      </c>
      <c r="F51" s="17">
        <v>68.31</v>
      </c>
      <c r="G51" s="17">
        <f>12/4*C51</f>
        <v>176.13</v>
      </c>
      <c r="H51" s="9"/>
      <c r="I51" s="10"/>
      <c r="J51" s="10"/>
    </row>
    <row r="52" spans="1:10" x14ac:dyDescent="0.25">
      <c r="C52" s="9"/>
      <c r="D52" s="9"/>
      <c r="E52" s="9"/>
      <c r="F52" s="9"/>
      <c r="G52" s="9"/>
      <c r="H52" s="9"/>
      <c r="I52" s="10"/>
      <c r="J52" s="10"/>
    </row>
    <row r="53" spans="1:10" x14ac:dyDescent="0.25">
      <c r="C53" s="9"/>
      <c r="D53" s="9"/>
      <c r="E53" s="9"/>
      <c r="F53" s="9"/>
      <c r="G53" s="9"/>
      <c r="H53" s="9"/>
      <c r="I53" s="10"/>
      <c r="J53" s="10"/>
    </row>
    <row r="54" spans="1:10" x14ac:dyDescent="0.25">
      <c r="A54" s="19" t="s">
        <v>60</v>
      </c>
      <c r="B54" s="26"/>
      <c r="C54" s="9"/>
      <c r="D54" s="9"/>
      <c r="E54" s="9"/>
      <c r="F54" s="9"/>
      <c r="G54" s="9"/>
      <c r="H54" s="9"/>
      <c r="I54" s="10"/>
      <c r="J54" s="10"/>
    </row>
    <row r="55" spans="1:10" x14ac:dyDescent="0.25">
      <c r="A55" s="3" t="s">
        <v>77</v>
      </c>
      <c r="B55" s="1" t="s">
        <v>284</v>
      </c>
      <c r="C55" s="9"/>
      <c r="D55" s="9"/>
      <c r="E55" s="9"/>
      <c r="F55" s="9"/>
      <c r="G55" s="9"/>
      <c r="H55" s="9"/>
      <c r="I55" s="10"/>
      <c r="J55" s="10"/>
    </row>
    <row r="56" spans="1:10" x14ac:dyDescent="0.25">
      <c r="A56" s="3" t="s">
        <v>70</v>
      </c>
      <c r="B56" s="1" t="s">
        <v>79</v>
      </c>
      <c r="C56" s="9"/>
      <c r="D56" s="9"/>
      <c r="E56" s="9"/>
      <c r="F56" s="9"/>
      <c r="G56" s="9"/>
      <c r="H56" s="9"/>
      <c r="I56" s="10"/>
      <c r="J56" s="10"/>
    </row>
    <row r="57" spans="1:10" x14ac:dyDescent="0.25">
      <c r="A57" s="3" t="s">
        <v>71</v>
      </c>
      <c r="B57" s="1" t="s">
        <v>80</v>
      </c>
      <c r="C57" s="9"/>
      <c r="D57" s="9"/>
      <c r="E57" s="9"/>
      <c r="F57" s="9"/>
      <c r="G57" s="9"/>
      <c r="H57" s="9"/>
      <c r="I57" s="10"/>
      <c r="J57" s="10"/>
    </row>
    <row r="58" spans="1:10" x14ac:dyDescent="0.25">
      <c r="A58" s="3" t="s">
        <v>72</v>
      </c>
      <c r="B58" s="1" t="s">
        <v>81</v>
      </c>
      <c r="C58" s="9"/>
      <c r="D58" s="9"/>
      <c r="E58" s="9"/>
      <c r="F58" s="9"/>
      <c r="G58" s="9"/>
      <c r="H58" s="9"/>
      <c r="I58" s="10"/>
      <c r="J58" s="10"/>
    </row>
    <row r="59" spans="1:10" x14ac:dyDescent="0.25">
      <c r="C59" s="9"/>
      <c r="D59" s="9"/>
      <c r="E59" s="9"/>
      <c r="F59" s="9"/>
      <c r="G59" s="9"/>
      <c r="H59" s="9"/>
      <c r="I59" s="10"/>
      <c r="J59" s="10"/>
    </row>
    <row r="60" spans="1:10" x14ac:dyDescent="0.25">
      <c r="C60" s="9"/>
      <c r="D60" s="9"/>
      <c r="E60" s="9"/>
      <c r="F60" s="9"/>
      <c r="G60" s="9"/>
      <c r="H60" s="9"/>
      <c r="I60" s="10"/>
      <c r="J60" s="10"/>
    </row>
    <row r="61" spans="1:10" x14ac:dyDescent="0.25">
      <c r="C61" s="9"/>
      <c r="D61" s="9"/>
      <c r="E61" s="9"/>
      <c r="F61" s="9"/>
      <c r="G61" s="9"/>
      <c r="H61" s="9"/>
      <c r="I61" s="10"/>
      <c r="J61" s="10"/>
    </row>
    <row r="62" spans="1:10" x14ac:dyDescent="0.25">
      <c r="C62" s="9"/>
      <c r="D62" s="9"/>
      <c r="E62" s="9"/>
      <c r="F62" s="9"/>
      <c r="G62" s="9"/>
      <c r="H62" s="9"/>
      <c r="I62" s="10"/>
      <c r="J62" s="10"/>
    </row>
    <row r="63" spans="1:10" x14ac:dyDescent="0.25">
      <c r="C63" s="9"/>
      <c r="D63" s="9"/>
      <c r="E63" s="9"/>
      <c r="F63" s="9"/>
      <c r="G63" s="9"/>
      <c r="H63" s="9"/>
      <c r="I63" s="10"/>
      <c r="J63" s="10"/>
    </row>
    <row r="64" spans="1:10" x14ac:dyDescent="0.25">
      <c r="C64" s="9"/>
      <c r="D64" s="9"/>
      <c r="E64" s="9"/>
      <c r="F64" s="9"/>
      <c r="G64" s="9"/>
      <c r="H64" s="9"/>
      <c r="I64" s="10"/>
      <c r="J64" s="10"/>
    </row>
    <row r="65" spans="3:10" x14ac:dyDescent="0.25">
      <c r="C65" s="9"/>
      <c r="D65" s="9"/>
      <c r="E65" s="9"/>
      <c r="F65" s="9"/>
      <c r="G65" s="9"/>
      <c r="H65" s="9"/>
      <c r="I65" s="10"/>
      <c r="J65" s="10"/>
    </row>
    <row r="66" spans="3:10" x14ac:dyDescent="0.25">
      <c r="C66" s="9"/>
      <c r="D66" s="9"/>
      <c r="E66" s="9"/>
      <c r="F66" s="9"/>
      <c r="G66" s="9"/>
      <c r="H66" s="9"/>
      <c r="I66" s="10"/>
      <c r="J66" s="10"/>
    </row>
    <row r="67" spans="3:10" x14ac:dyDescent="0.25">
      <c r="C67" s="9"/>
      <c r="D67" s="9"/>
      <c r="E67" s="9"/>
      <c r="F67" s="9"/>
      <c r="G67" s="9"/>
      <c r="H67" s="9"/>
      <c r="I67" s="10"/>
      <c r="J67" s="10"/>
    </row>
    <row r="68" spans="3:10" x14ac:dyDescent="0.25">
      <c r="C68" s="9"/>
      <c r="D68" s="9"/>
      <c r="E68" s="9"/>
      <c r="F68" s="9"/>
      <c r="G68" s="9"/>
      <c r="H68" s="9"/>
      <c r="I68" s="10"/>
      <c r="J68" s="10"/>
    </row>
  </sheetData>
  <mergeCells count="19">
    <mergeCell ref="A49:B49"/>
    <mergeCell ref="A50:B50"/>
    <mergeCell ref="A51:B51"/>
    <mergeCell ref="A54:B54"/>
    <mergeCell ref="I42:I43"/>
    <mergeCell ref="J42:J43"/>
    <mergeCell ref="A43:B43"/>
    <mergeCell ref="A47:B47"/>
    <mergeCell ref="A48:B48"/>
    <mergeCell ref="A35:B35"/>
    <mergeCell ref="A36:B36"/>
    <mergeCell ref="A41:B41"/>
    <mergeCell ref="A42:B42"/>
    <mergeCell ref="H42:H43"/>
    <mergeCell ref="C7:G7"/>
    <mergeCell ref="A27:B27"/>
    <mergeCell ref="A28:B28"/>
    <mergeCell ref="A33:B33"/>
    <mergeCell ref="A34:B34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2:J68"/>
  <sheetViews>
    <sheetView workbookViewId="0">
      <selection activeCell="C9" sqref="C9:J68"/>
    </sheetView>
  </sheetViews>
  <sheetFormatPr defaultRowHeight="15" x14ac:dyDescent="0.25"/>
  <cols>
    <col min="1" max="1" width="38.85546875" bestFit="1" customWidth="1"/>
    <col min="2" max="2" width="79" bestFit="1" customWidth="1"/>
    <col min="3" max="3" width="14" bestFit="1" customWidth="1"/>
    <col min="4" max="4" width="24.7109375" bestFit="1" customWidth="1"/>
    <col min="5" max="5" width="16.42578125" bestFit="1" customWidth="1"/>
    <col min="6" max="6" width="10.5703125" bestFit="1" customWidth="1"/>
    <col min="7" max="7" width="68.28515625" bestFit="1" customWidth="1"/>
    <col min="8" max="9" width="20" bestFit="1" customWidth="1"/>
    <col min="10" max="10" width="30.5703125" bestFit="1" customWidth="1"/>
  </cols>
  <sheetData>
    <row r="2" spans="1:10" ht="18.75" x14ac:dyDescent="0.3">
      <c r="A2" s="3" t="s">
        <v>0</v>
      </c>
      <c r="B2" s="4" t="s">
        <v>285</v>
      </c>
    </row>
    <row r="3" spans="1:10" x14ac:dyDescent="0.25">
      <c r="A3" s="3" t="s">
        <v>2</v>
      </c>
      <c r="B3" s="1" t="s">
        <v>3</v>
      </c>
    </row>
    <row r="4" spans="1:10" x14ac:dyDescent="0.25">
      <c r="A4" s="3" t="s">
        <v>4</v>
      </c>
      <c r="B4" s="1">
        <v>373</v>
      </c>
    </row>
    <row r="7" spans="1:10" x14ac:dyDescent="0.25">
      <c r="C7" s="19" t="s">
        <v>5</v>
      </c>
      <c r="D7" s="20"/>
      <c r="E7" s="20"/>
      <c r="F7" s="20"/>
      <c r="G7" s="20"/>
    </row>
    <row r="8" spans="1:10" x14ac:dyDescent="0.25">
      <c r="A8" s="3" t="s">
        <v>6</v>
      </c>
      <c r="B8" s="3" t="s">
        <v>7</v>
      </c>
      <c r="C8" s="3" t="s">
        <v>8</v>
      </c>
      <c r="D8" s="3" t="s">
        <v>9</v>
      </c>
      <c r="E8" s="3" t="s">
        <v>10</v>
      </c>
      <c r="F8" s="3" t="s">
        <v>11</v>
      </c>
      <c r="G8" s="3" t="s">
        <v>12</v>
      </c>
      <c r="H8" s="3" t="s">
        <v>13</v>
      </c>
      <c r="I8" s="3" t="s">
        <v>14</v>
      </c>
      <c r="J8" s="3" t="s">
        <v>15</v>
      </c>
    </row>
    <row r="9" spans="1:10" x14ac:dyDescent="0.25">
      <c r="A9" s="1" t="s">
        <v>16</v>
      </c>
      <c r="B9" s="1" t="s">
        <v>17</v>
      </c>
      <c r="C9" s="11"/>
      <c r="D9" s="11"/>
      <c r="E9" s="11">
        <v>5</v>
      </c>
      <c r="F9" s="11"/>
      <c r="G9" s="11">
        <f t="shared" ref="G9:G36" si="0">SUM(C9:F9)</f>
        <v>5</v>
      </c>
      <c r="H9" s="17">
        <f t="shared" ref="H9:H36" si="1">ROUND(G9/373,2)</f>
        <v>0.01</v>
      </c>
      <c r="I9" s="16">
        <f t="shared" ref="I9:I36" si="2">ROUND(G9/$G$37,3)</f>
        <v>0</v>
      </c>
      <c r="J9" s="16"/>
    </row>
    <row r="10" spans="1:10" x14ac:dyDescent="0.25">
      <c r="A10" s="1" t="s">
        <v>16</v>
      </c>
      <c r="B10" s="1" t="s">
        <v>19</v>
      </c>
      <c r="C10" s="11">
        <v>5950</v>
      </c>
      <c r="D10" s="11"/>
      <c r="E10" s="11">
        <v>679</v>
      </c>
      <c r="F10" s="11"/>
      <c r="G10" s="11">
        <f t="shared" si="0"/>
        <v>6629</v>
      </c>
      <c r="H10" s="17">
        <f t="shared" si="1"/>
        <v>17.77</v>
      </c>
      <c r="I10" s="16">
        <f t="shared" si="2"/>
        <v>9.1999999999999998E-2</v>
      </c>
      <c r="J10" s="16">
        <f>ROUND(G10/4311.65-1,2)</f>
        <v>0.54</v>
      </c>
    </row>
    <row r="11" spans="1:10" x14ac:dyDescent="0.25">
      <c r="A11" s="1" t="s">
        <v>16</v>
      </c>
      <c r="B11" s="1" t="s">
        <v>20</v>
      </c>
      <c r="C11" s="11">
        <v>6450</v>
      </c>
      <c r="D11" s="11"/>
      <c r="E11" s="11"/>
      <c r="F11" s="11"/>
      <c r="G11" s="11">
        <f t="shared" si="0"/>
        <v>6450</v>
      </c>
      <c r="H11" s="17">
        <f t="shared" si="1"/>
        <v>17.29</v>
      </c>
      <c r="I11" s="16">
        <f t="shared" si="2"/>
        <v>8.8999999999999996E-2</v>
      </c>
      <c r="J11" s="16">
        <f>ROUND(G11/8540-1,2)</f>
        <v>-0.24</v>
      </c>
    </row>
    <row r="12" spans="1:10" x14ac:dyDescent="0.25">
      <c r="A12" s="1" t="s">
        <v>16</v>
      </c>
      <c r="B12" s="1" t="s">
        <v>21</v>
      </c>
      <c r="C12" s="11"/>
      <c r="D12" s="11"/>
      <c r="E12" s="11">
        <v>12</v>
      </c>
      <c r="F12" s="11"/>
      <c r="G12" s="11">
        <f t="shared" si="0"/>
        <v>12</v>
      </c>
      <c r="H12" s="17">
        <f t="shared" si="1"/>
        <v>0.03</v>
      </c>
      <c r="I12" s="16">
        <f t="shared" si="2"/>
        <v>0</v>
      </c>
      <c r="J12" s="16"/>
    </row>
    <row r="13" spans="1:10" x14ac:dyDescent="0.25">
      <c r="A13" s="1" t="s">
        <v>16</v>
      </c>
      <c r="B13" s="1" t="s">
        <v>22</v>
      </c>
      <c r="C13" s="11"/>
      <c r="D13" s="11"/>
      <c r="E13" s="11">
        <v>230</v>
      </c>
      <c r="F13" s="11"/>
      <c r="G13" s="11">
        <f t="shared" si="0"/>
        <v>230</v>
      </c>
      <c r="H13" s="17">
        <f t="shared" si="1"/>
        <v>0.62</v>
      </c>
      <c r="I13" s="16">
        <f t="shared" si="2"/>
        <v>3.0000000000000001E-3</v>
      </c>
      <c r="J13" s="16"/>
    </row>
    <row r="14" spans="1:10" x14ac:dyDescent="0.25">
      <c r="A14" s="1" t="s">
        <v>16</v>
      </c>
      <c r="B14" s="1" t="s">
        <v>23</v>
      </c>
      <c r="C14" s="11"/>
      <c r="D14" s="11"/>
      <c r="E14" s="11">
        <v>8853</v>
      </c>
      <c r="F14" s="11"/>
      <c r="G14" s="11">
        <f t="shared" si="0"/>
        <v>8853</v>
      </c>
      <c r="H14" s="17">
        <f t="shared" si="1"/>
        <v>23.73</v>
      </c>
      <c r="I14" s="16">
        <f t="shared" si="2"/>
        <v>0.122</v>
      </c>
      <c r="J14" s="16">
        <f>ROUND(G14/2356.7-1,2)</f>
        <v>2.76</v>
      </c>
    </row>
    <row r="15" spans="1:10" x14ac:dyDescent="0.25">
      <c r="A15" s="1" t="s">
        <v>16</v>
      </c>
      <c r="B15" s="1" t="s">
        <v>24</v>
      </c>
      <c r="C15" s="11">
        <v>5820</v>
      </c>
      <c r="D15" s="11"/>
      <c r="E15" s="11">
        <v>2370</v>
      </c>
      <c r="F15" s="11"/>
      <c r="G15" s="11">
        <f t="shared" si="0"/>
        <v>8190</v>
      </c>
      <c r="H15" s="17">
        <f t="shared" si="1"/>
        <v>21.96</v>
      </c>
      <c r="I15" s="16">
        <f t="shared" si="2"/>
        <v>0.113</v>
      </c>
      <c r="J15" s="16">
        <f>ROUND(G15/5456.65-1,2)</f>
        <v>0.5</v>
      </c>
    </row>
    <row r="16" spans="1:10" x14ac:dyDescent="0.25">
      <c r="A16" s="1" t="s">
        <v>16</v>
      </c>
      <c r="B16" s="1" t="s">
        <v>25</v>
      </c>
      <c r="C16" s="11"/>
      <c r="D16" s="11"/>
      <c r="E16" s="11">
        <v>306</v>
      </c>
      <c r="F16" s="11"/>
      <c r="G16" s="11">
        <f t="shared" si="0"/>
        <v>306</v>
      </c>
      <c r="H16" s="17">
        <f t="shared" si="1"/>
        <v>0.82</v>
      </c>
      <c r="I16" s="16">
        <f t="shared" si="2"/>
        <v>4.0000000000000001E-3</v>
      </c>
      <c r="J16" s="16"/>
    </row>
    <row r="17" spans="1:10" x14ac:dyDescent="0.25">
      <c r="A17" s="1" t="s">
        <v>16</v>
      </c>
      <c r="B17" s="1" t="s">
        <v>26</v>
      </c>
      <c r="C17" s="11">
        <v>7160</v>
      </c>
      <c r="D17" s="11"/>
      <c r="E17" s="11"/>
      <c r="F17" s="11"/>
      <c r="G17" s="11">
        <f t="shared" si="0"/>
        <v>7160</v>
      </c>
      <c r="H17" s="17">
        <f t="shared" si="1"/>
        <v>19.2</v>
      </c>
      <c r="I17" s="16">
        <f t="shared" si="2"/>
        <v>9.9000000000000005E-2</v>
      </c>
      <c r="J17" s="16">
        <f>ROUND(G17/6770-1,2)</f>
        <v>0.06</v>
      </c>
    </row>
    <row r="18" spans="1:10" x14ac:dyDescent="0.25">
      <c r="A18" s="1" t="s">
        <v>16</v>
      </c>
      <c r="B18" s="1" t="s">
        <v>27</v>
      </c>
      <c r="C18" s="11"/>
      <c r="D18" s="11"/>
      <c r="E18" s="11">
        <v>119</v>
      </c>
      <c r="F18" s="11"/>
      <c r="G18" s="11">
        <f t="shared" si="0"/>
        <v>119</v>
      </c>
      <c r="H18" s="17">
        <f t="shared" si="1"/>
        <v>0.32</v>
      </c>
      <c r="I18" s="16">
        <f t="shared" si="2"/>
        <v>2E-3</v>
      </c>
      <c r="J18" s="16"/>
    </row>
    <row r="19" spans="1:10" x14ac:dyDescent="0.25">
      <c r="A19" s="1" t="s">
        <v>16</v>
      </c>
      <c r="B19" s="1" t="s">
        <v>28</v>
      </c>
      <c r="C19" s="11"/>
      <c r="D19" s="11"/>
      <c r="E19" s="11">
        <v>71</v>
      </c>
      <c r="F19" s="11"/>
      <c r="G19" s="11">
        <f t="shared" si="0"/>
        <v>71</v>
      </c>
      <c r="H19" s="17">
        <f t="shared" si="1"/>
        <v>0.19</v>
      </c>
      <c r="I19" s="16">
        <f t="shared" si="2"/>
        <v>1E-3</v>
      </c>
      <c r="J19" s="16"/>
    </row>
    <row r="20" spans="1:10" x14ac:dyDescent="0.25">
      <c r="A20" s="1" t="s">
        <v>16</v>
      </c>
      <c r="B20" s="1" t="s">
        <v>29</v>
      </c>
      <c r="C20" s="11"/>
      <c r="D20" s="11"/>
      <c r="E20" s="11">
        <v>41</v>
      </c>
      <c r="F20" s="11"/>
      <c r="G20" s="11">
        <f t="shared" si="0"/>
        <v>41</v>
      </c>
      <c r="H20" s="17">
        <f t="shared" si="1"/>
        <v>0.11</v>
      </c>
      <c r="I20" s="16">
        <f t="shared" si="2"/>
        <v>1E-3</v>
      </c>
      <c r="J20" s="16">
        <f>ROUND(G20/16.84-1,2)</f>
        <v>1.43</v>
      </c>
    </row>
    <row r="21" spans="1:10" x14ac:dyDescent="0.25">
      <c r="A21" s="1" t="s">
        <v>16</v>
      </c>
      <c r="B21" s="1" t="s">
        <v>31</v>
      </c>
      <c r="C21" s="11"/>
      <c r="D21" s="11"/>
      <c r="E21" s="11">
        <v>146</v>
      </c>
      <c r="F21" s="11"/>
      <c r="G21" s="11">
        <f t="shared" si="0"/>
        <v>146</v>
      </c>
      <c r="H21" s="17">
        <f t="shared" si="1"/>
        <v>0.39</v>
      </c>
      <c r="I21" s="16">
        <f t="shared" si="2"/>
        <v>2E-3</v>
      </c>
      <c r="J21" s="16"/>
    </row>
    <row r="22" spans="1:10" x14ac:dyDescent="0.25">
      <c r="A22" s="1" t="s">
        <v>16</v>
      </c>
      <c r="B22" s="1" t="s">
        <v>32</v>
      </c>
      <c r="C22" s="11"/>
      <c r="D22" s="11"/>
      <c r="E22" s="11">
        <v>38</v>
      </c>
      <c r="F22" s="11"/>
      <c r="G22" s="11">
        <f t="shared" si="0"/>
        <v>38</v>
      </c>
      <c r="H22" s="17">
        <f t="shared" si="1"/>
        <v>0.1</v>
      </c>
      <c r="I22" s="16">
        <f t="shared" si="2"/>
        <v>1E-3</v>
      </c>
      <c r="J22" s="16"/>
    </row>
    <row r="23" spans="1:10" x14ac:dyDescent="0.25">
      <c r="A23" s="1" t="s">
        <v>16</v>
      </c>
      <c r="B23" s="1" t="s">
        <v>35</v>
      </c>
      <c r="C23" s="11"/>
      <c r="D23" s="11"/>
      <c r="E23" s="11">
        <v>6508</v>
      </c>
      <c r="F23" s="11"/>
      <c r="G23" s="11">
        <f t="shared" si="0"/>
        <v>6508</v>
      </c>
      <c r="H23" s="17">
        <f t="shared" si="1"/>
        <v>17.45</v>
      </c>
      <c r="I23" s="16">
        <f t="shared" si="2"/>
        <v>0.09</v>
      </c>
      <c r="J23" s="16">
        <f>ROUND(G23/3898.76-1,2)</f>
        <v>0.67</v>
      </c>
    </row>
    <row r="24" spans="1:10" x14ac:dyDescent="0.25">
      <c r="A24" s="1" t="s">
        <v>16</v>
      </c>
      <c r="B24" s="1" t="s">
        <v>37</v>
      </c>
      <c r="C24" s="11"/>
      <c r="D24" s="11"/>
      <c r="E24" s="11">
        <v>2580</v>
      </c>
      <c r="F24" s="11"/>
      <c r="G24" s="11">
        <f t="shared" si="0"/>
        <v>2580</v>
      </c>
      <c r="H24" s="17">
        <f t="shared" si="1"/>
        <v>6.92</v>
      </c>
      <c r="I24" s="16">
        <f t="shared" si="2"/>
        <v>3.5999999999999997E-2</v>
      </c>
      <c r="J24" s="16">
        <f>ROUND(G24/1823.7-1,2)</f>
        <v>0.41</v>
      </c>
    </row>
    <row r="25" spans="1:10" x14ac:dyDescent="0.25">
      <c r="A25" s="1" t="s">
        <v>16</v>
      </c>
      <c r="B25" s="1" t="s">
        <v>38</v>
      </c>
      <c r="C25" s="11"/>
      <c r="D25" s="11"/>
      <c r="E25" s="11">
        <v>839</v>
      </c>
      <c r="F25" s="11"/>
      <c r="G25" s="11">
        <f t="shared" si="0"/>
        <v>839</v>
      </c>
      <c r="H25" s="17">
        <f t="shared" si="1"/>
        <v>2.25</v>
      </c>
      <c r="I25" s="16">
        <f t="shared" si="2"/>
        <v>1.2E-2</v>
      </c>
      <c r="J25" s="16">
        <f>ROUND(G25/263.97-1,2)</f>
        <v>2.1800000000000002</v>
      </c>
    </row>
    <row r="26" spans="1:10" x14ac:dyDescent="0.25">
      <c r="A26" s="1" t="s">
        <v>16</v>
      </c>
      <c r="B26" s="1" t="s">
        <v>40</v>
      </c>
      <c r="C26" s="11"/>
      <c r="D26" s="11"/>
      <c r="E26" s="11"/>
      <c r="F26" s="11"/>
      <c r="G26" s="11">
        <f t="shared" si="0"/>
        <v>0</v>
      </c>
      <c r="H26" s="17">
        <f t="shared" si="1"/>
        <v>0</v>
      </c>
      <c r="I26" s="16">
        <f t="shared" si="2"/>
        <v>0</v>
      </c>
      <c r="J26" s="16">
        <f>ROUND(G26/208.89-1,2)</f>
        <v>-1</v>
      </c>
    </row>
    <row r="27" spans="1:10" x14ac:dyDescent="0.25">
      <c r="A27" s="1" t="s">
        <v>16</v>
      </c>
      <c r="B27" s="1" t="s">
        <v>42</v>
      </c>
      <c r="C27" s="11"/>
      <c r="D27" s="11"/>
      <c r="E27" s="11"/>
      <c r="F27" s="11"/>
      <c r="G27" s="11">
        <f t="shared" si="0"/>
        <v>0</v>
      </c>
      <c r="H27" s="17">
        <f t="shared" si="1"/>
        <v>0</v>
      </c>
      <c r="I27" s="16">
        <f t="shared" si="2"/>
        <v>0</v>
      </c>
      <c r="J27" s="16">
        <f>ROUND(G27/141.94-1,2)</f>
        <v>-1</v>
      </c>
    </row>
    <row r="28" spans="1:10" x14ac:dyDescent="0.25">
      <c r="A28" s="1" t="s">
        <v>16</v>
      </c>
      <c r="B28" s="1" t="s">
        <v>41</v>
      </c>
      <c r="C28" s="11"/>
      <c r="D28" s="11"/>
      <c r="E28" s="11"/>
      <c r="F28" s="11"/>
      <c r="G28" s="11">
        <f t="shared" si="0"/>
        <v>0</v>
      </c>
      <c r="H28" s="17">
        <f t="shared" si="1"/>
        <v>0</v>
      </c>
      <c r="I28" s="16">
        <f t="shared" si="2"/>
        <v>0</v>
      </c>
      <c r="J28" s="16">
        <f>ROUND(G28/105.14-1,2)</f>
        <v>-1</v>
      </c>
    </row>
    <row r="29" spans="1:10" x14ac:dyDescent="0.25">
      <c r="A29" s="1" t="s">
        <v>16</v>
      </c>
      <c r="B29" s="1" t="s">
        <v>34</v>
      </c>
      <c r="C29" s="11"/>
      <c r="D29" s="11"/>
      <c r="E29" s="11"/>
      <c r="F29" s="11"/>
      <c r="G29" s="11">
        <f t="shared" si="0"/>
        <v>0</v>
      </c>
      <c r="H29" s="17">
        <f t="shared" si="1"/>
        <v>0</v>
      </c>
      <c r="I29" s="16">
        <f t="shared" si="2"/>
        <v>0</v>
      </c>
      <c r="J29" s="16">
        <f>ROUND(G29/37.67-1,2)</f>
        <v>-1</v>
      </c>
    </row>
    <row r="30" spans="1:10" x14ac:dyDescent="0.25">
      <c r="A30" s="1" t="s">
        <v>16</v>
      </c>
      <c r="B30" s="1" t="s">
        <v>39</v>
      </c>
      <c r="C30" s="11"/>
      <c r="D30" s="11"/>
      <c r="E30" s="11"/>
      <c r="F30" s="11"/>
      <c r="G30" s="11">
        <f t="shared" si="0"/>
        <v>0</v>
      </c>
      <c r="H30" s="17">
        <f t="shared" si="1"/>
        <v>0</v>
      </c>
      <c r="I30" s="16">
        <f t="shared" si="2"/>
        <v>0</v>
      </c>
      <c r="J30" s="16"/>
    </row>
    <row r="31" spans="1:10" x14ac:dyDescent="0.25">
      <c r="A31" s="1" t="s">
        <v>16</v>
      </c>
      <c r="B31" s="1" t="s">
        <v>30</v>
      </c>
      <c r="C31" s="11"/>
      <c r="D31" s="11"/>
      <c r="E31" s="11"/>
      <c r="F31" s="11"/>
      <c r="G31" s="11">
        <f t="shared" si="0"/>
        <v>0</v>
      </c>
      <c r="H31" s="17">
        <f t="shared" si="1"/>
        <v>0</v>
      </c>
      <c r="I31" s="16">
        <f t="shared" si="2"/>
        <v>0</v>
      </c>
      <c r="J31" s="16"/>
    </row>
    <row r="32" spans="1:10" x14ac:dyDescent="0.25">
      <c r="A32" s="1" t="s">
        <v>16</v>
      </c>
      <c r="B32" s="1" t="s">
        <v>36</v>
      </c>
      <c r="C32" s="11"/>
      <c r="D32" s="11"/>
      <c r="E32" s="11"/>
      <c r="F32" s="11"/>
      <c r="G32" s="11">
        <f t="shared" si="0"/>
        <v>0</v>
      </c>
      <c r="H32" s="17">
        <f t="shared" si="1"/>
        <v>0</v>
      </c>
      <c r="I32" s="16">
        <f t="shared" si="2"/>
        <v>0</v>
      </c>
      <c r="J32" s="16"/>
    </row>
    <row r="33" spans="1:10" x14ac:dyDescent="0.25">
      <c r="A33" s="1" t="s">
        <v>44</v>
      </c>
      <c r="B33" s="1" t="s">
        <v>45</v>
      </c>
      <c r="C33" s="11">
        <v>20380</v>
      </c>
      <c r="D33" s="11"/>
      <c r="E33" s="11"/>
      <c r="F33" s="11"/>
      <c r="G33" s="11">
        <f t="shared" si="0"/>
        <v>20380</v>
      </c>
      <c r="H33" s="17">
        <f t="shared" si="1"/>
        <v>54.64</v>
      </c>
      <c r="I33" s="16">
        <f t="shared" si="2"/>
        <v>0.28100000000000003</v>
      </c>
      <c r="J33" s="16">
        <f>ROUND(G33/17930-1,2)</f>
        <v>0.14000000000000001</v>
      </c>
    </row>
    <row r="34" spans="1:10" x14ac:dyDescent="0.25">
      <c r="A34" s="1" t="s">
        <v>44</v>
      </c>
      <c r="B34" s="1" t="s">
        <v>46</v>
      </c>
      <c r="C34" s="11"/>
      <c r="D34" s="11"/>
      <c r="E34" s="11">
        <v>3881</v>
      </c>
      <c r="F34" s="11"/>
      <c r="G34" s="11">
        <f t="shared" si="0"/>
        <v>3881</v>
      </c>
      <c r="H34" s="17">
        <f t="shared" si="1"/>
        <v>10.4</v>
      </c>
      <c r="I34" s="16">
        <f t="shared" si="2"/>
        <v>5.3999999999999999E-2</v>
      </c>
      <c r="J34" s="16">
        <f>ROUND(G34/2227.62-1,2)</f>
        <v>0.74</v>
      </c>
    </row>
    <row r="35" spans="1:10" x14ac:dyDescent="0.25">
      <c r="A35" s="1" t="s">
        <v>44</v>
      </c>
      <c r="B35" s="1" t="s">
        <v>47</v>
      </c>
      <c r="C35" s="11"/>
      <c r="D35" s="11"/>
      <c r="E35" s="11"/>
      <c r="F35" s="11"/>
      <c r="G35" s="11">
        <f t="shared" si="0"/>
        <v>0</v>
      </c>
      <c r="H35" s="17">
        <f t="shared" si="1"/>
        <v>0</v>
      </c>
      <c r="I35" s="16">
        <f t="shared" si="2"/>
        <v>0</v>
      </c>
      <c r="J35" s="16">
        <f>ROUND(G35/13495-1,2)</f>
        <v>-1</v>
      </c>
    </row>
    <row r="36" spans="1:10" x14ac:dyDescent="0.25">
      <c r="A36" s="1" t="s">
        <v>48</v>
      </c>
      <c r="B36" s="1" t="s">
        <v>51</v>
      </c>
      <c r="C36" s="11"/>
      <c r="D36" s="11"/>
      <c r="E36" s="11"/>
      <c r="F36" s="11"/>
      <c r="G36" s="11">
        <f t="shared" si="0"/>
        <v>0</v>
      </c>
      <c r="H36" s="17">
        <f t="shared" si="1"/>
        <v>0</v>
      </c>
      <c r="I36" s="16">
        <f t="shared" si="2"/>
        <v>0</v>
      </c>
      <c r="J36" s="16"/>
    </row>
    <row r="37" spans="1:10" x14ac:dyDescent="0.25">
      <c r="A37" s="21" t="s">
        <v>12</v>
      </c>
      <c r="B37" s="21"/>
      <c r="C37" s="12">
        <f t="shared" ref="C37:H37" si="3">SUM(C8:C36)</f>
        <v>45760</v>
      </c>
      <c r="D37" s="12">
        <f t="shared" si="3"/>
        <v>0</v>
      </c>
      <c r="E37" s="12">
        <f t="shared" si="3"/>
        <v>26678</v>
      </c>
      <c r="F37" s="12">
        <f t="shared" si="3"/>
        <v>0</v>
      </c>
      <c r="G37" s="12">
        <f t="shared" si="3"/>
        <v>72438</v>
      </c>
      <c r="H37" s="15">
        <f t="shared" si="3"/>
        <v>194.19999999999996</v>
      </c>
      <c r="I37" s="18"/>
      <c r="J37" s="18"/>
    </row>
    <row r="38" spans="1:10" x14ac:dyDescent="0.25">
      <c r="A38" s="21" t="s">
        <v>14</v>
      </c>
      <c r="B38" s="21"/>
      <c r="C38" s="13">
        <f>ROUND(C37/G37,2)</f>
        <v>0.63</v>
      </c>
      <c r="D38" s="13">
        <f>ROUND(D37/G37,2)</f>
        <v>0</v>
      </c>
      <c r="E38" s="13">
        <f>ROUND(E37/G37,2)</f>
        <v>0.37</v>
      </c>
      <c r="F38" s="13">
        <f>ROUND(F37/G37,2)</f>
        <v>0</v>
      </c>
      <c r="G38" s="14"/>
      <c r="H38" s="14"/>
      <c r="I38" s="18"/>
      <c r="J38" s="18"/>
    </row>
    <row r="39" spans="1:10" x14ac:dyDescent="0.25">
      <c r="A39" s="2" t="s">
        <v>52</v>
      </c>
      <c r="B39" s="2"/>
      <c r="C39" s="14"/>
      <c r="D39" s="14"/>
      <c r="E39" s="14"/>
      <c r="F39" s="14"/>
      <c r="G39" s="14"/>
      <c r="H39" s="14"/>
      <c r="I39" s="18"/>
      <c r="J39" s="18"/>
    </row>
    <row r="40" spans="1:10" x14ac:dyDescent="0.25">
      <c r="C40" s="9"/>
      <c r="D40" s="9"/>
      <c r="E40" s="9"/>
      <c r="F40" s="9"/>
      <c r="G40" s="9"/>
      <c r="H40" s="9"/>
      <c r="I40" s="10"/>
      <c r="J40" s="10"/>
    </row>
    <row r="41" spans="1:10" x14ac:dyDescent="0.25">
      <c r="C41" s="9"/>
      <c r="D41" s="9"/>
      <c r="E41" s="9"/>
      <c r="F41" s="9"/>
      <c r="G41" s="9"/>
      <c r="H41" s="9"/>
      <c r="I41" s="10"/>
      <c r="J41" s="10"/>
    </row>
    <row r="42" spans="1:10" x14ac:dyDescent="0.25">
      <c r="C42" s="9"/>
      <c r="D42" s="9"/>
      <c r="E42" s="9"/>
      <c r="F42" s="9"/>
      <c r="G42" s="9"/>
      <c r="H42" s="9"/>
      <c r="I42" s="10"/>
      <c r="J42" s="10"/>
    </row>
    <row r="43" spans="1:10" x14ac:dyDescent="0.25">
      <c r="A43" s="21" t="s">
        <v>53</v>
      </c>
      <c r="B43" s="21"/>
      <c r="C43" s="12" t="s">
        <v>8</v>
      </c>
      <c r="D43" s="12" t="s">
        <v>9</v>
      </c>
      <c r="E43" s="12" t="s">
        <v>10</v>
      </c>
      <c r="F43" s="12" t="s">
        <v>11</v>
      </c>
      <c r="G43" s="12" t="s">
        <v>12</v>
      </c>
      <c r="H43" s="15" t="s">
        <v>13</v>
      </c>
      <c r="I43" s="18"/>
      <c r="J43" s="18"/>
    </row>
    <row r="44" spans="1:10" x14ac:dyDescent="0.25">
      <c r="A44" s="20" t="s">
        <v>54</v>
      </c>
      <c r="B44" s="20"/>
      <c r="C44" s="11">
        <v>25380</v>
      </c>
      <c r="D44" s="11">
        <v>0</v>
      </c>
      <c r="E44" s="11">
        <v>22797</v>
      </c>
      <c r="F44" s="11">
        <v>0</v>
      </c>
      <c r="G44" s="11">
        <f>SUM(C44:F44)</f>
        <v>48177</v>
      </c>
      <c r="H44" s="17">
        <f>ROUND(G44/373,2)</f>
        <v>129.16</v>
      </c>
      <c r="I44" s="10"/>
      <c r="J44" s="10"/>
    </row>
    <row r="45" spans="1:10" x14ac:dyDescent="0.25">
      <c r="A45" s="20" t="s">
        <v>55</v>
      </c>
      <c r="B45" s="20"/>
      <c r="C45" s="11">
        <v>20380</v>
      </c>
      <c r="D45" s="11">
        <v>0</v>
      </c>
      <c r="E45" s="11">
        <v>3881</v>
      </c>
      <c r="F45" s="11">
        <v>0</v>
      </c>
      <c r="G45" s="11">
        <f>SUM(C45:F45)</f>
        <v>24261</v>
      </c>
      <c r="H45" s="17">
        <f>ROUND(G45/373,2)</f>
        <v>65.040000000000006</v>
      </c>
      <c r="I45" s="10"/>
      <c r="J45" s="10"/>
    </row>
    <row r="46" spans="1:10" x14ac:dyDescent="0.25">
      <c r="A46" s="20" t="s">
        <v>56</v>
      </c>
      <c r="B46" s="20"/>
      <c r="C46" s="11">
        <v>0</v>
      </c>
      <c r="D46" s="11">
        <v>0</v>
      </c>
      <c r="E46" s="11">
        <v>0</v>
      </c>
      <c r="F46" s="11">
        <v>0</v>
      </c>
      <c r="G46" s="11">
        <f>SUM(C46:F46)</f>
        <v>0</v>
      </c>
      <c r="H46" s="17">
        <f>ROUND(G46/373,2)</f>
        <v>0</v>
      </c>
      <c r="I46" s="10"/>
      <c r="J46" s="10"/>
    </row>
    <row r="47" spans="1:10" x14ac:dyDescent="0.25">
      <c r="C47" s="9"/>
      <c r="D47" s="9"/>
      <c r="E47" s="9"/>
      <c r="F47" s="9"/>
      <c r="G47" s="9"/>
      <c r="H47" s="9"/>
      <c r="I47" s="10"/>
      <c r="J47" s="10"/>
    </row>
    <row r="48" spans="1:10" x14ac:dyDescent="0.25">
      <c r="C48" s="9"/>
      <c r="D48" s="9"/>
      <c r="E48" s="9"/>
      <c r="F48" s="9"/>
      <c r="G48" s="9"/>
      <c r="H48" s="9"/>
      <c r="I48" s="10"/>
      <c r="J48" s="10"/>
    </row>
    <row r="49" spans="1:10" x14ac:dyDescent="0.25">
      <c r="C49" s="9"/>
      <c r="D49" s="9"/>
      <c r="E49" s="9"/>
      <c r="F49" s="9"/>
      <c r="G49" s="9"/>
      <c r="H49" s="9"/>
      <c r="I49" s="10"/>
      <c r="J49" s="10"/>
    </row>
    <row r="50" spans="1:10" x14ac:dyDescent="0.25">
      <c r="C50" s="9"/>
      <c r="D50" s="9"/>
      <c r="E50" s="9"/>
      <c r="F50" s="9"/>
      <c r="G50" s="9"/>
      <c r="H50" s="9"/>
      <c r="I50" s="10"/>
      <c r="J50" s="10"/>
    </row>
    <row r="51" spans="1:10" x14ac:dyDescent="0.25">
      <c r="A51" s="21" t="s">
        <v>57</v>
      </c>
      <c r="B51" s="21"/>
      <c r="C51" s="15" t="s">
        <v>2</v>
      </c>
      <c r="D51" s="15">
        <v>2023</v>
      </c>
      <c r="E51" s="15" t="s">
        <v>59</v>
      </c>
      <c r="F51" s="14"/>
      <c r="G51" s="15" t="s">
        <v>60</v>
      </c>
      <c r="H51" s="15" t="s">
        <v>2</v>
      </c>
      <c r="I51" s="13" t="s">
        <v>61</v>
      </c>
      <c r="J51" s="13" t="s">
        <v>59</v>
      </c>
    </row>
    <row r="52" spans="1:10" x14ac:dyDescent="0.25">
      <c r="A52" s="20" t="s">
        <v>58</v>
      </c>
      <c r="B52" s="20"/>
      <c r="C52" s="16">
        <f>ROUND(0.6784, 4)</f>
        <v>0.6784</v>
      </c>
      <c r="D52" s="16">
        <f>ROUND(0.6501, 4)</f>
        <v>0.65010000000000001</v>
      </c>
      <c r="E52" s="16">
        <f>ROUND(0.777, 4)</f>
        <v>0.77700000000000002</v>
      </c>
      <c r="F52" s="9"/>
      <c r="G52" s="15" t="s">
        <v>62</v>
      </c>
      <c r="H52" s="22" t="s">
        <v>63</v>
      </c>
      <c r="I52" s="24" t="s">
        <v>64</v>
      </c>
      <c r="J52" s="24" t="s">
        <v>65</v>
      </c>
    </row>
    <row r="53" spans="1:10" x14ac:dyDescent="0.25">
      <c r="A53" s="20" t="s">
        <v>66</v>
      </c>
      <c r="B53" s="20"/>
      <c r="C53" s="16">
        <f>ROUND(0.6395, 4)</f>
        <v>0.63949999999999996</v>
      </c>
      <c r="D53" s="16">
        <f>ROUND(0.6167, 4)</f>
        <v>0.61670000000000003</v>
      </c>
      <c r="E53" s="16">
        <f>ROUND(0.7608, 4)</f>
        <v>0.76080000000000003</v>
      </c>
      <c r="F53" s="9"/>
      <c r="G53" s="15" t="s">
        <v>67</v>
      </c>
      <c r="H53" s="23"/>
      <c r="I53" s="25"/>
      <c r="J53" s="25"/>
    </row>
    <row r="54" spans="1:10" x14ac:dyDescent="0.25">
      <c r="C54" s="9"/>
      <c r="D54" s="9"/>
      <c r="E54" s="9"/>
      <c r="F54" s="9"/>
      <c r="G54" s="9"/>
      <c r="H54" s="9"/>
      <c r="I54" s="10"/>
      <c r="J54" s="10"/>
    </row>
    <row r="55" spans="1:10" x14ac:dyDescent="0.25">
      <c r="C55" s="9"/>
      <c r="D55" s="9"/>
      <c r="E55" s="9"/>
      <c r="F55" s="9"/>
      <c r="G55" s="9"/>
      <c r="H55" s="9"/>
      <c r="I55" s="10"/>
      <c r="J55" s="10"/>
    </row>
    <row r="56" spans="1:10" x14ac:dyDescent="0.25">
      <c r="C56" s="9"/>
      <c r="D56" s="9"/>
      <c r="E56" s="9"/>
      <c r="F56" s="9"/>
      <c r="G56" s="9"/>
      <c r="H56" s="9"/>
      <c r="I56" s="10"/>
      <c r="J56" s="10"/>
    </row>
    <row r="57" spans="1:10" x14ac:dyDescent="0.25">
      <c r="A57" s="21" t="s">
        <v>68</v>
      </c>
      <c r="B57" s="21"/>
      <c r="C57" s="15" t="s">
        <v>2</v>
      </c>
      <c r="D57" s="15" t="s">
        <v>286</v>
      </c>
      <c r="E57" s="15" t="s">
        <v>70</v>
      </c>
      <c r="F57" s="15" t="s">
        <v>71</v>
      </c>
      <c r="G57" s="15" t="s">
        <v>72</v>
      </c>
      <c r="H57" s="14"/>
      <c r="I57" s="18"/>
      <c r="J57" s="18"/>
    </row>
    <row r="58" spans="1:10" x14ac:dyDescent="0.25">
      <c r="A58" s="20" t="s">
        <v>73</v>
      </c>
      <c r="B58" s="20"/>
      <c r="C58" s="17">
        <v>54.64</v>
      </c>
      <c r="D58" s="17">
        <v>109.82</v>
      </c>
      <c r="E58" s="17">
        <v>81.84</v>
      </c>
      <c r="F58" s="17">
        <v>48</v>
      </c>
      <c r="G58" s="17">
        <f>12/4*C58</f>
        <v>163.92000000000002</v>
      </c>
      <c r="H58" s="9"/>
      <c r="I58" s="10"/>
      <c r="J58" s="10"/>
    </row>
    <row r="59" spans="1:10" x14ac:dyDescent="0.25">
      <c r="A59" s="20" t="s">
        <v>74</v>
      </c>
      <c r="B59" s="20"/>
      <c r="C59" s="17">
        <v>19.2</v>
      </c>
      <c r="D59" s="17">
        <v>47.54</v>
      </c>
      <c r="E59" s="17">
        <v>55.63</v>
      </c>
      <c r="F59" s="17">
        <v>55.33</v>
      </c>
      <c r="G59" s="17">
        <f>12/4*C59</f>
        <v>57.599999999999994</v>
      </c>
      <c r="H59" s="9"/>
      <c r="I59" s="10"/>
      <c r="J59" s="10"/>
    </row>
    <row r="60" spans="1:10" x14ac:dyDescent="0.25">
      <c r="A60" s="20" t="s">
        <v>75</v>
      </c>
      <c r="B60" s="20"/>
      <c r="C60" s="17">
        <v>129.16</v>
      </c>
      <c r="D60" s="17">
        <v>281.44</v>
      </c>
      <c r="E60" s="17">
        <v>257.88</v>
      </c>
      <c r="F60" s="17">
        <v>242.78</v>
      </c>
      <c r="G60" s="17">
        <f>12/4*C60</f>
        <v>387.48</v>
      </c>
      <c r="H60" s="9"/>
      <c r="I60" s="10"/>
      <c r="J60" s="10"/>
    </row>
    <row r="61" spans="1:10" x14ac:dyDescent="0.25">
      <c r="A61" s="20" t="s">
        <v>76</v>
      </c>
      <c r="B61" s="20"/>
      <c r="C61" s="17">
        <v>65.040000000000006</v>
      </c>
      <c r="D61" s="17">
        <v>161.28</v>
      </c>
      <c r="E61" s="17">
        <v>103.14</v>
      </c>
      <c r="F61" s="17">
        <v>68.31</v>
      </c>
      <c r="G61" s="17">
        <f>12/4*C61</f>
        <v>195.12</v>
      </c>
      <c r="H61" s="9"/>
      <c r="I61" s="10"/>
      <c r="J61" s="10"/>
    </row>
    <row r="62" spans="1:10" x14ac:dyDescent="0.25">
      <c r="C62" s="9"/>
      <c r="D62" s="9"/>
      <c r="E62" s="9"/>
      <c r="F62" s="9"/>
      <c r="G62" s="9"/>
      <c r="H62" s="9"/>
      <c r="I62" s="10"/>
      <c r="J62" s="10"/>
    </row>
    <row r="63" spans="1:10" x14ac:dyDescent="0.25">
      <c r="C63" s="9"/>
      <c r="D63" s="9"/>
      <c r="E63" s="9"/>
      <c r="F63" s="9"/>
      <c r="G63" s="9"/>
      <c r="H63" s="9"/>
      <c r="I63" s="10"/>
      <c r="J63" s="10"/>
    </row>
    <row r="64" spans="1:10" x14ac:dyDescent="0.25">
      <c r="A64" s="19" t="s">
        <v>60</v>
      </c>
      <c r="B64" s="26"/>
      <c r="C64" s="9"/>
      <c r="D64" s="9"/>
      <c r="E64" s="9"/>
      <c r="F64" s="9"/>
      <c r="G64" s="9"/>
      <c r="H64" s="9"/>
      <c r="I64" s="10"/>
      <c r="J64" s="10"/>
    </row>
    <row r="65" spans="1:10" x14ac:dyDescent="0.25">
      <c r="A65" s="3" t="s">
        <v>77</v>
      </c>
      <c r="B65" s="1" t="s">
        <v>287</v>
      </c>
      <c r="C65" s="9"/>
      <c r="D65" s="9"/>
      <c r="E65" s="9"/>
      <c r="F65" s="9"/>
      <c r="G65" s="9"/>
      <c r="H65" s="9"/>
      <c r="I65" s="10"/>
      <c r="J65" s="10"/>
    </row>
    <row r="66" spans="1:10" x14ac:dyDescent="0.25">
      <c r="A66" s="3" t="s">
        <v>70</v>
      </c>
      <c r="B66" s="1" t="s">
        <v>79</v>
      </c>
      <c r="C66" s="9"/>
      <c r="D66" s="9"/>
      <c r="E66" s="9"/>
      <c r="F66" s="9"/>
      <c r="G66" s="9"/>
      <c r="H66" s="9"/>
      <c r="I66" s="10"/>
      <c r="J66" s="10"/>
    </row>
    <row r="67" spans="1:10" x14ac:dyDescent="0.25">
      <c r="A67" s="3" t="s">
        <v>71</v>
      </c>
      <c r="B67" s="1" t="s">
        <v>80</v>
      </c>
      <c r="C67" s="9"/>
      <c r="D67" s="9"/>
      <c r="E67" s="9"/>
      <c r="F67" s="9"/>
      <c r="G67" s="9"/>
      <c r="H67" s="9"/>
      <c r="I67" s="10"/>
      <c r="J67" s="10"/>
    </row>
    <row r="68" spans="1:10" x14ac:dyDescent="0.25">
      <c r="A68" s="3" t="s">
        <v>72</v>
      </c>
      <c r="B68" s="1" t="s">
        <v>81</v>
      </c>
      <c r="C68" s="9"/>
      <c r="D68" s="9"/>
      <c r="E68" s="9"/>
      <c r="F68" s="9"/>
      <c r="G68" s="9"/>
      <c r="H68" s="9"/>
      <c r="I68" s="10"/>
      <c r="J68" s="10"/>
    </row>
  </sheetData>
  <mergeCells count="19">
    <mergeCell ref="A59:B59"/>
    <mergeCell ref="A60:B60"/>
    <mergeCell ref="A61:B61"/>
    <mergeCell ref="A64:B64"/>
    <mergeCell ref="I52:I53"/>
    <mergeCell ref="J52:J53"/>
    <mergeCell ref="A53:B53"/>
    <mergeCell ref="A57:B57"/>
    <mergeCell ref="A58:B58"/>
    <mergeCell ref="A45:B45"/>
    <mergeCell ref="A46:B46"/>
    <mergeCell ref="A51:B51"/>
    <mergeCell ref="A52:B52"/>
    <mergeCell ref="H52:H53"/>
    <mergeCell ref="C7:G7"/>
    <mergeCell ref="A37:B37"/>
    <mergeCell ref="A38:B38"/>
    <mergeCell ref="A43:B43"/>
    <mergeCell ref="A44:B44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2:J74"/>
  <sheetViews>
    <sheetView workbookViewId="0">
      <selection activeCell="C9" sqref="C9:J74"/>
    </sheetView>
  </sheetViews>
  <sheetFormatPr defaultRowHeight="15" x14ac:dyDescent="0.25"/>
  <cols>
    <col min="1" max="1" width="38.85546875" bestFit="1" customWidth="1"/>
    <col min="2" max="2" width="79" bestFit="1" customWidth="1"/>
    <col min="3" max="3" width="14" bestFit="1" customWidth="1"/>
    <col min="4" max="4" width="30.5703125" bestFit="1" customWidth="1"/>
    <col min="5" max="5" width="16.42578125" bestFit="1" customWidth="1"/>
    <col min="6" max="6" width="10.5703125" bestFit="1" customWidth="1"/>
    <col min="7" max="7" width="68.28515625" bestFit="1" customWidth="1"/>
    <col min="8" max="9" width="20" bestFit="1" customWidth="1"/>
    <col min="10" max="10" width="30.5703125" bestFit="1" customWidth="1"/>
  </cols>
  <sheetData>
    <row r="2" spans="1:10" ht="18.75" x14ac:dyDescent="0.3">
      <c r="A2" s="3" t="s">
        <v>0</v>
      </c>
      <c r="B2" s="4" t="s">
        <v>288</v>
      </c>
    </row>
    <row r="3" spans="1:10" x14ac:dyDescent="0.25">
      <c r="A3" s="3" t="s">
        <v>2</v>
      </c>
      <c r="B3" s="1" t="s">
        <v>3</v>
      </c>
    </row>
    <row r="4" spans="1:10" x14ac:dyDescent="0.25">
      <c r="A4" s="3" t="s">
        <v>4</v>
      </c>
      <c r="B4" s="1">
        <v>2367</v>
      </c>
    </row>
    <row r="7" spans="1:10" x14ac:dyDescent="0.25">
      <c r="C7" s="19" t="s">
        <v>5</v>
      </c>
      <c r="D7" s="20"/>
      <c r="E7" s="20"/>
      <c r="F7" s="20"/>
      <c r="G7" s="20"/>
    </row>
    <row r="8" spans="1:10" x14ac:dyDescent="0.25">
      <c r="A8" s="3" t="s">
        <v>6</v>
      </c>
      <c r="B8" s="3" t="s">
        <v>7</v>
      </c>
      <c r="C8" s="3" t="s">
        <v>8</v>
      </c>
      <c r="D8" s="3" t="s">
        <v>9</v>
      </c>
      <c r="E8" s="3" t="s">
        <v>10</v>
      </c>
      <c r="F8" s="3" t="s">
        <v>11</v>
      </c>
      <c r="G8" s="3" t="s">
        <v>12</v>
      </c>
      <c r="H8" s="3" t="s">
        <v>13</v>
      </c>
      <c r="I8" s="3" t="s">
        <v>14</v>
      </c>
      <c r="J8" s="3" t="s">
        <v>15</v>
      </c>
    </row>
    <row r="9" spans="1:10" x14ac:dyDescent="0.25">
      <c r="A9" s="1" t="s">
        <v>16</v>
      </c>
      <c r="B9" s="1" t="s">
        <v>17</v>
      </c>
      <c r="C9" s="11"/>
      <c r="D9" s="11"/>
      <c r="E9" s="11">
        <v>60</v>
      </c>
      <c r="F9" s="11"/>
      <c r="G9" s="11">
        <f t="shared" ref="G9:G36" si="0">SUM(C9:F9)</f>
        <v>60</v>
      </c>
      <c r="H9" s="17">
        <f t="shared" ref="H9:H36" si="1">ROUND(G9/2367,2)</f>
        <v>0.03</v>
      </c>
      <c r="I9" s="16">
        <f t="shared" ref="I9:I36" si="2">ROUND(G9/$G$37,3)</f>
        <v>0</v>
      </c>
      <c r="J9" s="16">
        <f>ROUND(G9/15-1,2)</f>
        <v>3</v>
      </c>
    </row>
    <row r="10" spans="1:10" x14ac:dyDescent="0.25">
      <c r="A10" s="1" t="s">
        <v>16</v>
      </c>
      <c r="B10" s="1" t="s">
        <v>19</v>
      </c>
      <c r="C10" s="11">
        <v>20220</v>
      </c>
      <c r="D10" s="11"/>
      <c r="E10" s="11"/>
      <c r="F10" s="11"/>
      <c r="G10" s="11">
        <f t="shared" si="0"/>
        <v>20220</v>
      </c>
      <c r="H10" s="17">
        <f t="shared" si="1"/>
        <v>8.5399999999999991</v>
      </c>
      <c r="I10" s="16">
        <f t="shared" si="2"/>
        <v>0.08</v>
      </c>
      <c r="J10" s="16">
        <f>ROUND(G10/21180-1,2)</f>
        <v>-0.05</v>
      </c>
    </row>
    <row r="11" spans="1:10" x14ac:dyDescent="0.25">
      <c r="A11" s="1" t="s">
        <v>16</v>
      </c>
      <c r="B11" s="1" t="s">
        <v>20</v>
      </c>
      <c r="C11" s="11">
        <v>27360</v>
      </c>
      <c r="D11" s="11"/>
      <c r="E11" s="11"/>
      <c r="F11" s="11"/>
      <c r="G11" s="11">
        <f t="shared" si="0"/>
        <v>27360</v>
      </c>
      <c r="H11" s="17">
        <f t="shared" si="1"/>
        <v>11.56</v>
      </c>
      <c r="I11" s="16">
        <f t="shared" si="2"/>
        <v>0.108</v>
      </c>
      <c r="J11" s="16">
        <f>ROUND(G11/29420-1,2)</f>
        <v>-7.0000000000000007E-2</v>
      </c>
    </row>
    <row r="12" spans="1:10" x14ac:dyDescent="0.25">
      <c r="A12" s="1" t="s">
        <v>16</v>
      </c>
      <c r="B12" s="1" t="s">
        <v>94</v>
      </c>
      <c r="C12" s="11"/>
      <c r="D12" s="11"/>
      <c r="E12" s="11">
        <v>34</v>
      </c>
      <c r="F12" s="11"/>
      <c r="G12" s="11">
        <f t="shared" si="0"/>
        <v>34</v>
      </c>
      <c r="H12" s="17">
        <f t="shared" si="1"/>
        <v>0.01</v>
      </c>
      <c r="I12" s="16">
        <f t="shared" si="2"/>
        <v>0</v>
      </c>
      <c r="J12" s="16">
        <f>ROUND(G12/35-1,2)</f>
        <v>-0.03</v>
      </c>
    </row>
    <row r="13" spans="1:10" x14ac:dyDescent="0.25">
      <c r="A13" s="1" t="s">
        <v>16</v>
      </c>
      <c r="B13" s="1" t="s">
        <v>21</v>
      </c>
      <c r="C13" s="11"/>
      <c r="D13" s="11"/>
      <c r="E13" s="11">
        <v>111</v>
      </c>
      <c r="F13" s="11"/>
      <c r="G13" s="11">
        <f t="shared" si="0"/>
        <v>111</v>
      </c>
      <c r="H13" s="17">
        <f t="shared" si="1"/>
        <v>0.05</v>
      </c>
      <c r="I13" s="16">
        <f t="shared" si="2"/>
        <v>0</v>
      </c>
      <c r="J13" s="16">
        <f>ROUND(G13/84-1,2)</f>
        <v>0.32</v>
      </c>
    </row>
    <row r="14" spans="1:10" x14ac:dyDescent="0.25">
      <c r="A14" s="1" t="s">
        <v>16</v>
      </c>
      <c r="B14" s="1" t="s">
        <v>23</v>
      </c>
      <c r="C14" s="11"/>
      <c r="D14" s="11"/>
      <c r="E14" s="11">
        <v>13830</v>
      </c>
      <c r="F14" s="11"/>
      <c r="G14" s="11">
        <f t="shared" si="0"/>
        <v>13830</v>
      </c>
      <c r="H14" s="17">
        <f t="shared" si="1"/>
        <v>5.84</v>
      </c>
      <c r="I14" s="16">
        <f t="shared" si="2"/>
        <v>5.5E-2</v>
      </c>
      <c r="J14" s="16">
        <f>ROUND(G14/11860-1,2)</f>
        <v>0.17</v>
      </c>
    </row>
    <row r="15" spans="1:10" x14ac:dyDescent="0.25">
      <c r="A15" s="1" t="s">
        <v>16</v>
      </c>
      <c r="B15" s="1" t="s">
        <v>24</v>
      </c>
      <c r="C15" s="11">
        <v>33580</v>
      </c>
      <c r="D15" s="11"/>
      <c r="E15" s="11"/>
      <c r="F15" s="11"/>
      <c r="G15" s="11">
        <f t="shared" si="0"/>
        <v>33580</v>
      </c>
      <c r="H15" s="17">
        <f t="shared" si="1"/>
        <v>14.19</v>
      </c>
      <c r="I15" s="16">
        <f t="shared" si="2"/>
        <v>0.13300000000000001</v>
      </c>
      <c r="J15" s="16">
        <f>ROUND(G15/33690-1,2)</f>
        <v>0</v>
      </c>
    </row>
    <row r="16" spans="1:10" x14ac:dyDescent="0.25">
      <c r="A16" s="1" t="s">
        <v>16</v>
      </c>
      <c r="B16" s="1" t="s">
        <v>26</v>
      </c>
      <c r="C16" s="11">
        <v>52760</v>
      </c>
      <c r="D16" s="11"/>
      <c r="E16" s="11"/>
      <c r="F16" s="11"/>
      <c r="G16" s="11">
        <f t="shared" si="0"/>
        <v>52760</v>
      </c>
      <c r="H16" s="17">
        <f t="shared" si="1"/>
        <v>22.29</v>
      </c>
      <c r="I16" s="16">
        <f t="shared" si="2"/>
        <v>0.20899999999999999</v>
      </c>
      <c r="J16" s="16">
        <f>ROUND(G16/50060-1,2)</f>
        <v>0.05</v>
      </c>
    </row>
    <row r="17" spans="1:10" x14ac:dyDescent="0.25">
      <c r="A17" s="1" t="s">
        <v>16</v>
      </c>
      <c r="B17" s="1" t="s">
        <v>29</v>
      </c>
      <c r="C17" s="11"/>
      <c r="D17" s="11"/>
      <c r="E17" s="11">
        <v>290</v>
      </c>
      <c r="F17" s="11"/>
      <c r="G17" s="11">
        <f t="shared" si="0"/>
        <v>290</v>
      </c>
      <c r="H17" s="17">
        <f t="shared" si="1"/>
        <v>0.12</v>
      </c>
      <c r="I17" s="16">
        <f t="shared" si="2"/>
        <v>1E-3</v>
      </c>
      <c r="J17" s="16">
        <f>ROUND(G17/50-1,2)</f>
        <v>4.8</v>
      </c>
    </row>
    <row r="18" spans="1:10" x14ac:dyDescent="0.25">
      <c r="A18" s="1" t="s">
        <v>16</v>
      </c>
      <c r="B18" s="1" t="s">
        <v>31</v>
      </c>
      <c r="C18" s="11"/>
      <c r="D18" s="11"/>
      <c r="E18" s="11">
        <v>785</v>
      </c>
      <c r="F18" s="11"/>
      <c r="G18" s="11">
        <f t="shared" si="0"/>
        <v>785</v>
      </c>
      <c r="H18" s="17">
        <f t="shared" si="1"/>
        <v>0.33</v>
      </c>
      <c r="I18" s="16">
        <f t="shared" si="2"/>
        <v>3.0000000000000001E-3</v>
      </c>
      <c r="J18" s="16">
        <f>ROUND(G18/245-1,2)</f>
        <v>2.2000000000000002</v>
      </c>
    </row>
    <row r="19" spans="1:10" x14ac:dyDescent="0.25">
      <c r="A19" s="1" t="s">
        <v>16</v>
      </c>
      <c r="B19" s="1" t="s">
        <v>32</v>
      </c>
      <c r="C19" s="11"/>
      <c r="D19" s="11">
        <v>94</v>
      </c>
      <c r="E19" s="11"/>
      <c r="F19" s="11"/>
      <c r="G19" s="11">
        <f t="shared" si="0"/>
        <v>94</v>
      </c>
      <c r="H19" s="17">
        <f t="shared" si="1"/>
        <v>0.04</v>
      </c>
      <c r="I19" s="16">
        <f t="shared" si="2"/>
        <v>0</v>
      </c>
      <c r="J19" s="16">
        <f>ROUND(G19/78-1,2)</f>
        <v>0.21</v>
      </c>
    </row>
    <row r="20" spans="1:10" x14ac:dyDescent="0.25">
      <c r="A20" s="1" t="s">
        <v>16</v>
      </c>
      <c r="B20" s="1" t="s">
        <v>34</v>
      </c>
      <c r="C20" s="11"/>
      <c r="D20" s="11">
        <v>80</v>
      </c>
      <c r="E20" s="11"/>
      <c r="F20" s="11"/>
      <c r="G20" s="11">
        <f t="shared" si="0"/>
        <v>80</v>
      </c>
      <c r="H20" s="17">
        <f t="shared" si="1"/>
        <v>0.03</v>
      </c>
      <c r="I20" s="16">
        <f t="shared" si="2"/>
        <v>0</v>
      </c>
      <c r="J20" s="16">
        <f>ROUND(G20/150-1,2)</f>
        <v>-0.47</v>
      </c>
    </row>
    <row r="21" spans="1:10" x14ac:dyDescent="0.25">
      <c r="A21" s="1" t="s">
        <v>16</v>
      </c>
      <c r="B21" s="1" t="s">
        <v>35</v>
      </c>
      <c r="C21" s="11"/>
      <c r="D21" s="11"/>
      <c r="E21" s="11">
        <v>14840</v>
      </c>
      <c r="F21" s="11"/>
      <c r="G21" s="11">
        <f t="shared" si="0"/>
        <v>14840</v>
      </c>
      <c r="H21" s="17">
        <f t="shared" si="1"/>
        <v>6.27</v>
      </c>
      <c r="I21" s="16">
        <f t="shared" si="2"/>
        <v>5.8999999999999997E-2</v>
      </c>
      <c r="J21" s="16">
        <f>ROUND(G21/15445-1,2)</f>
        <v>-0.04</v>
      </c>
    </row>
    <row r="22" spans="1:10" x14ac:dyDescent="0.25">
      <c r="A22" s="1" t="s">
        <v>16</v>
      </c>
      <c r="B22" s="1" t="s">
        <v>37</v>
      </c>
      <c r="C22" s="11"/>
      <c r="D22" s="11"/>
      <c r="E22" s="11">
        <v>6120</v>
      </c>
      <c r="F22" s="11"/>
      <c r="G22" s="11">
        <f t="shared" si="0"/>
        <v>6120</v>
      </c>
      <c r="H22" s="17">
        <f t="shared" si="1"/>
        <v>2.59</v>
      </c>
      <c r="I22" s="16">
        <f t="shared" si="2"/>
        <v>2.4E-2</v>
      </c>
      <c r="J22" s="16">
        <f>ROUND(G22/5720-1,2)</f>
        <v>7.0000000000000007E-2</v>
      </c>
    </row>
    <row r="23" spans="1:10" x14ac:dyDescent="0.25">
      <c r="A23" s="1" t="s">
        <v>16</v>
      </c>
      <c r="B23" s="1" t="s">
        <v>38</v>
      </c>
      <c r="C23" s="11"/>
      <c r="D23" s="11"/>
      <c r="E23" s="11">
        <v>17820</v>
      </c>
      <c r="F23" s="11"/>
      <c r="G23" s="11">
        <f t="shared" si="0"/>
        <v>17820</v>
      </c>
      <c r="H23" s="17">
        <f t="shared" si="1"/>
        <v>7.53</v>
      </c>
      <c r="I23" s="16">
        <f t="shared" si="2"/>
        <v>7.0000000000000007E-2</v>
      </c>
      <c r="J23" s="16">
        <f>ROUND(G23/24300-1,2)</f>
        <v>-0.27</v>
      </c>
    </row>
    <row r="24" spans="1:10" x14ac:dyDescent="0.25">
      <c r="A24" s="1" t="s">
        <v>16</v>
      </c>
      <c r="B24" s="1" t="s">
        <v>25</v>
      </c>
      <c r="C24" s="11"/>
      <c r="D24" s="11"/>
      <c r="E24" s="11"/>
      <c r="F24" s="11"/>
      <c r="G24" s="11">
        <f t="shared" si="0"/>
        <v>0</v>
      </c>
      <c r="H24" s="17">
        <f t="shared" si="1"/>
        <v>0</v>
      </c>
      <c r="I24" s="16">
        <f t="shared" si="2"/>
        <v>0</v>
      </c>
      <c r="J24" s="16">
        <f>ROUND(G24/1420-1,2)</f>
        <v>-1</v>
      </c>
    </row>
    <row r="25" spans="1:10" x14ac:dyDescent="0.25">
      <c r="A25" s="1" t="s">
        <v>16</v>
      </c>
      <c r="B25" s="1" t="s">
        <v>40</v>
      </c>
      <c r="C25" s="11"/>
      <c r="D25" s="11"/>
      <c r="E25" s="11"/>
      <c r="F25" s="11"/>
      <c r="G25" s="11">
        <f t="shared" si="0"/>
        <v>0</v>
      </c>
      <c r="H25" s="17">
        <f t="shared" si="1"/>
        <v>0</v>
      </c>
      <c r="I25" s="16">
        <f t="shared" si="2"/>
        <v>0</v>
      </c>
      <c r="J25" s="16">
        <f>ROUND(G25/1038-1,2)</f>
        <v>-1</v>
      </c>
    </row>
    <row r="26" spans="1:10" x14ac:dyDescent="0.25">
      <c r="A26" s="1" t="s">
        <v>16</v>
      </c>
      <c r="B26" s="1" t="s">
        <v>41</v>
      </c>
      <c r="C26" s="11"/>
      <c r="D26" s="11"/>
      <c r="E26" s="11"/>
      <c r="F26" s="11"/>
      <c r="G26" s="11">
        <f t="shared" si="0"/>
        <v>0</v>
      </c>
      <c r="H26" s="17">
        <f t="shared" si="1"/>
        <v>0</v>
      </c>
      <c r="I26" s="16">
        <f t="shared" si="2"/>
        <v>0</v>
      </c>
      <c r="J26" s="16">
        <f>ROUND(G26/511-1,2)</f>
        <v>-1</v>
      </c>
    </row>
    <row r="27" spans="1:10" x14ac:dyDescent="0.25">
      <c r="A27" s="1" t="s">
        <v>16</v>
      </c>
      <c r="B27" s="1" t="s">
        <v>43</v>
      </c>
      <c r="C27" s="11"/>
      <c r="D27" s="11"/>
      <c r="E27" s="11"/>
      <c r="F27" s="11"/>
      <c r="G27" s="11">
        <f t="shared" si="0"/>
        <v>0</v>
      </c>
      <c r="H27" s="17">
        <f t="shared" si="1"/>
        <v>0</v>
      </c>
      <c r="I27" s="16">
        <f t="shared" si="2"/>
        <v>0</v>
      </c>
      <c r="J27" s="16">
        <f>ROUND(G27/607-1,2)</f>
        <v>-1</v>
      </c>
    </row>
    <row r="28" spans="1:10" x14ac:dyDescent="0.25">
      <c r="A28" s="1" t="s">
        <v>16</v>
      </c>
      <c r="B28" s="1" t="s">
        <v>42</v>
      </c>
      <c r="C28" s="11"/>
      <c r="D28" s="11"/>
      <c r="E28" s="11"/>
      <c r="F28" s="11"/>
      <c r="G28" s="11">
        <f t="shared" si="0"/>
        <v>0</v>
      </c>
      <c r="H28" s="17">
        <f t="shared" si="1"/>
        <v>0</v>
      </c>
      <c r="I28" s="16">
        <f t="shared" si="2"/>
        <v>0</v>
      </c>
      <c r="J28" s="16">
        <f>ROUND(G28/2224-1,2)</f>
        <v>-1</v>
      </c>
    </row>
    <row r="29" spans="1:10" x14ac:dyDescent="0.25">
      <c r="A29" s="1" t="s">
        <v>16</v>
      </c>
      <c r="B29" s="1" t="s">
        <v>39</v>
      </c>
      <c r="C29" s="11"/>
      <c r="D29" s="11"/>
      <c r="E29" s="11"/>
      <c r="F29" s="11"/>
      <c r="G29" s="11">
        <f t="shared" si="0"/>
        <v>0</v>
      </c>
      <c r="H29" s="17">
        <f t="shared" si="1"/>
        <v>0</v>
      </c>
      <c r="I29" s="16">
        <f t="shared" si="2"/>
        <v>0</v>
      </c>
      <c r="J29" s="16"/>
    </row>
    <row r="30" spans="1:10" x14ac:dyDescent="0.25">
      <c r="A30" s="1" t="s">
        <v>16</v>
      </c>
      <c r="B30" s="1" t="s">
        <v>22</v>
      </c>
      <c r="C30" s="11"/>
      <c r="D30" s="11"/>
      <c r="E30" s="11"/>
      <c r="F30" s="11"/>
      <c r="G30" s="11">
        <f t="shared" si="0"/>
        <v>0</v>
      </c>
      <c r="H30" s="17">
        <f t="shared" si="1"/>
        <v>0</v>
      </c>
      <c r="I30" s="16">
        <f t="shared" si="2"/>
        <v>0</v>
      </c>
      <c r="J30" s="16"/>
    </row>
    <row r="31" spans="1:10" x14ac:dyDescent="0.25">
      <c r="A31" s="1" t="s">
        <v>16</v>
      </c>
      <c r="B31" s="1" t="s">
        <v>33</v>
      </c>
      <c r="C31" s="11"/>
      <c r="D31" s="11"/>
      <c r="E31" s="11"/>
      <c r="F31" s="11"/>
      <c r="G31" s="11">
        <f t="shared" si="0"/>
        <v>0</v>
      </c>
      <c r="H31" s="17">
        <f t="shared" si="1"/>
        <v>0</v>
      </c>
      <c r="I31" s="16">
        <f t="shared" si="2"/>
        <v>0</v>
      </c>
      <c r="J31" s="16"/>
    </row>
    <row r="32" spans="1:10" x14ac:dyDescent="0.25">
      <c r="A32" s="1" t="s">
        <v>16</v>
      </c>
      <c r="B32" s="1" t="s">
        <v>95</v>
      </c>
      <c r="C32" s="11"/>
      <c r="D32" s="11"/>
      <c r="E32" s="11"/>
      <c r="F32" s="11"/>
      <c r="G32" s="11">
        <f t="shared" si="0"/>
        <v>0</v>
      </c>
      <c r="H32" s="17">
        <f t="shared" si="1"/>
        <v>0</v>
      </c>
      <c r="I32" s="16">
        <f t="shared" si="2"/>
        <v>0</v>
      </c>
      <c r="J32" s="16"/>
    </row>
    <row r="33" spans="1:10" x14ac:dyDescent="0.25">
      <c r="A33" s="1" t="s">
        <v>44</v>
      </c>
      <c r="B33" s="1" t="s">
        <v>45</v>
      </c>
      <c r="C33" s="11">
        <v>52180</v>
      </c>
      <c r="D33" s="11"/>
      <c r="E33" s="11"/>
      <c r="F33" s="11"/>
      <c r="G33" s="11">
        <f t="shared" si="0"/>
        <v>52180</v>
      </c>
      <c r="H33" s="17">
        <f t="shared" si="1"/>
        <v>22.04</v>
      </c>
      <c r="I33" s="16">
        <f t="shared" si="2"/>
        <v>0.20599999999999999</v>
      </c>
      <c r="J33" s="16">
        <f>ROUND(G33/48990-1,2)</f>
        <v>7.0000000000000007E-2</v>
      </c>
    </row>
    <row r="34" spans="1:10" x14ac:dyDescent="0.25">
      <c r="A34" s="1" t="s">
        <v>44</v>
      </c>
      <c r="B34" s="1" t="s">
        <v>46</v>
      </c>
      <c r="C34" s="11"/>
      <c r="D34" s="11"/>
      <c r="E34" s="11">
        <v>12760</v>
      </c>
      <c r="F34" s="11"/>
      <c r="G34" s="11">
        <f t="shared" si="0"/>
        <v>12760</v>
      </c>
      <c r="H34" s="17">
        <f t="shared" si="1"/>
        <v>5.39</v>
      </c>
      <c r="I34" s="16">
        <f t="shared" si="2"/>
        <v>0.05</v>
      </c>
      <c r="J34" s="16">
        <f>ROUND(G34/7220-1,2)</f>
        <v>0.77</v>
      </c>
    </row>
    <row r="35" spans="1:10" x14ac:dyDescent="0.25">
      <c r="A35" s="1" t="s">
        <v>44</v>
      </c>
      <c r="B35" s="1" t="s">
        <v>47</v>
      </c>
      <c r="C35" s="11"/>
      <c r="D35" s="11"/>
      <c r="E35" s="11"/>
      <c r="F35" s="11"/>
      <c r="G35" s="11">
        <f t="shared" si="0"/>
        <v>0</v>
      </c>
      <c r="H35" s="17">
        <f t="shared" si="1"/>
        <v>0</v>
      </c>
      <c r="I35" s="16">
        <f t="shared" si="2"/>
        <v>0</v>
      </c>
      <c r="J35" s="16"/>
    </row>
    <row r="36" spans="1:10" x14ac:dyDescent="0.25">
      <c r="A36" s="1" t="s">
        <v>48</v>
      </c>
      <c r="B36" s="1" t="s">
        <v>51</v>
      </c>
      <c r="C36" s="11"/>
      <c r="D36" s="11"/>
      <c r="E36" s="11"/>
      <c r="F36" s="11"/>
      <c r="G36" s="11">
        <f t="shared" si="0"/>
        <v>0</v>
      </c>
      <c r="H36" s="17">
        <f t="shared" si="1"/>
        <v>0</v>
      </c>
      <c r="I36" s="16">
        <f t="shared" si="2"/>
        <v>0</v>
      </c>
      <c r="J36" s="16"/>
    </row>
    <row r="37" spans="1:10" x14ac:dyDescent="0.25">
      <c r="A37" s="21" t="s">
        <v>12</v>
      </c>
      <c r="B37" s="21"/>
      <c r="C37" s="12">
        <f t="shared" ref="C37:H37" si="3">SUM(C8:C36)</f>
        <v>186100</v>
      </c>
      <c r="D37" s="12">
        <f t="shared" si="3"/>
        <v>174</v>
      </c>
      <c r="E37" s="12">
        <f t="shared" si="3"/>
        <v>66650</v>
      </c>
      <c r="F37" s="12">
        <f t="shared" si="3"/>
        <v>0</v>
      </c>
      <c r="G37" s="12">
        <f t="shared" si="3"/>
        <v>252924</v>
      </c>
      <c r="H37" s="15">
        <f t="shared" si="3"/>
        <v>106.85000000000001</v>
      </c>
      <c r="I37" s="18"/>
      <c r="J37" s="18"/>
    </row>
    <row r="38" spans="1:10" x14ac:dyDescent="0.25">
      <c r="A38" s="21" t="s">
        <v>14</v>
      </c>
      <c r="B38" s="21"/>
      <c r="C38" s="13">
        <f>ROUND(C37/G37,2)</f>
        <v>0.74</v>
      </c>
      <c r="D38" s="13">
        <f>ROUND(D37/G37,2)</f>
        <v>0</v>
      </c>
      <c r="E38" s="13">
        <f>ROUND(E37/G37,2)</f>
        <v>0.26</v>
      </c>
      <c r="F38" s="13">
        <f>ROUND(F37/G37,2)</f>
        <v>0</v>
      </c>
      <c r="G38" s="14"/>
      <c r="H38" s="14"/>
      <c r="I38" s="18"/>
      <c r="J38" s="18"/>
    </row>
    <row r="39" spans="1:10" x14ac:dyDescent="0.25">
      <c r="A39" s="2" t="s">
        <v>52</v>
      </c>
      <c r="B39" s="2"/>
      <c r="C39" s="14"/>
      <c r="D39" s="14"/>
      <c r="E39" s="14"/>
      <c r="F39" s="14"/>
      <c r="G39" s="14"/>
      <c r="H39" s="14"/>
      <c r="I39" s="18"/>
      <c r="J39" s="18"/>
    </row>
    <row r="40" spans="1:10" x14ac:dyDescent="0.25">
      <c r="C40" s="9"/>
      <c r="D40" s="9"/>
      <c r="E40" s="9"/>
      <c r="F40" s="9"/>
      <c r="G40" s="9"/>
      <c r="H40" s="9"/>
      <c r="I40" s="10"/>
      <c r="J40" s="10"/>
    </row>
    <row r="41" spans="1:10" x14ac:dyDescent="0.25">
      <c r="C41" s="9"/>
      <c r="D41" s="9"/>
      <c r="E41" s="9"/>
      <c r="F41" s="9"/>
      <c r="G41" s="9"/>
      <c r="H41" s="9"/>
      <c r="I41" s="10"/>
      <c r="J41" s="10"/>
    </row>
    <row r="42" spans="1:10" x14ac:dyDescent="0.25">
      <c r="C42" s="9"/>
      <c r="D42" s="9"/>
      <c r="E42" s="9"/>
      <c r="F42" s="9"/>
      <c r="G42" s="9"/>
      <c r="H42" s="9"/>
      <c r="I42" s="10"/>
      <c r="J42" s="10"/>
    </row>
    <row r="43" spans="1:10" x14ac:dyDescent="0.25">
      <c r="A43" s="21" t="s">
        <v>53</v>
      </c>
      <c r="B43" s="21"/>
      <c r="C43" s="12" t="s">
        <v>8</v>
      </c>
      <c r="D43" s="12" t="s">
        <v>9</v>
      </c>
      <c r="E43" s="12" t="s">
        <v>10</v>
      </c>
      <c r="F43" s="12" t="s">
        <v>11</v>
      </c>
      <c r="G43" s="12" t="s">
        <v>12</v>
      </c>
      <c r="H43" s="15" t="s">
        <v>13</v>
      </c>
      <c r="I43" s="18"/>
      <c r="J43" s="18"/>
    </row>
    <row r="44" spans="1:10" x14ac:dyDescent="0.25">
      <c r="A44" s="20" t="s">
        <v>54</v>
      </c>
      <c r="B44" s="20"/>
      <c r="C44" s="11">
        <v>133920</v>
      </c>
      <c r="D44" s="11">
        <v>174</v>
      </c>
      <c r="E44" s="11">
        <v>53890</v>
      </c>
      <c r="F44" s="11">
        <v>0</v>
      </c>
      <c r="G44" s="11">
        <f>SUM(C44:F44)</f>
        <v>187984</v>
      </c>
      <c r="H44" s="17">
        <f>ROUND(G44/2367,2)</f>
        <v>79.42</v>
      </c>
      <c r="I44" s="10"/>
      <c r="J44" s="10"/>
    </row>
    <row r="45" spans="1:10" x14ac:dyDescent="0.25">
      <c r="A45" s="20" t="s">
        <v>55</v>
      </c>
      <c r="B45" s="20"/>
      <c r="C45" s="11">
        <v>52180</v>
      </c>
      <c r="D45" s="11">
        <v>0</v>
      </c>
      <c r="E45" s="11">
        <v>12760</v>
      </c>
      <c r="F45" s="11">
        <v>0</v>
      </c>
      <c r="G45" s="11">
        <f>SUM(C45:F45)</f>
        <v>64940</v>
      </c>
      <c r="H45" s="17">
        <f>ROUND(G45/2367,2)</f>
        <v>27.44</v>
      </c>
      <c r="I45" s="10"/>
      <c r="J45" s="10"/>
    </row>
    <row r="46" spans="1:10" x14ac:dyDescent="0.25">
      <c r="A46" s="20" t="s">
        <v>56</v>
      </c>
      <c r="B46" s="20"/>
      <c r="C46" s="11">
        <v>0</v>
      </c>
      <c r="D46" s="11">
        <v>0</v>
      </c>
      <c r="E46" s="11">
        <v>0</v>
      </c>
      <c r="F46" s="11">
        <v>0</v>
      </c>
      <c r="G46" s="11">
        <f>SUM(C46:F46)</f>
        <v>0</v>
      </c>
      <c r="H46" s="17">
        <f>ROUND(G46/2367,2)</f>
        <v>0</v>
      </c>
      <c r="I46" s="10"/>
      <c r="J46" s="10"/>
    </row>
    <row r="47" spans="1:10" x14ac:dyDescent="0.25">
      <c r="C47" s="9"/>
      <c r="D47" s="9"/>
      <c r="E47" s="9"/>
      <c r="F47" s="9"/>
      <c r="G47" s="9"/>
      <c r="H47" s="9"/>
      <c r="I47" s="10"/>
      <c r="J47" s="10"/>
    </row>
    <row r="48" spans="1:10" x14ac:dyDescent="0.25">
      <c r="C48" s="9"/>
      <c r="D48" s="9"/>
      <c r="E48" s="9"/>
      <c r="F48" s="9"/>
      <c r="G48" s="9"/>
      <c r="H48" s="9"/>
      <c r="I48" s="10"/>
      <c r="J48" s="10"/>
    </row>
    <row r="49" spans="1:10" x14ac:dyDescent="0.25">
      <c r="C49" s="9"/>
      <c r="D49" s="9"/>
      <c r="E49" s="9"/>
      <c r="F49" s="9"/>
      <c r="G49" s="9"/>
      <c r="H49" s="9"/>
      <c r="I49" s="10"/>
      <c r="J49" s="10"/>
    </row>
    <row r="50" spans="1:10" x14ac:dyDescent="0.25">
      <c r="C50" s="9"/>
      <c r="D50" s="9"/>
      <c r="E50" s="9"/>
      <c r="F50" s="9"/>
      <c r="G50" s="9"/>
      <c r="H50" s="9"/>
      <c r="I50" s="10"/>
      <c r="J50" s="10"/>
    </row>
    <row r="51" spans="1:10" x14ac:dyDescent="0.25">
      <c r="A51" s="21" t="s">
        <v>57</v>
      </c>
      <c r="B51" s="21"/>
      <c r="C51" s="15" t="s">
        <v>2</v>
      </c>
      <c r="D51" s="15">
        <v>2023</v>
      </c>
      <c r="E51" s="15" t="s">
        <v>59</v>
      </c>
      <c r="F51" s="14"/>
      <c r="G51" s="15" t="s">
        <v>60</v>
      </c>
      <c r="H51" s="15" t="s">
        <v>2</v>
      </c>
      <c r="I51" s="13" t="s">
        <v>61</v>
      </c>
      <c r="J51" s="13" t="s">
        <v>59</v>
      </c>
    </row>
    <row r="52" spans="1:10" x14ac:dyDescent="0.25">
      <c r="A52" s="20" t="s">
        <v>58</v>
      </c>
      <c r="B52" s="20"/>
      <c r="C52" s="16">
        <f>ROUND(0.7818, 4)</f>
        <v>0.78180000000000005</v>
      </c>
      <c r="D52" s="16">
        <f>ROUND(0.79, 4)</f>
        <v>0.79</v>
      </c>
      <c r="E52" s="16">
        <f>ROUND(0.777, 4)</f>
        <v>0.77700000000000002</v>
      </c>
      <c r="F52" s="9"/>
      <c r="G52" s="15" t="s">
        <v>62</v>
      </c>
      <c r="H52" s="22" t="s">
        <v>63</v>
      </c>
      <c r="I52" s="24" t="s">
        <v>64</v>
      </c>
      <c r="J52" s="24" t="s">
        <v>65</v>
      </c>
    </row>
    <row r="53" spans="1:10" x14ac:dyDescent="0.25">
      <c r="A53" s="20" t="s">
        <v>66</v>
      </c>
      <c r="B53" s="20"/>
      <c r="C53" s="16">
        <f>ROUND(0.7709, 4)</f>
        <v>0.77090000000000003</v>
      </c>
      <c r="D53" s="16">
        <f>ROUND(0.7777, 4)</f>
        <v>0.77769999999999995</v>
      </c>
      <c r="E53" s="16">
        <f>ROUND(0.7608, 4)</f>
        <v>0.76080000000000003</v>
      </c>
      <c r="F53" s="9"/>
      <c r="G53" s="15" t="s">
        <v>67</v>
      </c>
      <c r="H53" s="23"/>
      <c r="I53" s="25"/>
      <c r="J53" s="25"/>
    </row>
    <row r="54" spans="1:10" x14ac:dyDescent="0.25">
      <c r="C54" s="9"/>
      <c r="D54" s="9"/>
      <c r="E54" s="9"/>
      <c r="F54" s="9"/>
      <c r="G54" s="9"/>
      <c r="H54" s="9"/>
      <c r="I54" s="10"/>
      <c r="J54" s="10"/>
    </row>
    <row r="55" spans="1:10" x14ac:dyDescent="0.25">
      <c r="C55" s="9"/>
      <c r="D55" s="9"/>
      <c r="E55" s="9"/>
      <c r="F55" s="9"/>
      <c r="G55" s="9"/>
      <c r="H55" s="9"/>
      <c r="I55" s="10"/>
      <c r="J55" s="10"/>
    </row>
    <row r="56" spans="1:10" x14ac:dyDescent="0.25">
      <c r="C56" s="9"/>
      <c r="D56" s="9"/>
      <c r="E56" s="9"/>
      <c r="F56" s="9"/>
      <c r="G56" s="9"/>
      <c r="H56" s="9"/>
      <c r="I56" s="10"/>
      <c r="J56" s="10"/>
    </row>
    <row r="57" spans="1:10" x14ac:dyDescent="0.25">
      <c r="A57" s="21" t="s">
        <v>68</v>
      </c>
      <c r="B57" s="21"/>
      <c r="C57" s="15" t="s">
        <v>2</v>
      </c>
      <c r="D57" s="15" t="s">
        <v>289</v>
      </c>
      <c r="E57" s="15" t="s">
        <v>70</v>
      </c>
      <c r="F57" s="15" t="s">
        <v>71</v>
      </c>
      <c r="G57" s="15" t="s">
        <v>72</v>
      </c>
      <c r="H57" s="14"/>
      <c r="I57" s="18"/>
      <c r="J57" s="18"/>
    </row>
    <row r="58" spans="1:10" x14ac:dyDescent="0.25">
      <c r="A58" s="20" t="s">
        <v>73</v>
      </c>
      <c r="B58" s="20"/>
      <c r="C58" s="17">
        <v>22.04</v>
      </c>
      <c r="D58" s="17">
        <v>59.29</v>
      </c>
      <c r="E58" s="17">
        <v>81.84</v>
      </c>
      <c r="F58" s="17">
        <v>48</v>
      </c>
      <c r="G58" s="17">
        <f>12/4*C58</f>
        <v>66.12</v>
      </c>
      <c r="H58" s="9"/>
      <c r="I58" s="10"/>
      <c r="J58" s="10"/>
    </row>
    <row r="59" spans="1:10" x14ac:dyDescent="0.25">
      <c r="A59" s="20" t="s">
        <v>74</v>
      </c>
      <c r="B59" s="20"/>
      <c r="C59" s="17">
        <v>22.29</v>
      </c>
      <c r="D59" s="17">
        <v>55.98</v>
      </c>
      <c r="E59" s="17">
        <v>55.63</v>
      </c>
      <c r="F59" s="17">
        <v>55.33</v>
      </c>
      <c r="G59" s="17">
        <f>12/4*C59</f>
        <v>66.87</v>
      </c>
      <c r="H59" s="9"/>
      <c r="I59" s="10"/>
      <c r="J59" s="10"/>
    </row>
    <row r="60" spans="1:10" x14ac:dyDescent="0.25">
      <c r="A60" s="20" t="s">
        <v>75</v>
      </c>
      <c r="B60" s="20"/>
      <c r="C60" s="17">
        <v>79.42</v>
      </c>
      <c r="D60" s="17">
        <v>229.7</v>
      </c>
      <c r="E60" s="17">
        <v>257.88</v>
      </c>
      <c r="F60" s="17">
        <v>242.78</v>
      </c>
      <c r="G60" s="17">
        <f>12/4*C60</f>
        <v>238.26</v>
      </c>
      <c r="H60" s="9"/>
      <c r="I60" s="10"/>
      <c r="J60" s="10"/>
    </row>
    <row r="61" spans="1:10" x14ac:dyDescent="0.25">
      <c r="A61" s="20" t="s">
        <v>76</v>
      </c>
      <c r="B61" s="20"/>
      <c r="C61" s="17">
        <v>27.44</v>
      </c>
      <c r="D61" s="17">
        <v>74.78</v>
      </c>
      <c r="E61" s="17">
        <v>103.14</v>
      </c>
      <c r="F61" s="17">
        <v>68.31</v>
      </c>
      <c r="G61" s="17">
        <f>12/4*C61</f>
        <v>82.320000000000007</v>
      </c>
      <c r="H61" s="9"/>
      <c r="I61" s="10"/>
      <c r="J61" s="10"/>
    </row>
    <row r="62" spans="1:10" x14ac:dyDescent="0.25">
      <c r="C62" s="9"/>
      <c r="D62" s="9"/>
      <c r="E62" s="9"/>
      <c r="F62" s="9"/>
      <c r="G62" s="9"/>
      <c r="H62" s="9"/>
      <c r="I62" s="10"/>
      <c r="J62" s="10"/>
    </row>
    <row r="63" spans="1:10" x14ac:dyDescent="0.25">
      <c r="C63" s="9"/>
      <c r="D63" s="9"/>
      <c r="E63" s="9"/>
      <c r="F63" s="9"/>
      <c r="G63" s="9"/>
      <c r="H63" s="9"/>
      <c r="I63" s="10"/>
      <c r="J63" s="10"/>
    </row>
    <row r="64" spans="1:10" x14ac:dyDescent="0.25">
      <c r="A64" s="19" t="s">
        <v>60</v>
      </c>
      <c r="B64" s="26"/>
      <c r="C64" s="9"/>
      <c r="D64" s="9"/>
      <c r="E64" s="9"/>
      <c r="F64" s="9"/>
      <c r="G64" s="9"/>
      <c r="H64" s="9"/>
      <c r="I64" s="10"/>
      <c r="J64" s="10"/>
    </row>
    <row r="65" spans="1:10" x14ac:dyDescent="0.25">
      <c r="A65" s="3" t="s">
        <v>77</v>
      </c>
      <c r="B65" s="1" t="s">
        <v>290</v>
      </c>
      <c r="C65" s="9"/>
      <c r="D65" s="9"/>
      <c r="E65" s="9"/>
      <c r="F65" s="9"/>
      <c r="G65" s="9"/>
      <c r="H65" s="9"/>
      <c r="I65" s="10"/>
      <c r="J65" s="10"/>
    </row>
    <row r="66" spans="1:10" x14ac:dyDescent="0.25">
      <c r="A66" s="3" t="s">
        <v>70</v>
      </c>
      <c r="B66" s="1" t="s">
        <v>79</v>
      </c>
      <c r="C66" s="9"/>
      <c r="D66" s="9"/>
      <c r="E66" s="9"/>
      <c r="F66" s="9"/>
      <c r="G66" s="9"/>
      <c r="H66" s="9"/>
      <c r="I66" s="10"/>
      <c r="J66" s="10"/>
    </row>
    <row r="67" spans="1:10" x14ac:dyDescent="0.25">
      <c r="A67" s="3" t="s">
        <v>71</v>
      </c>
      <c r="B67" s="1" t="s">
        <v>80</v>
      </c>
      <c r="C67" s="9"/>
      <c r="D67" s="9"/>
      <c r="E67" s="9"/>
      <c r="F67" s="9"/>
      <c r="G67" s="9"/>
      <c r="H67" s="9"/>
      <c r="I67" s="10"/>
      <c r="J67" s="10"/>
    </row>
    <row r="68" spans="1:10" x14ac:dyDescent="0.25">
      <c r="A68" s="3" t="s">
        <v>72</v>
      </c>
      <c r="B68" s="1" t="s">
        <v>81</v>
      </c>
      <c r="C68" s="9"/>
      <c r="D68" s="9"/>
      <c r="E68" s="9"/>
      <c r="F68" s="9"/>
      <c r="G68" s="9"/>
      <c r="H68" s="9"/>
      <c r="I68" s="10"/>
      <c r="J68" s="10"/>
    </row>
    <row r="69" spans="1:10" x14ac:dyDescent="0.25">
      <c r="C69" s="9"/>
      <c r="D69" s="9"/>
      <c r="E69" s="9"/>
      <c r="F69" s="9"/>
      <c r="G69" s="9"/>
      <c r="H69" s="9"/>
      <c r="I69" s="10"/>
      <c r="J69" s="10"/>
    </row>
    <row r="70" spans="1:10" x14ac:dyDescent="0.25">
      <c r="C70" s="9"/>
      <c r="D70" s="9"/>
      <c r="E70" s="9"/>
      <c r="F70" s="9"/>
      <c r="G70" s="9"/>
      <c r="H70" s="9"/>
      <c r="I70" s="10"/>
      <c r="J70" s="10"/>
    </row>
    <row r="71" spans="1:10" x14ac:dyDescent="0.25">
      <c r="C71" s="9"/>
      <c r="D71" s="9"/>
      <c r="E71" s="9"/>
      <c r="F71" s="9"/>
      <c r="G71" s="9"/>
      <c r="H71" s="9"/>
      <c r="I71" s="10"/>
      <c r="J71" s="10"/>
    </row>
    <row r="72" spans="1:10" x14ac:dyDescent="0.25">
      <c r="C72" s="9"/>
      <c r="D72" s="9"/>
      <c r="E72" s="9"/>
      <c r="F72" s="9"/>
      <c r="G72" s="9"/>
      <c r="H72" s="9"/>
      <c r="I72" s="10"/>
      <c r="J72" s="10"/>
    </row>
    <row r="73" spans="1:10" x14ac:dyDescent="0.25">
      <c r="C73" s="9"/>
      <c r="D73" s="9"/>
      <c r="E73" s="9"/>
      <c r="F73" s="9"/>
      <c r="G73" s="9"/>
      <c r="H73" s="9"/>
      <c r="I73" s="10"/>
      <c r="J73" s="10"/>
    </row>
    <row r="74" spans="1:10" x14ac:dyDescent="0.25">
      <c r="C74" s="9"/>
      <c r="D74" s="9"/>
      <c r="E74" s="9"/>
      <c r="F74" s="9"/>
      <c r="G74" s="9"/>
      <c r="H74" s="9"/>
      <c r="I74" s="10"/>
      <c r="J74" s="10"/>
    </row>
  </sheetData>
  <mergeCells count="19">
    <mergeCell ref="A59:B59"/>
    <mergeCell ref="A60:B60"/>
    <mergeCell ref="A61:B61"/>
    <mergeCell ref="A64:B64"/>
    <mergeCell ref="I52:I53"/>
    <mergeCell ref="J52:J53"/>
    <mergeCell ref="A53:B53"/>
    <mergeCell ref="A57:B57"/>
    <mergeCell ref="A58:B58"/>
    <mergeCell ref="A45:B45"/>
    <mergeCell ref="A46:B46"/>
    <mergeCell ref="A51:B51"/>
    <mergeCell ref="A52:B52"/>
    <mergeCell ref="H52:H53"/>
    <mergeCell ref="C7:G7"/>
    <mergeCell ref="A37:B37"/>
    <mergeCell ref="A38:B38"/>
    <mergeCell ref="A43:B43"/>
    <mergeCell ref="A44:B4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J72"/>
  <sheetViews>
    <sheetView workbookViewId="0">
      <selection activeCell="C9" sqref="C9:J71"/>
    </sheetView>
  </sheetViews>
  <sheetFormatPr defaultRowHeight="15" x14ac:dyDescent="0.25"/>
  <cols>
    <col min="1" max="1" width="38.85546875" bestFit="1" customWidth="1"/>
    <col min="2" max="2" width="79" bestFit="1" customWidth="1"/>
    <col min="3" max="3" width="14" bestFit="1" customWidth="1"/>
    <col min="4" max="4" width="24.7109375" bestFit="1" customWidth="1"/>
    <col min="5" max="5" width="16.42578125" bestFit="1" customWidth="1"/>
    <col min="6" max="6" width="10.5703125" bestFit="1" customWidth="1"/>
    <col min="7" max="7" width="68.28515625" bestFit="1" customWidth="1"/>
    <col min="8" max="9" width="20" bestFit="1" customWidth="1"/>
    <col min="10" max="10" width="30.5703125" bestFit="1" customWidth="1"/>
  </cols>
  <sheetData>
    <row r="2" spans="1:10" ht="18.75" x14ac:dyDescent="0.3">
      <c r="A2" s="3" t="s">
        <v>0</v>
      </c>
      <c r="B2" s="4" t="s">
        <v>100</v>
      </c>
    </row>
    <row r="3" spans="1:10" x14ac:dyDescent="0.25">
      <c r="A3" s="3" t="s">
        <v>2</v>
      </c>
      <c r="B3" s="1" t="s">
        <v>3</v>
      </c>
    </row>
    <row r="4" spans="1:10" x14ac:dyDescent="0.25">
      <c r="A4" s="3" t="s">
        <v>4</v>
      </c>
      <c r="B4" s="1">
        <v>2345</v>
      </c>
    </row>
    <row r="7" spans="1:10" x14ac:dyDescent="0.25">
      <c r="C7" s="19" t="s">
        <v>5</v>
      </c>
      <c r="D7" s="20"/>
      <c r="E7" s="20"/>
      <c r="F7" s="20"/>
      <c r="G7" s="20"/>
    </row>
    <row r="8" spans="1:10" x14ac:dyDescent="0.25">
      <c r="A8" s="3" t="s">
        <v>6</v>
      </c>
      <c r="B8" s="3" t="s">
        <v>7</v>
      </c>
      <c r="C8" s="3" t="s">
        <v>8</v>
      </c>
      <c r="D8" s="3" t="s">
        <v>9</v>
      </c>
      <c r="E8" s="3" t="s">
        <v>10</v>
      </c>
      <c r="F8" s="3" t="s">
        <v>11</v>
      </c>
      <c r="G8" s="3" t="s">
        <v>12</v>
      </c>
      <c r="H8" s="3" t="s">
        <v>13</v>
      </c>
      <c r="I8" s="3" t="s">
        <v>14</v>
      </c>
      <c r="J8" s="3" t="s">
        <v>15</v>
      </c>
    </row>
    <row r="9" spans="1:10" x14ac:dyDescent="0.25">
      <c r="A9" s="1" t="s">
        <v>16</v>
      </c>
      <c r="B9" s="1" t="s">
        <v>19</v>
      </c>
      <c r="C9" s="11">
        <v>28990</v>
      </c>
      <c r="D9" s="11"/>
      <c r="E9" s="11"/>
      <c r="F9" s="11">
        <v>380</v>
      </c>
      <c r="G9" s="11">
        <f t="shared" ref="G9:G40" si="0">SUM(C9:F9)</f>
        <v>29370</v>
      </c>
      <c r="H9" s="17">
        <f t="shared" ref="H9:H40" si="1">ROUND(G9/2345,2)</f>
        <v>12.52</v>
      </c>
      <c r="I9" s="16">
        <f t="shared" ref="I9:I40" si="2">ROUND(G9/$G$41,3)</f>
        <v>0.1</v>
      </c>
      <c r="J9" s="16">
        <f>ROUND(G9/27660-1,2)</f>
        <v>0.06</v>
      </c>
    </row>
    <row r="10" spans="1:10" x14ac:dyDescent="0.25">
      <c r="A10" s="1" t="s">
        <v>16</v>
      </c>
      <c r="B10" s="1" t="s">
        <v>20</v>
      </c>
      <c r="C10" s="11">
        <v>35910</v>
      </c>
      <c r="D10" s="11"/>
      <c r="E10" s="11"/>
      <c r="F10" s="11"/>
      <c r="G10" s="11">
        <f t="shared" si="0"/>
        <v>35910</v>
      </c>
      <c r="H10" s="17">
        <f t="shared" si="1"/>
        <v>15.31</v>
      </c>
      <c r="I10" s="16">
        <f t="shared" si="2"/>
        <v>0.122</v>
      </c>
      <c r="J10" s="16">
        <f>ROUND(G10/34920-1,2)</f>
        <v>0.03</v>
      </c>
    </row>
    <row r="11" spans="1:10" x14ac:dyDescent="0.25">
      <c r="A11" s="1" t="s">
        <v>16</v>
      </c>
      <c r="B11" s="1" t="s">
        <v>94</v>
      </c>
      <c r="C11" s="11"/>
      <c r="D11" s="11"/>
      <c r="E11" s="11">
        <v>62</v>
      </c>
      <c r="F11" s="11"/>
      <c r="G11" s="11">
        <f t="shared" si="0"/>
        <v>62</v>
      </c>
      <c r="H11" s="17">
        <f t="shared" si="1"/>
        <v>0.03</v>
      </c>
      <c r="I11" s="16">
        <f t="shared" si="2"/>
        <v>0</v>
      </c>
      <c r="J11" s="16"/>
    </row>
    <row r="12" spans="1:10" x14ac:dyDescent="0.25">
      <c r="A12" s="1" t="s">
        <v>16</v>
      </c>
      <c r="B12" s="1" t="s">
        <v>21</v>
      </c>
      <c r="C12" s="11"/>
      <c r="D12" s="11"/>
      <c r="E12" s="11">
        <v>55</v>
      </c>
      <c r="F12" s="11"/>
      <c r="G12" s="11">
        <f t="shared" si="0"/>
        <v>55</v>
      </c>
      <c r="H12" s="17">
        <f t="shared" si="1"/>
        <v>0.02</v>
      </c>
      <c r="I12" s="16">
        <f t="shared" si="2"/>
        <v>0</v>
      </c>
      <c r="J12" s="16">
        <f>ROUND(G12/72-1,2)</f>
        <v>-0.24</v>
      </c>
    </row>
    <row r="13" spans="1:10" x14ac:dyDescent="0.25">
      <c r="A13" s="1" t="s">
        <v>16</v>
      </c>
      <c r="B13" s="1" t="s">
        <v>23</v>
      </c>
      <c r="C13" s="11"/>
      <c r="D13" s="11"/>
      <c r="E13" s="11">
        <v>13380</v>
      </c>
      <c r="F13" s="11"/>
      <c r="G13" s="11">
        <f t="shared" si="0"/>
        <v>13380</v>
      </c>
      <c r="H13" s="17">
        <f t="shared" si="1"/>
        <v>5.71</v>
      </c>
      <c r="I13" s="16">
        <f t="shared" si="2"/>
        <v>4.5999999999999999E-2</v>
      </c>
      <c r="J13" s="16">
        <f>ROUND(G13/12760-1,2)</f>
        <v>0.05</v>
      </c>
    </row>
    <row r="14" spans="1:10" x14ac:dyDescent="0.25">
      <c r="A14" s="1" t="s">
        <v>16</v>
      </c>
      <c r="B14" s="1" t="s">
        <v>24</v>
      </c>
      <c r="C14" s="11">
        <v>34360</v>
      </c>
      <c r="D14" s="11"/>
      <c r="E14" s="11">
        <v>3220</v>
      </c>
      <c r="F14" s="11">
        <v>470</v>
      </c>
      <c r="G14" s="11">
        <f t="shared" si="0"/>
        <v>38050</v>
      </c>
      <c r="H14" s="17">
        <f t="shared" si="1"/>
        <v>16.23</v>
      </c>
      <c r="I14" s="16">
        <f t="shared" si="2"/>
        <v>0.13</v>
      </c>
      <c r="J14" s="16">
        <f>ROUND(G14/37540-1,2)</f>
        <v>0.01</v>
      </c>
    </row>
    <row r="15" spans="1:10" x14ac:dyDescent="0.25">
      <c r="A15" s="1" t="s">
        <v>16</v>
      </c>
      <c r="B15" s="1" t="s">
        <v>25</v>
      </c>
      <c r="C15" s="11"/>
      <c r="D15" s="11"/>
      <c r="E15" s="11">
        <v>860</v>
      </c>
      <c r="F15" s="11"/>
      <c r="G15" s="11">
        <f t="shared" si="0"/>
        <v>860</v>
      </c>
      <c r="H15" s="17">
        <f t="shared" si="1"/>
        <v>0.37</v>
      </c>
      <c r="I15" s="16">
        <f t="shared" si="2"/>
        <v>3.0000000000000001E-3</v>
      </c>
      <c r="J15" s="16">
        <f>ROUND(G15/1020-1,2)</f>
        <v>-0.16</v>
      </c>
    </row>
    <row r="16" spans="1:10" x14ac:dyDescent="0.25">
      <c r="A16" s="1" t="s">
        <v>16</v>
      </c>
      <c r="B16" s="1" t="s">
        <v>26</v>
      </c>
      <c r="C16" s="11">
        <v>57110</v>
      </c>
      <c r="D16" s="11"/>
      <c r="E16" s="11"/>
      <c r="F16" s="11">
        <v>830</v>
      </c>
      <c r="G16" s="11">
        <f t="shared" si="0"/>
        <v>57940</v>
      </c>
      <c r="H16" s="17">
        <f t="shared" si="1"/>
        <v>24.71</v>
      </c>
      <c r="I16" s="16">
        <f t="shared" si="2"/>
        <v>0.19700000000000001</v>
      </c>
      <c r="J16" s="16">
        <f>ROUND(G16/55180-1,2)</f>
        <v>0.05</v>
      </c>
    </row>
    <row r="17" spans="1:10" x14ac:dyDescent="0.25">
      <c r="A17" s="1" t="s">
        <v>16</v>
      </c>
      <c r="B17" s="1" t="s">
        <v>27</v>
      </c>
      <c r="C17" s="11"/>
      <c r="D17" s="11"/>
      <c r="E17" s="11">
        <v>292</v>
      </c>
      <c r="F17" s="11"/>
      <c r="G17" s="11">
        <f t="shared" si="0"/>
        <v>292</v>
      </c>
      <c r="H17" s="17">
        <f t="shared" si="1"/>
        <v>0.12</v>
      </c>
      <c r="I17" s="16">
        <f t="shared" si="2"/>
        <v>1E-3</v>
      </c>
      <c r="J17" s="16">
        <f>ROUND(G17/195-1,2)</f>
        <v>0.5</v>
      </c>
    </row>
    <row r="18" spans="1:10" x14ac:dyDescent="0.25">
      <c r="A18" s="1" t="s">
        <v>16</v>
      </c>
      <c r="B18" s="1" t="s">
        <v>28</v>
      </c>
      <c r="C18" s="11"/>
      <c r="D18" s="11"/>
      <c r="E18" s="11">
        <v>255</v>
      </c>
      <c r="F18" s="11"/>
      <c r="G18" s="11">
        <f t="shared" si="0"/>
        <v>255</v>
      </c>
      <c r="H18" s="17">
        <f t="shared" si="1"/>
        <v>0.11</v>
      </c>
      <c r="I18" s="16">
        <f t="shared" si="2"/>
        <v>1E-3</v>
      </c>
      <c r="J18" s="16">
        <f>ROUND(G18/79-1,2)</f>
        <v>2.23</v>
      </c>
    </row>
    <row r="19" spans="1:10" x14ac:dyDescent="0.25">
      <c r="A19" s="1" t="s">
        <v>16</v>
      </c>
      <c r="B19" s="1" t="s">
        <v>29</v>
      </c>
      <c r="C19" s="11"/>
      <c r="D19" s="11"/>
      <c r="E19" s="11">
        <v>460</v>
      </c>
      <c r="F19" s="11"/>
      <c r="G19" s="11">
        <f t="shared" si="0"/>
        <v>460</v>
      </c>
      <c r="H19" s="17">
        <f t="shared" si="1"/>
        <v>0.2</v>
      </c>
      <c r="I19" s="16">
        <f t="shared" si="2"/>
        <v>2E-3</v>
      </c>
      <c r="J19" s="16">
        <f>ROUND(G19/310-1,2)</f>
        <v>0.48</v>
      </c>
    </row>
    <row r="20" spans="1:10" x14ac:dyDescent="0.25">
      <c r="A20" s="1" t="s">
        <v>16</v>
      </c>
      <c r="B20" s="1" t="s">
        <v>31</v>
      </c>
      <c r="C20" s="11"/>
      <c r="D20" s="11"/>
      <c r="E20" s="11">
        <v>440</v>
      </c>
      <c r="F20" s="11"/>
      <c r="G20" s="11">
        <f t="shared" si="0"/>
        <v>440</v>
      </c>
      <c r="H20" s="17">
        <f t="shared" si="1"/>
        <v>0.19</v>
      </c>
      <c r="I20" s="16">
        <f t="shared" si="2"/>
        <v>1E-3</v>
      </c>
      <c r="J20" s="16">
        <f>ROUND(G20/555-1,2)</f>
        <v>-0.21</v>
      </c>
    </row>
    <row r="21" spans="1:10" x14ac:dyDescent="0.25">
      <c r="A21" s="1" t="s">
        <v>16</v>
      </c>
      <c r="B21" s="1" t="s">
        <v>32</v>
      </c>
      <c r="C21" s="11"/>
      <c r="D21" s="11">
        <v>121</v>
      </c>
      <c r="E21" s="11"/>
      <c r="F21" s="11"/>
      <c r="G21" s="11">
        <f t="shared" si="0"/>
        <v>121</v>
      </c>
      <c r="H21" s="17">
        <f t="shared" si="1"/>
        <v>0.05</v>
      </c>
      <c r="I21" s="16">
        <f t="shared" si="2"/>
        <v>0</v>
      </c>
      <c r="J21" s="16">
        <f>ROUND(G21/91-1,2)</f>
        <v>0.33</v>
      </c>
    </row>
    <row r="22" spans="1:10" x14ac:dyDescent="0.25">
      <c r="A22" s="1" t="s">
        <v>16</v>
      </c>
      <c r="B22" s="1" t="s">
        <v>34</v>
      </c>
      <c r="C22" s="11"/>
      <c r="D22" s="11"/>
      <c r="E22" s="11">
        <v>440</v>
      </c>
      <c r="F22" s="11"/>
      <c r="G22" s="11">
        <f t="shared" si="0"/>
        <v>440</v>
      </c>
      <c r="H22" s="17">
        <f t="shared" si="1"/>
        <v>0.19</v>
      </c>
      <c r="I22" s="16">
        <f t="shared" si="2"/>
        <v>1E-3</v>
      </c>
      <c r="J22" s="16">
        <f>ROUND(G22/314-1,2)</f>
        <v>0.4</v>
      </c>
    </row>
    <row r="23" spans="1:10" x14ac:dyDescent="0.25">
      <c r="A23" s="1" t="s">
        <v>16</v>
      </c>
      <c r="B23" s="1" t="s">
        <v>35</v>
      </c>
      <c r="C23" s="11"/>
      <c r="D23" s="11"/>
      <c r="E23" s="11">
        <v>21790</v>
      </c>
      <c r="F23" s="11"/>
      <c r="G23" s="11">
        <f t="shared" si="0"/>
        <v>21790</v>
      </c>
      <c r="H23" s="17">
        <f t="shared" si="1"/>
        <v>9.2899999999999991</v>
      </c>
      <c r="I23" s="16">
        <f t="shared" si="2"/>
        <v>7.3999999999999996E-2</v>
      </c>
      <c r="J23" s="16">
        <f>ROUND(G23/15540-1,2)</f>
        <v>0.4</v>
      </c>
    </row>
    <row r="24" spans="1:10" x14ac:dyDescent="0.25">
      <c r="A24" s="1" t="s">
        <v>16</v>
      </c>
      <c r="B24" s="1" t="s">
        <v>36</v>
      </c>
      <c r="C24" s="11"/>
      <c r="D24" s="11"/>
      <c r="E24" s="11">
        <v>1580</v>
      </c>
      <c r="F24" s="11"/>
      <c r="G24" s="11">
        <f t="shared" si="0"/>
        <v>1580</v>
      </c>
      <c r="H24" s="17">
        <f t="shared" si="1"/>
        <v>0.67</v>
      </c>
      <c r="I24" s="16">
        <f t="shared" si="2"/>
        <v>5.0000000000000001E-3</v>
      </c>
      <c r="J24" s="16">
        <f>ROUND(G24/1270-1,2)</f>
        <v>0.24</v>
      </c>
    </row>
    <row r="25" spans="1:10" x14ac:dyDescent="0.25">
      <c r="A25" s="1" t="s">
        <v>16</v>
      </c>
      <c r="B25" s="1" t="s">
        <v>37</v>
      </c>
      <c r="C25" s="11"/>
      <c r="D25" s="11"/>
      <c r="E25" s="11">
        <v>6800</v>
      </c>
      <c r="F25" s="11"/>
      <c r="G25" s="11">
        <f t="shared" si="0"/>
        <v>6800</v>
      </c>
      <c r="H25" s="17">
        <f t="shared" si="1"/>
        <v>2.9</v>
      </c>
      <c r="I25" s="16">
        <f t="shared" si="2"/>
        <v>2.3E-2</v>
      </c>
      <c r="J25" s="16">
        <f>ROUND(G25/5220-1,2)</f>
        <v>0.3</v>
      </c>
    </row>
    <row r="26" spans="1:10" x14ac:dyDescent="0.25">
      <c r="A26" s="1" t="s">
        <v>16</v>
      </c>
      <c r="B26" s="1" t="s">
        <v>38</v>
      </c>
      <c r="C26" s="11"/>
      <c r="D26" s="11"/>
      <c r="E26" s="11">
        <v>19960</v>
      </c>
      <c r="F26" s="11"/>
      <c r="G26" s="11">
        <f t="shared" si="0"/>
        <v>19960</v>
      </c>
      <c r="H26" s="17">
        <f t="shared" si="1"/>
        <v>8.51</v>
      </c>
      <c r="I26" s="16">
        <f t="shared" si="2"/>
        <v>6.8000000000000005E-2</v>
      </c>
      <c r="J26" s="16">
        <f>ROUND(G26/19940-1,2)</f>
        <v>0</v>
      </c>
    </row>
    <row r="27" spans="1:10" x14ac:dyDescent="0.25">
      <c r="A27" s="1" t="s">
        <v>16</v>
      </c>
      <c r="B27" s="1" t="s">
        <v>40</v>
      </c>
      <c r="C27" s="11"/>
      <c r="D27" s="11"/>
      <c r="E27" s="11"/>
      <c r="F27" s="11"/>
      <c r="G27" s="11">
        <f t="shared" si="0"/>
        <v>0</v>
      </c>
      <c r="H27" s="17">
        <f t="shared" si="1"/>
        <v>0</v>
      </c>
      <c r="I27" s="16">
        <f t="shared" si="2"/>
        <v>0</v>
      </c>
      <c r="J27" s="16">
        <f>ROUND(G27/1200-1,2)</f>
        <v>-1</v>
      </c>
    </row>
    <row r="28" spans="1:10" x14ac:dyDescent="0.25">
      <c r="A28" s="1" t="s">
        <v>16</v>
      </c>
      <c r="B28" s="1" t="s">
        <v>41</v>
      </c>
      <c r="C28" s="11"/>
      <c r="D28" s="11"/>
      <c r="E28" s="11"/>
      <c r="F28" s="11"/>
      <c r="G28" s="11">
        <f t="shared" si="0"/>
        <v>0</v>
      </c>
      <c r="H28" s="17">
        <f t="shared" si="1"/>
        <v>0</v>
      </c>
      <c r="I28" s="16">
        <f t="shared" si="2"/>
        <v>0</v>
      </c>
      <c r="J28" s="16">
        <f>ROUND(G28/2510-1,2)</f>
        <v>-1</v>
      </c>
    </row>
    <row r="29" spans="1:10" x14ac:dyDescent="0.25">
      <c r="A29" s="1" t="s">
        <v>16</v>
      </c>
      <c r="B29" s="1" t="s">
        <v>43</v>
      </c>
      <c r="C29" s="11"/>
      <c r="D29" s="11"/>
      <c r="E29" s="11"/>
      <c r="F29" s="11"/>
      <c r="G29" s="11">
        <f t="shared" si="0"/>
        <v>0</v>
      </c>
      <c r="H29" s="17">
        <f t="shared" si="1"/>
        <v>0</v>
      </c>
      <c r="I29" s="16">
        <f t="shared" si="2"/>
        <v>0</v>
      </c>
      <c r="J29" s="16">
        <f>ROUND(G29/2680-1,2)</f>
        <v>-1</v>
      </c>
    </row>
    <row r="30" spans="1:10" x14ac:dyDescent="0.25">
      <c r="A30" s="1" t="s">
        <v>16</v>
      </c>
      <c r="B30" s="1" t="s">
        <v>42</v>
      </c>
      <c r="C30" s="11"/>
      <c r="D30" s="11"/>
      <c r="E30" s="11"/>
      <c r="F30" s="11"/>
      <c r="G30" s="11">
        <f t="shared" si="0"/>
        <v>0</v>
      </c>
      <c r="H30" s="17">
        <f t="shared" si="1"/>
        <v>0</v>
      </c>
      <c r="I30" s="16">
        <f t="shared" si="2"/>
        <v>0</v>
      </c>
      <c r="J30" s="16">
        <f>ROUND(G30/1830-1,2)</f>
        <v>-1</v>
      </c>
    </row>
    <row r="31" spans="1:10" x14ac:dyDescent="0.25">
      <c r="A31" s="1" t="s">
        <v>16</v>
      </c>
      <c r="B31" s="1" t="s">
        <v>22</v>
      </c>
      <c r="C31" s="11"/>
      <c r="D31" s="11"/>
      <c r="E31" s="11"/>
      <c r="F31" s="11"/>
      <c r="G31" s="11">
        <f t="shared" si="0"/>
        <v>0</v>
      </c>
      <c r="H31" s="17">
        <f t="shared" si="1"/>
        <v>0</v>
      </c>
      <c r="I31" s="16">
        <f t="shared" si="2"/>
        <v>0</v>
      </c>
      <c r="J31" s="16">
        <f>ROUND(G31/800-1,2)</f>
        <v>-1</v>
      </c>
    </row>
    <row r="32" spans="1:10" x14ac:dyDescent="0.25">
      <c r="A32" s="1" t="s">
        <v>16</v>
      </c>
      <c r="B32" s="1" t="s">
        <v>39</v>
      </c>
      <c r="C32" s="11"/>
      <c r="D32" s="11"/>
      <c r="E32" s="11"/>
      <c r="F32" s="11"/>
      <c r="G32" s="11">
        <f t="shared" si="0"/>
        <v>0</v>
      </c>
      <c r="H32" s="17">
        <f t="shared" si="1"/>
        <v>0</v>
      </c>
      <c r="I32" s="16">
        <f t="shared" si="2"/>
        <v>0</v>
      </c>
      <c r="J32" s="16">
        <f>ROUND(G32/140-1,2)</f>
        <v>-1</v>
      </c>
    </row>
    <row r="33" spans="1:10" x14ac:dyDescent="0.25">
      <c r="A33" s="1" t="s">
        <v>16</v>
      </c>
      <c r="B33" s="1" t="s">
        <v>17</v>
      </c>
      <c r="C33" s="11"/>
      <c r="D33" s="11"/>
      <c r="E33" s="11"/>
      <c r="F33" s="11"/>
      <c r="G33" s="11">
        <f t="shared" si="0"/>
        <v>0</v>
      </c>
      <c r="H33" s="17">
        <f t="shared" si="1"/>
        <v>0</v>
      </c>
      <c r="I33" s="16">
        <f t="shared" si="2"/>
        <v>0</v>
      </c>
      <c r="J33" s="16">
        <f>ROUND(G33/15-1,2)</f>
        <v>-1</v>
      </c>
    </row>
    <row r="34" spans="1:10" x14ac:dyDescent="0.25">
      <c r="A34" s="1" t="s">
        <v>16</v>
      </c>
      <c r="B34" s="1" t="s">
        <v>33</v>
      </c>
      <c r="C34" s="11"/>
      <c r="D34" s="11"/>
      <c r="E34" s="11"/>
      <c r="F34" s="11"/>
      <c r="G34" s="11">
        <f t="shared" si="0"/>
        <v>0</v>
      </c>
      <c r="H34" s="17">
        <f t="shared" si="1"/>
        <v>0</v>
      </c>
      <c r="I34" s="16">
        <f t="shared" si="2"/>
        <v>0</v>
      </c>
      <c r="J34" s="16"/>
    </row>
    <row r="35" spans="1:10" x14ac:dyDescent="0.25">
      <c r="A35" s="1" t="s">
        <v>16</v>
      </c>
      <c r="B35" s="1" t="s">
        <v>95</v>
      </c>
      <c r="C35" s="11"/>
      <c r="D35" s="11"/>
      <c r="E35" s="11"/>
      <c r="F35" s="11"/>
      <c r="G35" s="11">
        <f t="shared" si="0"/>
        <v>0</v>
      </c>
      <c r="H35" s="17">
        <f t="shared" si="1"/>
        <v>0</v>
      </c>
      <c r="I35" s="16">
        <f t="shared" si="2"/>
        <v>0</v>
      </c>
      <c r="J35" s="16"/>
    </row>
    <row r="36" spans="1:10" x14ac:dyDescent="0.25">
      <c r="A36" s="1" t="s">
        <v>44</v>
      </c>
      <c r="B36" s="1" t="s">
        <v>45</v>
      </c>
      <c r="C36" s="11">
        <v>42310</v>
      </c>
      <c r="D36" s="11"/>
      <c r="E36" s="11"/>
      <c r="F36" s="11">
        <v>640</v>
      </c>
      <c r="G36" s="11">
        <f t="shared" si="0"/>
        <v>42950</v>
      </c>
      <c r="H36" s="17">
        <f t="shared" si="1"/>
        <v>18.32</v>
      </c>
      <c r="I36" s="16">
        <f t="shared" si="2"/>
        <v>0.14599999999999999</v>
      </c>
      <c r="J36" s="16">
        <f>ROUND(G36/35820-1,2)</f>
        <v>0.2</v>
      </c>
    </row>
    <row r="37" spans="1:10" x14ac:dyDescent="0.25">
      <c r="A37" s="1" t="s">
        <v>44</v>
      </c>
      <c r="B37" s="1" t="s">
        <v>47</v>
      </c>
      <c r="C37" s="11"/>
      <c r="D37" s="11"/>
      <c r="E37" s="11"/>
      <c r="F37" s="11">
        <v>6000</v>
      </c>
      <c r="G37" s="11">
        <f t="shared" si="0"/>
        <v>6000</v>
      </c>
      <c r="H37" s="17">
        <f t="shared" si="1"/>
        <v>2.56</v>
      </c>
      <c r="I37" s="16">
        <f t="shared" si="2"/>
        <v>0.02</v>
      </c>
      <c r="J37" s="16">
        <f>ROUND(G37/7620-1,2)</f>
        <v>-0.21</v>
      </c>
    </row>
    <row r="38" spans="1:10" x14ac:dyDescent="0.25">
      <c r="A38" s="1" t="s">
        <v>44</v>
      </c>
      <c r="B38" s="1" t="s">
        <v>46</v>
      </c>
      <c r="C38" s="11"/>
      <c r="D38" s="11"/>
      <c r="E38" s="11">
        <v>16870</v>
      </c>
      <c r="F38" s="11"/>
      <c r="G38" s="11">
        <f t="shared" si="0"/>
        <v>16870</v>
      </c>
      <c r="H38" s="17">
        <f t="shared" si="1"/>
        <v>7.19</v>
      </c>
      <c r="I38" s="16">
        <f t="shared" si="2"/>
        <v>5.7000000000000002E-2</v>
      </c>
      <c r="J38" s="16">
        <f>ROUND(G38/14070-1,2)</f>
        <v>0.2</v>
      </c>
    </row>
    <row r="39" spans="1:10" x14ac:dyDescent="0.25">
      <c r="A39" s="1" t="s">
        <v>48</v>
      </c>
      <c r="B39" s="1" t="s">
        <v>51</v>
      </c>
      <c r="C39" s="11"/>
      <c r="D39" s="11"/>
      <c r="E39" s="11"/>
      <c r="F39" s="11"/>
      <c r="G39" s="11">
        <f t="shared" si="0"/>
        <v>0</v>
      </c>
      <c r="H39" s="17">
        <f t="shared" si="1"/>
        <v>0</v>
      </c>
      <c r="I39" s="16">
        <f t="shared" si="2"/>
        <v>0</v>
      </c>
      <c r="J39" s="16"/>
    </row>
    <row r="40" spans="1:10" x14ac:dyDescent="0.25">
      <c r="A40" s="1" t="s">
        <v>48</v>
      </c>
      <c r="B40" s="1" t="s">
        <v>86</v>
      </c>
      <c r="C40" s="11"/>
      <c r="D40" s="11"/>
      <c r="E40" s="11"/>
      <c r="F40" s="11"/>
      <c r="G40" s="11">
        <f t="shared" si="0"/>
        <v>0</v>
      </c>
      <c r="H40" s="17">
        <f t="shared" si="1"/>
        <v>0</v>
      </c>
      <c r="I40" s="16">
        <f t="shared" si="2"/>
        <v>0</v>
      </c>
      <c r="J40" s="16"/>
    </row>
    <row r="41" spans="1:10" x14ac:dyDescent="0.25">
      <c r="A41" s="21" t="s">
        <v>12</v>
      </c>
      <c r="B41" s="21"/>
      <c r="C41" s="12">
        <f t="shared" ref="C41:H41" si="3">SUM(C8:C40)</f>
        <v>198680</v>
      </c>
      <c r="D41" s="12">
        <f t="shared" si="3"/>
        <v>121</v>
      </c>
      <c r="E41" s="12">
        <f t="shared" si="3"/>
        <v>86464</v>
      </c>
      <c r="F41" s="12">
        <f t="shared" si="3"/>
        <v>8320</v>
      </c>
      <c r="G41" s="12">
        <f t="shared" si="3"/>
        <v>293585</v>
      </c>
      <c r="H41" s="15">
        <f t="shared" si="3"/>
        <v>125.19999999999999</v>
      </c>
      <c r="I41" s="18"/>
      <c r="J41" s="18"/>
    </row>
    <row r="42" spans="1:10" x14ac:dyDescent="0.25">
      <c r="A42" s="21" t="s">
        <v>14</v>
      </c>
      <c r="B42" s="21"/>
      <c r="C42" s="13">
        <f>ROUND(C41/G41,2)</f>
        <v>0.68</v>
      </c>
      <c r="D42" s="13">
        <f>ROUND(D41/G41,2)</f>
        <v>0</v>
      </c>
      <c r="E42" s="13">
        <f>ROUND(E41/G41,2)</f>
        <v>0.28999999999999998</v>
      </c>
      <c r="F42" s="13">
        <f>ROUND(F41/G41,2)</f>
        <v>0.03</v>
      </c>
      <c r="G42" s="14"/>
      <c r="H42" s="14"/>
      <c r="I42" s="18"/>
      <c r="J42" s="18"/>
    </row>
    <row r="43" spans="1:10" x14ac:dyDescent="0.25">
      <c r="A43" s="2" t="s">
        <v>52</v>
      </c>
      <c r="B43" s="2"/>
      <c r="C43" s="14"/>
      <c r="D43" s="14"/>
      <c r="E43" s="14"/>
      <c r="F43" s="14"/>
      <c r="G43" s="14"/>
      <c r="H43" s="14"/>
      <c r="I43" s="18"/>
      <c r="J43" s="18"/>
    </row>
    <row r="44" spans="1:10" x14ac:dyDescent="0.25">
      <c r="C44" s="9"/>
      <c r="D44" s="9"/>
      <c r="E44" s="9"/>
      <c r="F44" s="9"/>
      <c r="G44" s="9"/>
      <c r="H44" s="9"/>
      <c r="I44" s="10"/>
      <c r="J44" s="10"/>
    </row>
    <row r="45" spans="1:10" x14ac:dyDescent="0.25">
      <c r="C45" s="9"/>
      <c r="D45" s="9"/>
      <c r="E45" s="9"/>
      <c r="F45" s="9"/>
      <c r="G45" s="9"/>
      <c r="H45" s="9"/>
      <c r="I45" s="10"/>
      <c r="J45" s="10"/>
    </row>
    <row r="46" spans="1:10" x14ac:dyDescent="0.25">
      <c r="C46" s="9"/>
      <c r="D46" s="9"/>
      <c r="E46" s="9"/>
      <c r="F46" s="9"/>
      <c r="G46" s="9"/>
      <c r="H46" s="9"/>
      <c r="I46" s="10"/>
      <c r="J46" s="10"/>
    </row>
    <row r="47" spans="1:10" x14ac:dyDescent="0.25">
      <c r="A47" s="21" t="s">
        <v>53</v>
      </c>
      <c r="B47" s="21"/>
      <c r="C47" s="12" t="s">
        <v>8</v>
      </c>
      <c r="D47" s="12" t="s">
        <v>9</v>
      </c>
      <c r="E47" s="12" t="s">
        <v>10</v>
      </c>
      <c r="F47" s="12" t="s">
        <v>11</v>
      </c>
      <c r="G47" s="12" t="s">
        <v>12</v>
      </c>
      <c r="H47" s="15" t="s">
        <v>13</v>
      </c>
      <c r="I47" s="18"/>
      <c r="J47" s="18"/>
    </row>
    <row r="48" spans="1:10" x14ac:dyDescent="0.25">
      <c r="A48" s="20" t="s">
        <v>54</v>
      </c>
      <c r="B48" s="20"/>
      <c r="C48" s="11">
        <v>156370</v>
      </c>
      <c r="D48" s="11">
        <v>121</v>
      </c>
      <c r="E48" s="11">
        <v>69594</v>
      </c>
      <c r="F48" s="11">
        <v>1680</v>
      </c>
      <c r="G48" s="11">
        <f>SUM(C48:F48)</f>
        <v>227765</v>
      </c>
      <c r="H48" s="17">
        <f>ROUND(G48/2345,2)</f>
        <v>97.13</v>
      </c>
      <c r="I48" s="10"/>
      <c r="J48" s="10"/>
    </row>
    <row r="49" spans="1:10" x14ac:dyDescent="0.25">
      <c r="A49" s="20" t="s">
        <v>55</v>
      </c>
      <c r="B49" s="20"/>
      <c r="C49" s="11">
        <v>42310</v>
      </c>
      <c r="D49" s="11">
        <v>0</v>
      </c>
      <c r="E49" s="11">
        <v>16870</v>
      </c>
      <c r="F49" s="11">
        <v>6640</v>
      </c>
      <c r="G49" s="11">
        <f>SUM(C49:F49)</f>
        <v>65820</v>
      </c>
      <c r="H49" s="17">
        <f>ROUND(G49/2345,2)</f>
        <v>28.07</v>
      </c>
      <c r="I49" s="10"/>
      <c r="J49" s="10"/>
    </row>
    <row r="50" spans="1:10" x14ac:dyDescent="0.25">
      <c r="A50" s="20" t="s">
        <v>56</v>
      </c>
      <c r="B50" s="20"/>
      <c r="C50" s="11">
        <v>0</v>
      </c>
      <c r="D50" s="11">
        <v>0</v>
      </c>
      <c r="E50" s="11">
        <v>0</v>
      </c>
      <c r="F50" s="11">
        <v>0</v>
      </c>
      <c r="G50" s="11">
        <f>SUM(C50:F50)</f>
        <v>0</v>
      </c>
      <c r="H50" s="17">
        <f>ROUND(G50/2345,2)</f>
        <v>0</v>
      </c>
      <c r="I50" s="10"/>
      <c r="J50" s="10"/>
    </row>
    <row r="51" spans="1:10" x14ac:dyDescent="0.25">
      <c r="C51" s="9"/>
      <c r="D51" s="9"/>
      <c r="E51" s="9"/>
      <c r="F51" s="9"/>
      <c r="G51" s="9"/>
      <c r="H51" s="9"/>
      <c r="I51" s="10"/>
      <c r="J51" s="10"/>
    </row>
    <row r="52" spans="1:10" x14ac:dyDescent="0.25">
      <c r="C52" s="9"/>
      <c r="D52" s="9"/>
      <c r="E52" s="9"/>
      <c r="F52" s="9"/>
      <c r="G52" s="9"/>
      <c r="H52" s="9"/>
      <c r="I52" s="10"/>
      <c r="J52" s="10"/>
    </row>
    <row r="53" spans="1:10" x14ac:dyDescent="0.25">
      <c r="C53" s="9"/>
      <c r="D53" s="9"/>
      <c r="E53" s="9"/>
      <c r="F53" s="9"/>
      <c r="G53" s="9"/>
      <c r="H53" s="9"/>
      <c r="I53" s="10"/>
      <c r="J53" s="10"/>
    </row>
    <row r="54" spans="1:10" x14ac:dyDescent="0.25">
      <c r="C54" s="9"/>
      <c r="D54" s="9"/>
      <c r="E54" s="9"/>
      <c r="F54" s="9"/>
      <c r="G54" s="9"/>
      <c r="H54" s="9"/>
      <c r="I54" s="10"/>
      <c r="J54" s="10"/>
    </row>
    <row r="55" spans="1:10" x14ac:dyDescent="0.25">
      <c r="A55" s="21" t="s">
        <v>57</v>
      </c>
      <c r="B55" s="21"/>
      <c r="C55" s="15" t="s">
        <v>2</v>
      </c>
      <c r="D55" s="15">
        <v>2023</v>
      </c>
      <c r="E55" s="15" t="s">
        <v>59</v>
      </c>
      <c r="F55" s="14"/>
      <c r="G55" s="15" t="s">
        <v>60</v>
      </c>
      <c r="H55" s="15" t="s">
        <v>2</v>
      </c>
      <c r="I55" s="13" t="s">
        <v>61</v>
      </c>
      <c r="J55" s="13" t="s">
        <v>59</v>
      </c>
    </row>
    <row r="56" spans="1:10" x14ac:dyDescent="0.25">
      <c r="A56" s="20" t="s">
        <v>58</v>
      </c>
      <c r="B56" s="20"/>
      <c r="C56" s="16">
        <f>ROUND(0.8372, 4)</f>
        <v>0.83720000000000006</v>
      </c>
      <c r="D56" s="16">
        <f>ROUND(0.8574, 4)</f>
        <v>0.85740000000000005</v>
      </c>
      <c r="E56" s="16">
        <f>ROUND(0.777, 4)</f>
        <v>0.77700000000000002</v>
      </c>
      <c r="F56" s="9"/>
      <c r="G56" s="15" t="s">
        <v>62</v>
      </c>
      <c r="H56" s="22" t="s">
        <v>63</v>
      </c>
      <c r="I56" s="24" t="s">
        <v>64</v>
      </c>
      <c r="J56" s="24" t="s">
        <v>65</v>
      </c>
    </row>
    <row r="57" spans="1:10" x14ac:dyDescent="0.25">
      <c r="A57" s="20" t="s">
        <v>66</v>
      </c>
      <c r="B57" s="20"/>
      <c r="C57" s="16">
        <f>ROUND(0.8237, 4)</f>
        <v>0.82369999999999999</v>
      </c>
      <c r="D57" s="16">
        <f>ROUND(0.8445, 4)</f>
        <v>0.84450000000000003</v>
      </c>
      <c r="E57" s="16">
        <f>ROUND(0.7608, 4)</f>
        <v>0.76080000000000003</v>
      </c>
      <c r="F57" s="9"/>
      <c r="G57" s="15" t="s">
        <v>67</v>
      </c>
      <c r="H57" s="23"/>
      <c r="I57" s="25"/>
      <c r="J57" s="25"/>
    </row>
    <row r="58" spans="1:10" x14ac:dyDescent="0.25">
      <c r="C58" s="9"/>
      <c r="D58" s="9"/>
      <c r="E58" s="9"/>
      <c r="F58" s="9"/>
      <c r="G58" s="9"/>
      <c r="H58" s="9"/>
      <c r="I58" s="10"/>
      <c r="J58" s="10"/>
    </row>
    <row r="59" spans="1:10" x14ac:dyDescent="0.25">
      <c r="C59" s="9"/>
      <c r="D59" s="9"/>
      <c r="E59" s="9"/>
      <c r="F59" s="9"/>
      <c r="G59" s="9"/>
      <c r="H59" s="9"/>
      <c r="I59" s="10"/>
      <c r="J59" s="10"/>
    </row>
    <row r="60" spans="1:10" x14ac:dyDescent="0.25">
      <c r="C60" s="9"/>
      <c r="D60" s="9"/>
      <c r="E60" s="9"/>
      <c r="F60" s="9"/>
      <c r="G60" s="9"/>
      <c r="H60" s="9"/>
      <c r="I60" s="10"/>
      <c r="J60" s="10"/>
    </row>
    <row r="61" spans="1:10" x14ac:dyDescent="0.25">
      <c r="A61" s="21" t="s">
        <v>68</v>
      </c>
      <c r="B61" s="21"/>
      <c r="C61" s="15" t="s">
        <v>2</v>
      </c>
      <c r="D61" s="15" t="s">
        <v>101</v>
      </c>
      <c r="E61" s="15" t="s">
        <v>70</v>
      </c>
      <c r="F61" s="15" t="s">
        <v>71</v>
      </c>
      <c r="G61" s="15" t="s">
        <v>72</v>
      </c>
      <c r="H61" s="14"/>
      <c r="I61" s="18"/>
      <c r="J61" s="18"/>
    </row>
    <row r="62" spans="1:10" x14ac:dyDescent="0.25">
      <c r="A62" s="20" t="s">
        <v>73</v>
      </c>
      <c r="B62" s="20"/>
      <c r="C62" s="17">
        <v>18.32</v>
      </c>
      <c r="D62" s="17">
        <v>72.56</v>
      </c>
      <c r="E62" s="17">
        <v>81.84</v>
      </c>
      <c r="F62" s="17">
        <v>48</v>
      </c>
      <c r="G62" s="17">
        <f>12/4*C62</f>
        <v>54.96</v>
      </c>
      <c r="H62" s="9"/>
      <c r="I62" s="10"/>
      <c r="J62" s="10"/>
    </row>
    <row r="63" spans="1:10" x14ac:dyDescent="0.25">
      <c r="A63" s="20" t="s">
        <v>74</v>
      </c>
      <c r="B63" s="20"/>
      <c r="C63" s="17">
        <v>24.71</v>
      </c>
      <c r="D63" s="17">
        <v>60.63</v>
      </c>
      <c r="E63" s="17">
        <v>55.63</v>
      </c>
      <c r="F63" s="17">
        <v>55.33</v>
      </c>
      <c r="G63" s="17">
        <f>12/4*C63</f>
        <v>74.13</v>
      </c>
      <c r="H63" s="9"/>
      <c r="I63" s="10"/>
      <c r="J63" s="10"/>
    </row>
    <row r="64" spans="1:10" x14ac:dyDescent="0.25">
      <c r="A64" s="20" t="s">
        <v>75</v>
      </c>
      <c r="B64" s="20"/>
      <c r="C64" s="17">
        <v>97.13</v>
      </c>
      <c r="D64" s="17">
        <v>253.38</v>
      </c>
      <c r="E64" s="17">
        <v>257.88</v>
      </c>
      <c r="F64" s="17">
        <v>242.78</v>
      </c>
      <c r="G64" s="17">
        <f>12/4*C64</f>
        <v>291.39</v>
      </c>
      <c r="H64" s="9"/>
      <c r="I64" s="10"/>
      <c r="J64" s="10"/>
    </row>
    <row r="65" spans="1:10" x14ac:dyDescent="0.25">
      <c r="A65" s="20" t="s">
        <v>76</v>
      </c>
      <c r="B65" s="20"/>
      <c r="C65" s="17">
        <v>28.07</v>
      </c>
      <c r="D65" s="17">
        <v>96.83</v>
      </c>
      <c r="E65" s="17">
        <v>103.14</v>
      </c>
      <c r="F65" s="17">
        <v>68.31</v>
      </c>
      <c r="G65" s="17">
        <f>12/4*C65</f>
        <v>84.210000000000008</v>
      </c>
      <c r="H65" s="9"/>
      <c r="I65" s="10"/>
      <c r="J65" s="10"/>
    </row>
    <row r="66" spans="1:10" x14ac:dyDescent="0.25">
      <c r="C66" s="9"/>
      <c r="D66" s="9"/>
      <c r="E66" s="9"/>
      <c r="F66" s="9"/>
      <c r="G66" s="9"/>
      <c r="H66" s="9"/>
      <c r="I66" s="10"/>
      <c r="J66" s="10"/>
    </row>
    <row r="67" spans="1:10" x14ac:dyDescent="0.25">
      <c r="C67" s="9"/>
      <c r="D67" s="9"/>
      <c r="E67" s="9"/>
      <c r="F67" s="9"/>
      <c r="G67" s="9"/>
      <c r="H67" s="9"/>
      <c r="I67" s="10"/>
      <c r="J67" s="10"/>
    </row>
    <row r="68" spans="1:10" x14ac:dyDescent="0.25">
      <c r="A68" s="19" t="s">
        <v>60</v>
      </c>
      <c r="B68" s="26"/>
      <c r="C68" s="9"/>
      <c r="D68" s="9"/>
      <c r="E68" s="9"/>
      <c r="F68" s="9"/>
      <c r="G68" s="9"/>
      <c r="H68" s="9"/>
      <c r="I68" s="10"/>
      <c r="J68" s="10"/>
    </row>
    <row r="69" spans="1:10" x14ac:dyDescent="0.25">
      <c r="A69" s="3" t="s">
        <v>77</v>
      </c>
      <c r="B69" s="1" t="s">
        <v>102</v>
      </c>
      <c r="C69" s="9"/>
      <c r="D69" s="9"/>
      <c r="E69" s="9"/>
      <c r="F69" s="9"/>
      <c r="G69" s="9"/>
      <c r="H69" s="9"/>
      <c r="I69" s="10"/>
      <c r="J69" s="10"/>
    </row>
    <row r="70" spans="1:10" x14ac:dyDescent="0.25">
      <c r="A70" s="3" t="s">
        <v>70</v>
      </c>
      <c r="B70" s="1" t="s">
        <v>79</v>
      </c>
      <c r="C70" s="9"/>
      <c r="D70" s="9"/>
      <c r="E70" s="9"/>
      <c r="F70" s="9"/>
      <c r="G70" s="9"/>
      <c r="H70" s="9"/>
      <c r="I70" s="10"/>
      <c r="J70" s="10"/>
    </row>
    <row r="71" spans="1:10" x14ac:dyDescent="0.25">
      <c r="A71" s="3" t="s">
        <v>71</v>
      </c>
      <c r="B71" s="1" t="s">
        <v>80</v>
      </c>
      <c r="C71" s="9"/>
      <c r="D71" s="9"/>
      <c r="E71" s="9"/>
      <c r="F71" s="9"/>
      <c r="G71" s="9"/>
      <c r="H71" s="9"/>
      <c r="I71" s="10"/>
      <c r="J71" s="10"/>
    </row>
    <row r="72" spans="1:10" x14ac:dyDescent="0.25">
      <c r="A72" s="3" t="s">
        <v>72</v>
      </c>
      <c r="B72" s="1" t="s">
        <v>81</v>
      </c>
    </row>
  </sheetData>
  <mergeCells count="19">
    <mergeCell ref="A63:B63"/>
    <mergeCell ref="A64:B64"/>
    <mergeCell ref="A65:B65"/>
    <mergeCell ref="A68:B68"/>
    <mergeCell ref="I56:I57"/>
    <mergeCell ref="J56:J57"/>
    <mergeCell ref="A57:B57"/>
    <mergeCell ref="A61:B61"/>
    <mergeCell ref="A62:B62"/>
    <mergeCell ref="A49:B49"/>
    <mergeCell ref="A50:B50"/>
    <mergeCell ref="A55:B55"/>
    <mergeCell ref="A56:B56"/>
    <mergeCell ref="H56:H57"/>
    <mergeCell ref="C7:G7"/>
    <mergeCell ref="A41:B41"/>
    <mergeCell ref="A42:B42"/>
    <mergeCell ref="A47:B47"/>
    <mergeCell ref="A48:B48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2:J74"/>
  <sheetViews>
    <sheetView workbookViewId="0">
      <selection activeCell="C9" sqref="C9:J71"/>
    </sheetView>
  </sheetViews>
  <sheetFormatPr defaultRowHeight="15" x14ac:dyDescent="0.25"/>
  <cols>
    <col min="1" max="1" width="38.85546875" bestFit="1" customWidth="1"/>
    <col min="2" max="2" width="79" bestFit="1" customWidth="1"/>
    <col min="3" max="3" width="14" bestFit="1" customWidth="1"/>
    <col min="4" max="4" width="31.7109375" bestFit="1" customWidth="1"/>
    <col min="5" max="5" width="16.42578125" bestFit="1" customWidth="1"/>
    <col min="6" max="6" width="10.5703125" bestFit="1" customWidth="1"/>
    <col min="7" max="7" width="68.28515625" bestFit="1" customWidth="1"/>
    <col min="8" max="9" width="20" bestFit="1" customWidth="1"/>
    <col min="10" max="10" width="30.5703125" bestFit="1" customWidth="1"/>
  </cols>
  <sheetData>
    <row r="2" spans="1:10" ht="18.75" x14ac:dyDescent="0.3">
      <c r="A2" s="3" t="s">
        <v>0</v>
      </c>
      <c r="B2" s="4" t="s">
        <v>291</v>
      </c>
    </row>
    <row r="3" spans="1:10" x14ac:dyDescent="0.25">
      <c r="A3" s="3" t="s">
        <v>2</v>
      </c>
      <c r="B3" s="1" t="s">
        <v>3</v>
      </c>
    </row>
    <row r="4" spans="1:10" x14ac:dyDescent="0.25">
      <c r="A4" s="3" t="s">
        <v>4</v>
      </c>
      <c r="B4" s="1">
        <v>6251</v>
      </c>
    </row>
    <row r="7" spans="1:10" x14ac:dyDescent="0.25">
      <c r="C7" s="19" t="s">
        <v>5</v>
      </c>
      <c r="D7" s="20"/>
      <c r="E7" s="20"/>
      <c r="F7" s="20"/>
      <c r="G7" s="20"/>
    </row>
    <row r="8" spans="1:10" x14ac:dyDescent="0.25">
      <c r="A8" s="3" t="s">
        <v>6</v>
      </c>
      <c r="B8" s="3" t="s">
        <v>7</v>
      </c>
      <c r="C8" s="3" t="s">
        <v>8</v>
      </c>
      <c r="D8" s="3" t="s">
        <v>9</v>
      </c>
      <c r="E8" s="3" t="s">
        <v>10</v>
      </c>
      <c r="F8" s="3" t="s">
        <v>11</v>
      </c>
      <c r="G8" s="3" t="s">
        <v>12</v>
      </c>
      <c r="H8" s="3" t="s">
        <v>13</v>
      </c>
      <c r="I8" s="3" t="s">
        <v>14</v>
      </c>
      <c r="J8" s="3" t="s">
        <v>15</v>
      </c>
    </row>
    <row r="9" spans="1:10" x14ac:dyDescent="0.25">
      <c r="A9" s="1" t="s">
        <v>16</v>
      </c>
      <c r="B9" s="1" t="s">
        <v>19</v>
      </c>
      <c r="C9" s="11">
        <v>48520</v>
      </c>
      <c r="D9" s="11"/>
      <c r="E9" s="11"/>
      <c r="F9" s="11"/>
      <c r="G9" s="11">
        <f t="shared" ref="G9:G42" si="0">SUM(C9:F9)</f>
        <v>48520</v>
      </c>
      <c r="H9" s="17">
        <f t="shared" ref="H9:H42" si="1">ROUND(G9/6251,2)</f>
        <v>7.76</v>
      </c>
      <c r="I9" s="16">
        <f t="shared" ref="I9:I42" si="2">ROUND(G9/$G$43,3)</f>
        <v>5.2999999999999999E-2</v>
      </c>
      <c r="J9" s="16">
        <f>ROUND(G9/43940-1,2)</f>
        <v>0.1</v>
      </c>
    </row>
    <row r="10" spans="1:10" x14ac:dyDescent="0.25">
      <c r="A10" s="1" t="s">
        <v>16</v>
      </c>
      <c r="B10" s="1" t="s">
        <v>20</v>
      </c>
      <c r="C10" s="11">
        <v>64720</v>
      </c>
      <c r="D10" s="11"/>
      <c r="E10" s="11"/>
      <c r="F10" s="11"/>
      <c r="G10" s="11">
        <f t="shared" si="0"/>
        <v>64720</v>
      </c>
      <c r="H10" s="17">
        <f t="shared" si="1"/>
        <v>10.35</v>
      </c>
      <c r="I10" s="16">
        <f t="shared" si="2"/>
        <v>7.0999999999999994E-2</v>
      </c>
      <c r="J10" s="16">
        <f>ROUND(G10/60010-1,2)</f>
        <v>0.08</v>
      </c>
    </row>
    <row r="11" spans="1:10" x14ac:dyDescent="0.25">
      <c r="A11" s="1" t="s">
        <v>16</v>
      </c>
      <c r="B11" s="1" t="s">
        <v>94</v>
      </c>
      <c r="C11" s="11"/>
      <c r="D11" s="11"/>
      <c r="E11" s="11">
        <v>153</v>
      </c>
      <c r="F11" s="11"/>
      <c r="G11" s="11">
        <f t="shared" si="0"/>
        <v>153</v>
      </c>
      <c r="H11" s="17">
        <f t="shared" si="1"/>
        <v>0.02</v>
      </c>
      <c r="I11" s="16">
        <f t="shared" si="2"/>
        <v>0</v>
      </c>
      <c r="J11" s="16">
        <f>ROUND(G11/138-1,2)</f>
        <v>0.11</v>
      </c>
    </row>
    <row r="12" spans="1:10" x14ac:dyDescent="0.25">
      <c r="A12" s="1" t="s">
        <v>16</v>
      </c>
      <c r="B12" s="1" t="s">
        <v>21</v>
      </c>
      <c r="C12" s="11"/>
      <c r="D12" s="11"/>
      <c r="E12" s="11">
        <v>155</v>
      </c>
      <c r="F12" s="11"/>
      <c r="G12" s="11">
        <f t="shared" si="0"/>
        <v>155</v>
      </c>
      <c r="H12" s="17">
        <f t="shared" si="1"/>
        <v>0.02</v>
      </c>
      <c r="I12" s="16">
        <f t="shared" si="2"/>
        <v>0</v>
      </c>
      <c r="J12" s="16">
        <f>ROUND(G12/132-1,2)</f>
        <v>0.17</v>
      </c>
    </row>
    <row r="13" spans="1:10" x14ac:dyDescent="0.25">
      <c r="A13" s="1" t="s">
        <v>16</v>
      </c>
      <c r="B13" s="1" t="s">
        <v>22</v>
      </c>
      <c r="C13" s="11"/>
      <c r="D13" s="11"/>
      <c r="E13" s="11">
        <v>900</v>
      </c>
      <c r="F13" s="11"/>
      <c r="G13" s="11">
        <f t="shared" si="0"/>
        <v>900</v>
      </c>
      <c r="H13" s="17">
        <f t="shared" si="1"/>
        <v>0.14000000000000001</v>
      </c>
      <c r="I13" s="16">
        <f t="shared" si="2"/>
        <v>1E-3</v>
      </c>
      <c r="J13" s="16">
        <f>ROUND(G13/1500-1,2)</f>
        <v>-0.4</v>
      </c>
    </row>
    <row r="14" spans="1:10" x14ac:dyDescent="0.25">
      <c r="A14" s="1" t="s">
        <v>16</v>
      </c>
      <c r="B14" s="1" t="s">
        <v>23</v>
      </c>
      <c r="C14" s="11"/>
      <c r="D14" s="11"/>
      <c r="E14" s="11">
        <v>174620</v>
      </c>
      <c r="F14" s="11"/>
      <c r="G14" s="11">
        <f t="shared" si="0"/>
        <v>174620</v>
      </c>
      <c r="H14" s="17">
        <f t="shared" si="1"/>
        <v>27.93</v>
      </c>
      <c r="I14" s="16">
        <f t="shared" si="2"/>
        <v>0.191</v>
      </c>
      <c r="J14" s="16">
        <f>ROUND(G14/42320-1,2)</f>
        <v>3.13</v>
      </c>
    </row>
    <row r="15" spans="1:10" x14ac:dyDescent="0.25">
      <c r="A15" s="1" t="s">
        <v>16</v>
      </c>
      <c r="B15" s="1" t="s">
        <v>24</v>
      </c>
      <c r="C15" s="11">
        <v>72100</v>
      </c>
      <c r="D15" s="11"/>
      <c r="E15" s="11">
        <v>1430</v>
      </c>
      <c r="F15" s="11"/>
      <c r="G15" s="11">
        <f t="shared" si="0"/>
        <v>73530</v>
      </c>
      <c r="H15" s="17">
        <f t="shared" si="1"/>
        <v>11.76</v>
      </c>
      <c r="I15" s="16">
        <f t="shared" si="2"/>
        <v>0.08</v>
      </c>
      <c r="J15" s="16">
        <f>ROUND(G15/68320-1,2)</f>
        <v>0.08</v>
      </c>
    </row>
    <row r="16" spans="1:10" x14ac:dyDescent="0.25">
      <c r="A16" s="1" t="s">
        <v>16</v>
      </c>
      <c r="B16" s="1" t="s">
        <v>25</v>
      </c>
      <c r="C16" s="11"/>
      <c r="D16" s="11"/>
      <c r="E16" s="11">
        <v>3630</v>
      </c>
      <c r="F16" s="11"/>
      <c r="G16" s="11">
        <f t="shared" si="0"/>
        <v>3630</v>
      </c>
      <c r="H16" s="17">
        <f t="shared" si="1"/>
        <v>0.57999999999999996</v>
      </c>
      <c r="I16" s="16">
        <f t="shared" si="2"/>
        <v>4.0000000000000001E-3</v>
      </c>
      <c r="J16" s="16">
        <f>ROUND(G16/4735-1,2)</f>
        <v>-0.23</v>
      </c>
    </row>
    <row r="17" spans="1:10" x14ac:dyDescent="0.25">
      <c r="A17" s="1" t="s">
        <v>16</v>
      </c>
      <c r="B17" s="1" t="s">
        <v>26</v>
      </c>
      <c r="C17" s="11">
        <v>98140</v>
      </c>
      <c r="D17" s="11"/>
      <c r="E17" s="11"/>
      <c r="F17" s="11"/>
      <c r="G17" s="11">
        <f t="shared" si="0"/>
        <v>98140</v>
      </c>
      <c r="H17" s="17">
        <f t="shared" si="1"/>
        <v>15.7</v>
      </c>
      <c r="I17" s="16">
        <f t="shared" si="2"/>
        <v>0.107</v>
      </c>
      <c r="J17" s="16">
        <f>ROUND(G17/91280-1,2)</f>
        <v>0.08</v>
      </c>
    </row>
    <row r="18" spans="1:10" x14ac:dyDescent="0.25">
      <c r="A18" s="1" t="s">
        <v>16</v>
      </c>
      <c r="B18" s="1" t="s">
        <v>27</v>
      </c>
      <c r="C18" s="11"/>
      <c r="D18" s="11"/>
      <c r="E18" s="11">
        <v>97</v>
      </c>
      <c r="F18" s="11"/>
      <c r="G18" s="11">
        <f t="shared" si="0"/>
        <v>97</v>
      </c>
      <c r="H18" s="17">
        <f t="shared" si="1"/>
        <v>0.02</v>
      </c>
      <c r="I18" s="16">
        <f t="shared" si="2"/>
        <v>0</v>
      </c>
      <c r="J18" s="16">
        <f>ROUND(G18/155-1,2)</f>
        <v>-0.37</v>
      </c>
    </row>
    <row r="19" spans="1:10" x14ac:dyDescent="0.25">
      <c r="A19" s="1" t="s">
        <v>16</v>
      </c>
      <c r="B19" s="1" t="s">
        <v>28</v>
      </c>
      <c r="C19" s="11"/>
      <c r="D19" s="11"/>
      <c r="E19" s="11">
        <v>51</v>
      </c>
      <c r="F19" s="11"/>
      <c r="G19" s="11">
        <f t="shared" si="0"/>
        <v>51</v>
      </c>
      <c r="H19" s="17">
        <f t="shared" si="1"/>
        <v>0.01</v>
      </c>
      <c r="I19" s="16">
        <f t="shared" si="2"/>
        <v>0</v>
      </c>
      <c r="J19" s="16">
        <f>ROUND(G19/45-1,2)</f>
        <v>0.13</v>
      </c>
    </row>
    <row r="20" spans="1:10" x14ac:dyDescent="0.25">
      <c r="A20" s="1" t="s">
        <v>16</v>
      </c>
      <c r="B20" s="1" t="s">
        <v>29</v>
      </c>
      <c r="C20" s="11"/>
      <c r="D20" s="11"/>
      <c r="E20" s="11">
        <v>920</v>
      </c>
      <c r="F20" s="11"/>
      <c r="G20" s="11">
        <f t="shared" si="0"/>
        <v>920</v>
      </c>
      <c r="H20" s="17">
        <f t="shared" si="1"/>
        <v>0.15</v>
      </c>
      <c r="I20" s="16">
        <f t="shared" si="2"/>
        <v>1E-3</v>
      </c>
      <c r="J20" s="16">
        <f>ROUND(G20/950-1,2)</f>
        <v>-0.03</v>
      </c>
    </row>
    <row r="21" spans="1:10" x14ac:dyDescent="0.25">
      <c r="A21" s="1" t="s">
        <v>16</v>
      </c>
      <c r="B21" s="1" t="s">
        <v>30</v>
      </c>
      <c r="C21" s="11"/>
      <c r="D21" s="11"/>
      <c r="E21" s="11">
        <v>420</v>
      </c>
      <c r="F21" s="11"/>
      <c r="G21" s="11">
        <f t="shared" si="0"/>
        <v>420</v>
      </c>
      <c r="H21" s="17">
        <f t="shared" si="1"/>
        <v>7.0000000000000007E-2</v>
      </c>
      <c r="I21" s="16">
        <f t="shared" si="2"/>
        <v>0</v>
      </c>
      <c r="J21" s="16">
        <f>ROUND(G21/400-1,2)</f>
        <v>0.05</v>
      </c>
    </row>
    <row r="22" spans="1:10" x14ac:dyDescent="0.25">
      <c r="A22" s="1" t="s">
        <v>16</v>
      </c>
      <c r="B22" s="1" t="s">
        <v>31</v>
      </c>
      <c r="C22" s="11"/>
      <c r="D22" s="11"/>
      <c r="E22" s="11">
        <v>1995</v>
      </c>
      <c r="F22" s="11"/>
      <c r="G22" s="11">
        <f t="shared" si="0"/>
        <v>1995</v>
      </c>
      <c r="H22" s="17">
        <f t="shared" si="1"/>
        <v>0.32</v>
      </c>
      <c r="I22" s="16">
        <f t="shared" si="2"/>
        <v>2E-3</v>
      </c>
      <c r="J22" s="16">
        <f>ROUND(G22/1030-1,2)</f>
        <v>0.94</v>
      </c>
    </row>
    <row r="23" spans="1:10" x14ac:dyDescent="0.25">
      <c r="A23" s="1" t="s">
        <v>16</v>
      </c>
      <c r="B23" s="1" t="s">
        <v>32</v>
      </c>
      <c r="C23" s="11"/>
      <c r="D23" s="11">
        <v>128</v>
      </c>
      <c r="E23" s="11"/>
      <c r="F23" s="11"/>
      <c r="G23" s="11">
        <f t="shared" si="0"/>
        <v>128</v>
      </c>
      <c r="H23" s="17">
        <f t="shared" si="1"/>
        <v>0.02</v>
      </c>
      <c r="I23" s="16">
        <f t="shared" si="2"/>
        <v>0</v>
      </c>
      <c r="J23" s="16">
        <f>ROUND(G23/44-1,2)</f>
        <v>1.91</v>
      </c>
    </row>
    <row r="24" spans="1:10" x14ac:dyDescent="0.25">
      <c r="A24" s="1" t="s">
        <v>16</v>
      </c>
      <c r="B24" s="1" t="s">
        <v>34</v>
      </c>
      <c r="C24" s="11"/>
      <c r="D24" s="11"/>
      <c r="E24" s="11">
        <v>270</v>
      </c>
      <c r="F24" s="11"/>
      <c r="G24" s="11">
        <f t="shared" si="0"/>
        <v>270</v>
      </c>
      <c r="H24" s="17">
        <f t="shared" si="1"/>
        <v>0.04</v>
      </c>
      <c r="I24" s="16">
        <f t="shared" si="2"/>
        <v>0</v>
      </c>
      <c r="J24" s="16">
        <f>ROUND(G24/546-1,2)</f>
        <v>-0.51</v>
      </c>
    </row>
    <row r="25" spans="1:10" x14ac:dyDescent="0.25">
      <c r="A25" s="1" t="s">
        <v>16</v>
      </c>
      <c r="B25" s="1" t="s">
        <v>33</v>
      </c>
      <c r="C25" s="11"/>
      <c r="D25" s="11"/>
      <c r="E25" s="11">
        <v>150</v>
      </c>
      <c r="F25" s="11"/>
      <c r="G25" s="11">
        <f t="shared" si="0"/>
        <v>150</v>
      </c>
      <c r="H25" s="17">
        <f t="shared" si="1"/>
        <v>0.02</v>
      </c>
      <c r="I25" s="16">
        <f t="shared" si="2"/>
        <v>0</v>
      </c>
      <c r="J25" s="16">
        <f>ROUND(G25/600-1,2)</f>
        <v>-0.75</v>
      </c>
    </row>
    <row r="26" spans="1:10" x14ac:dyDescent="0.25">
      <c r="A26" s="1" t="s">
        <v>16</v>
      </c>
      <c r="B26" s="1" t="s">
        <v>35</v>
      </c>
      <c r="C26" s="11"/>
      <c r="D26" s="11"/>
      <c r="E26" s="11">
        <v>55910</v>
      </c>
      <c r="F26" s="11"/>
      <c r="G26" s="11">
        <f t="shared" si="0"/>
        <v>55910</v>
      </c>
      <c r="H26" s="17">
        <f t="shared" si="1"/>
        <v>8.94</v>
      </c>
      <c r="I26" s="16">
        <f t="shared" si="2"/>
        <v>6.0999999999999999E-2</v>
      </c>
      <c r="J26" s="16">
        <f>ROUND(G26/46660-1,2)</f>
        <v>0.2</v>
      </c>
    </row>
    <row r="27" spans="1:10" x14ac:dyDescent="0.25">
      <c r="A27" s="1" t="s">
        <v>16</v>
      </c>
      <c r="B27" s="1" t="s">
        <v>36</v>
      </c>
      <c r="C27" s="11"/>
      <c r="D27" s="11"/>
      <c r="E27" s="11">
        <v>9660</v>
      </c>
      <c r="F27" s="11"/>
      <c r="G27" s="11">
        <f t="shared" si="0"/>
        <v>9660</v>
      </c>
      <c r="H27" s="17">
        <f t="shared" si="1"/>
        <v>1.55</v>
      </c>
      <c r="I27" s="16">
        <f t="shared" si="2"/>
        <v>1.0999999999999999E-2</v>
      </c>
      <c r="J27" s="16">
        <f>ROUND(G27/7660-1,2)</f>
        <v>0.26</v>
      </c>
    </row>
    <row r="28" spans="1:10" x14ac:dyDescent="0.25">
      <c r="A28" s="1" t="s">
        <v>16</v>
      </c>
      <c r="B28" s="1" t="s">
        <v>37</v>
      </c>
      <c r="C28" s="11"/>
      <c r="D28" s="11"/>
      <c r="E28" s="11">
        <v>14970</v>
      </c>
      <c r="F28" s="11"/>
      <c r="G28" s="11">
        <f t="shared" si="0"/>
        <v>14970</v>
      </c>
      <c r="H28" s="17">
        <f t="shared" si="1"/>
        <v>2.39</v>
      </c>
      <c r="I28" s="16">
        <f t="shared" si="2"/>
        <v>1.6E-2</v>
      </c>
      <c r="J28" s="16">
        <f>ROUND(G28/11960-1,2)</f>
        <v>0.25</v>
      </c>
    </row>
    <row r="29" spans="1:10" x14ac:dyDescent="0.25">
      <c r="A29" s="1" t="s">
        <v>16</v>
      </c>
      <c r="B29" s="1" t="s">
        <v>38</v>
      </c>
      <c r="C29" s="11"/>
      <c r="D29" s="11"/>
      <c r="E29" s="11">
        <v>160720</v>
      </c>
      <c r="F29" s="11"/>
      <c r="G29" s="11">
        <f t="shared" si="0"/>
        <v>160720</v>
      </c>
      <c r="H29" s="17">
        <f t="shared" si="1"/>
        <v>25.71</v>
      </c>
      <c r="I29" s="16">
        <f t="shared" si="2"/>
        <v>0.17599999999999999</v>
      </c>
      <c r="J29" s="16">
        <f>ROUND(G29/169610-1,2)</f>
        <v>-0.05</v>
      </c>
    </row>
    <row r="30" spans="1:10" x14ac:dyDescent="0.25">
      <c r="A30" s="1" t="s">
        <v>16</v>
      </c>
      <c r="B30" s="1" t="s">
        <v>17</v>
      </c>
      <c r="C30" s="11"/>
      <c r="D30" s="11"/>
      <c r="E30" s="11"/>
      <c r="F30" s="11"/>
      <c r="G30" s="11">
        <f t="shared" si="0"/>
        <v>0</v>
      </c>
      <c r="H30" s="17">
        <f t="shared" si="1"/>
        <v>0</v>
      </c>
      <c r="I30" s="16">
        <f t="shared" si="2"/>
        <v>0</v>
      </c>
      <c r="J30" s="16">
        <f>ROUND(G30/190-1,2)</f>
        <v>-1</v>
      </c>
    </row>
    <row r="31" spans="1:10" x14ac:dyDescent="0.25">
      <c r="A31" s="1" t="s">
        <v>16</v>
      </c>
      <c r="B31" s="1" t="s">
        <v>39</v>
      </c>
      <c r="C31" s="11"/>
      <c r="D31" s="11"/>
      <c r="E31" s="11"/>
      <c r="F31" s="11"/>
      <c r="G31" s="11">
        <f t="shared" si="0"/>
        <v>0</v>
      </c>
      <c r="H31" s="17">
        <f t="shared" si="1"/>
        <v>0</v>
      </c>
      <c r="I31" s="16">
        <f t="shared" si="2"/>
        <v>0</v>
      </c>
      <c r="J31" s="16">
        <f>ROUND(G31/115-1,2)</f>
        <v>-1</v>
      </c>
    </row>
    <row r="32" spans="1:10" x14ac:dyDescent="0.25">
      <c r="A32" s="1" t="s">
        <v>16</v>
      </c>
      <c r="B32" s="1" t="s">
        <v>40</v>
      </c>
      <c r="C32" s="11"/>
      <c r="D32" s="11"/>
      <c r="E32" s="11"/>
      <c r="F32" s="11"/>
      <c r="G32" s="11">
        <f t="shared" si="0"/>
        <v>0</v>
      </c>
      <c r="H32" s="17">
        <f t="shared" si="1"/>
        <v>0</v>
      </c>
      <c r="I32" s="16">
        <f t="shared" si="2"/>
        <v>0</v>
      </c>
      <c r="J32" s="16">
        <f>ROUND(G32/5240-1,2)</f>
        <v>-1</v>
      </c>
    </row>
    <row r="33" spans="1:10" x14ac:dyDescent="0.25">
      <c r="A33" s="1" t="s">
        <v>16</v>
      </c>
      <c r="B33" s="1" t="s">
        <v>41</v>
      </c>
      <c r="C33" s="11"/>
      <c r="D33" s="11"/>
      <c r="E33" s="11"/>
      <c r="F33" s="11"/>
      <c r="G33" s="11">
        <f t="shared" si="0"/>
        <v>0</v>
      </c>
      <c r="H33" s="17">
        <f t="shared" si="1"/>
        <v>0</v>
      </c>
      <c r="I33" s="16">
        <f t="shared" si="2"/>
        <v>0</v>
      </c>
      <c r="J33" s="16">
        <f>ROUND(G33/1720-1,2)</f>
        <v>-1</v>
      </c>
    </row>
    <row r="34" spans="1:10" x14ac:dyDescent="0.25">
      <c r="A34" s="1" t="s">
        <v>16</v>
      </c>
      <c r="B34" s="1" t="s">
        <v>43</v>
      </c>
      <c r="C34" s="11"/>
      <c r="D34" s="11"/>
      <c r="E34" s="11"/>
      <c r="F34" s="11"/>
      <c r="G34" s="11">
        <f t="shared" si="0"/>
        <v>0</v>
      </c>
      <c r="H34" s="17">
        <f t="shared" si="1"/>
        <v>0</v>
      </c>
      <c r="I34" s="16">
        <f t="shared" si="2"/>
        <v>0</v>
      </c>
      <c r="J34" s="16">
        <f>ROUND(G34/3803-1,2)</f>
        <v>-1</v>
      </c>
    </row>
    <row r="35" spans="1:10" x14ac:dyDescent="0.25">
      <c r="A35" s="1" t="s">
        <v>16</v>
      </c>
      <c r="B35" s="1" t="s">
        <v>42</v>
      </c>
      <c r="C35" s="11"/>
      <c r="D35" s="11"/>
      <c r="E35" s="11"/>
      <c r="F35" s="11"/>
      <c r="G35" s="11">
        <f t="shared" si="0"/>
        <v>0</v>
      </c>
      <c r="H35" s="17">
        <f t="shared" si="1"/>
        <v>0</v>
      </c>
      <c r="I35" s="16">
        <f t="shared" si="2"/>
        <v>0</v>
      </c>
      <c r="J35" s="16">
        <f>ROUND(G35/6610-1,2)</f>
        <v>-1</v>
      </c>
    </row>
    <row r="36" spans="1:10" x14ac:dyDescent="0.25">
      <c r="A36" s="1" t="s">
        <v>16</v>
      </c>
      <c r="B36" s="1" t="s">
        <v>225</v>
      </c>
      <c r="C36" s="11"/>
      <c r="D36" s="11"/>
      <c r="E36" s="11"/>
      <c r="F36" s="11"/>
      <c r="G36" s="11">
        <f t="shared" si="0"/>
        <v>0</v>
      </c>
      <c r="H36" s="17">
        <f t="shared" si="1"/>
        <v>0</v>
      </c>
      <c r="I36" s="16">
        <f t="shared" si="2"/>
        <v>0</v>
      </c>
      <c r="J36" s="16"/>
    </row>
    <row r="37" spans="1:10" x14ac:dyDescent="0.25">
      <c r="A37" s="1" t="s">
        <v>44</v>
      </c>
      <c r="B37" s="1" t="s">
        <v>45</v>
      </c>
      <c r="C37" s="11">
        <v>137270</v>
      </c>
      <c r="D37" s="11"/>
      <c r="E37" s="11"/>
      <c r="F37" s="11"/>
      <c r="G37" s="11">
        <f t="shared" si="0"/>
        <v>137270</v>
      </c>
      <c r="H37" s="17">
        <f t="shared" si="1"/>
        <v>21.96</v>
      </c>
      <c r="I37" s="16">
        <f t="shared" si="2"/>
        <v>0.15</v>
      </c>
      <c r="J37" s="16">
        <f>ROUND(G37/123450-1,2)</f>
        <v>0.11</v>
      </c>
    </row>
    <row r="38" spans="1:10" x14ac:dyDescent="0.25">
      <c r="A38" s="1" t="s">
        <v>44</v>
      </c>
      <c r="B38" s="1" t="s">
        <v>47</v>
      </c>
      <c r="C38" s="11"/>
      <c r="D38" s="11"/>
      <c r="E38" s="11"/>
      <c r="F38" s="11">
        <v>26345</v>
      </c>
      <c r="G38" s="11">
        <f t="shared" si="0"/>
        <v>26345</v>
      </c>
      <c r="H38" s="17">
        <f t="shared" si="1"/>
        <v>4.21</v>
      </c>
      <c r="I38" s="16">
        <f t="shared" si="2"/>
        <v>2.9000000000000001E-2</v>
      </c>
      <c r="J38" s="16">
        <f>ROUND(G38/18210-1,2)</f>
        <v>0.45</v>
      </c>
    </row>
    <row r="39" spans="1:10" x14ac:dyDescent="0.25">
      <c r="A39" s="1" t="s">
        <v>44</v>
      </c>
      <c r="B39" s="1" t="s">
        <v>46</v>
      </c>
      <c r="C39" s="11"/>
      <c r="D39" s="11"/>
      <c r="E39" s="11">
        <v>40190</v>
      </c>
      <c r="F39" s="11"/>
      <c r="G39" s="11">
        <f t="shared" si="0"/>
        <v>40190</v>
      </c>
      <c r="H39" s="17">
        <f t="shared" si="1"/>
        <v>6.43</v>
      </c>
      <c r="I39" s="16">
        <f t="shared" si="2"/>
        <v>4.3999999999999997E-2</v>
      </c>
      <c r="J39" s="16">
        <f>ROUND(G39/31660-1,2)</f>
        <v>0.27</v>
      </c>
    </row>
    <row r="40" spans="1:10" x14ac:dyDescent="0.25">
      <c r="A40" s="1" t="s">
        <v>48</v>
      </c>
      <c r="B40" s="1" t="s">
        <v>51</v>
      </c>
      <c r="C40" s="11"/>
      <c r="D40" s="11"/>
      <c r="E40" s="11"/>
      <c r="F40" s="11"/>
      <c r="G40" s="11">
        <f t="shared" si="0"/>
        <v>0</v>
      </c>
      <c r="H40" s="17">
        <f t="shared" si="1"/>
        <v>0</v>
      </c>
      <c r="I40" s="16">
        <f t="shared" si="2"/>
        <v>0</v>
      </c>
      <c r="J40" s="16"/>
    </row>
    <row r="41" spans="1:10" x14ac:dyDescent="0.25">
      <c r="A41" s="1" t="s">
        <v>48</v>
      </c>
      <c r="B41" s="1" t="s">
        <v>49</v>
      </c>
      <c r="C41" s="11"/>
      <c r="D41" s="11"/>
      <c r="E41" s="11"/>
      <c r="F41" s="11"/>
      <c r="G41" s="11">
        <f t="shared" si="0"/>
        <v>0</v>
      </c>
      <c r="H41" s="17">
        <f t="shared" si="1"/>
        <v>0</v>
      </c>
      <c r="I41" s="16">
        <f t="shared" si="2"/>
        <v>0</v>
      </c>
      <c r="J41" s="16"/>
    </row>
    <row r="42" spans="1:10" x14ac:dyDescent="0.25">
      <c r="A42" s="1" t="s">
        <v>48</v>
      </c>
      <c r="B42" s="1" t="s">
        <v>86</v>
      </c>
      <c r="C42" s="11"/>
      <c r="D42" s="11"/>
      <c r="E42" s="11"/>
      <c r="F42" s="11"/>
      <c r="G42" s="11">
        <f t="shared" si="0"/>
        <v>0</v>
      </c>
      <c r="H42" s="17">
        <f t="shared" si="1"/>
        <v>0</v>
      </c>
      <c r="I42" s="16">
        <f t="shared" si="2"/>
        <v>0</v>
      </c>
      <c r="J42" s="16"/>
    </row>
    <row r="43" spans="1:10" x14ac:dyDescent="0.25">
      <c r="A43" s="21" t="s">
        <v>12</v>
      </c>
      <c r="B43" s="21"/>
      <c r="C43" s="12">
        <f t="shared" ref="C43:H43" si="3">SUM(C8:C42)</f>
        <v>420750</v>
      </c>
      <c r="D43" s="12">
        <f t="shared" si="3"/>
        <v>128</v>
      </c>
      <c r="E43" s="12">
        <f t="shared" si="3"/>
        <v>466241</v>
      </c>
      <c r="F43" s="12">
        <f t="shared" si="3"/>
        <v>26345</v>
      </c>
      <c r="G43" s="12">
        <f t="shared" si="3"/>
        <v>913464</v>
      </c>
      <c r="H43" s="15">
        <f t="shared" si="3"/>
        <v>146.1</v>
      </c>
      <c r="I43" s="18"/>
      <c r="J43" s="18"/>
    </row>
    <row r="44" spans="1:10" x14ac:dyDescent="0.25">
      <c r="A44" s="21" t="s">
        <v>14</v>
      </c>
      <c r="B44" s="21"/>
      <c r="C44" s="13">
        <f>ROUND(C43/G43,2)</f>
        <v>0.46</v>
      </c>
      <c r="D44" s="13">
        <f>ROUND(D43/G43,2)</f>
        <v>0</v>
      </c>
      <c r="E44" s="13">
        <f>ROUND(E43/G43,2)</f>
        <v>0.51</v>
      </c>
      <c r="F44" s="13">
        <f>ROUND(F43/G43,2)</f>
        <v>0.03</v>
      </c>
      <c r="G44" s="14"/>
      <c r="H44" s="14"/>
      <c r="I44" s="18"/>
      <c r="J44" s="18"/>
    </row>
    <row r="45" spans="1:10" x14ac:dyDescent="0.25">
      <c r="A45" s="2" t="s">
        <v>52</v>
      </c>
      <c r="B45" s="2"/>
      <c r="C45" s="14"/>
      <c r="D45" s="14"/>
      <c r="E45" s="14"/>
      <c r="F45" s="14"/>
      <c r="G45" s="14"/>
      <c r="H45" s="14"/>
      <c r="I45" s="18"/>
      <c r="J45" s="18"/>
    </row>
    <row r="46" spans="1:10" x14ac:dyDescent="0.25">
      <c r="C46" s="9"/>
      <c r="D46" s="9"/>
      <c r="E46" s="9"/>
      <c r="F46" s="9"/>
      <c r="G46" s="9"/>
      <c r="H46" s="9"/>
      <c r="I46" s="10"/>
      <c r="J46" s="10"/>
    </row>
    <row r="47" spans="1:10" x14ac:dyDescent="0.25">
      <c r="C47" s="9"/>
      <c r="D47" s="9"/>
      <c r="E47" s="9"/>
      <c r="F47" s="9"/>
      <c r="G47" s="9"/>
      <c r="H47" s="9"/>
      <c r="I47" s="10"/>
      <c r="J47" s="10"/>
    </row>
    <row r="48" spans="1:10" x14ac:dyDescent="0.25">
      <c r="C48" s="9"/>
      <c r="D48" s="9"/>
      <c r="E48" s="9"/>
      <c r="F48" s="9"/>
      <c r="G48" s="9"/>
      <c r="H48" s="9"/>
      <c r="I48" s="10"/>
      <c r="J48" s="10"/>
    </row>
    <row r="49" spans="1:10" x14ac:dyDescent="0.25">
      <c r="A49" s="21" t="s">
        <v>53</v>
      </c>
      <c r="B49" s="21"/>
      <c r="C49" s="12" t="s">
        <v>8</v>
      </c>
      <c r="D49" s="12" t="s">
        <v>9</v>
      </c>
      <c r="E49" s="12" t="s">
        <v>10</v>
      </c>
      <c r="F49" s="12" t="s">
        <v>11</v>
      </c>
      <c r="G49" s="12" t="s">
        <v>12</v>
      </c>
      <c r="H49" s="15" t="s">
        <v>13</v>
      </c>
      <c r="I49" s="18"/>
      <c r="J49" s="18"/>
    </row>
    <row r="50" spans="1:10" x14ac:dyDescent="0.25">
      <c r="A50" s="20" t="s">
        <v>54</v>
      </c>
      <c r="B50" s="20"/>
      <c r="C50" s="11">
        <v>283480</v>
      </c>
      <c r="D50" s="11">
        <v>128</v>
      </c>
      <c r="E50" s="11">
        <v>426051</v>
      </c>
      <c r="F50" s="11">
        <v>0</v>
      </c>
      <c r="G50" s="11">
        <f>SUM(C50:F50)</f>
        <v>709659</v>
      </c>
      <c r="H50" s="17">
        <f>ROUND(G50/6251,2)</f>
        <v>113.53</v>
      </c>
      <c r="I50" s="10"/>
      <c r="J50" s="10"/>
    </row>
    <row r="51" spans="1:10" x14ac:dyDescent="0.25">
      <c r="A51" s="20" t="s">
        <v>55</v>
      </c>
      <c r="B51" s="20"/>
      <c r="C51" s="11">
        <v>137270</v>
      </c>
      <c r="D51" s="11">
        <v>0</v>
      </c>
      <c r="E51" s="11">
        <v>40190</v>
      </c>
      <c r="F51" s="11">
        <v>26345</v>
      </c>
      <c r="G51" s="11">
        <f>SUM(C51:F51)</f>
        <v>203805</v>
      </c>
      <c r="H51" s="17">
        <f>ROUND(G51/6251,2)</f>
        <v>32.6</v>
      </c>
      <c r="I51" s="10"/>
      <c r="J51" s="10"/>
    </row>
    <row r="52" spans="1:10" x14ac:dyDescent="0.25">
      <c r="A52" s="20" t="s">
        <v>56</v>
      </c>
      <c r="B52" s="20"/>
      <c r="C52" s="11">
        <v>0</v>
      </c>
      <c r="D52" s="11">
        <v>0</v>
      </c>
      <c r="E52" s="11">
        <v>0</v>
      </c>
      <c r="F52" s="11">
        <v>0</v>
      </c>
      <c r="G52" s="11">
        <f>SUM(C52:F52)</f>
        <v>0</v>
      </c>
      <c r="H52" s="17">
        <f>ROUND(G52/6251,2)</f>
        <v>0</v>
      </c>
      <c r="I52" s="10"/>
      <c r="J52" s="10"/>
    </row>
    <row r="53" spans="1:10" x14ac:dyDescent="0.25">
      <c r="C53" s="9"/>
      <c r="D53" s="9"/>
      <c r="E53" s="9"/>
      <c r="F53" s="9"/>
      <c r="G53" s="9"/>
      <c r="H53" s="9"/>
      <c r="I53" s="10"/>
      <c r="J53" s="10"/>
    </row>
    <row r="54" spans="1:10" x14ac:dyDescent="0.25">
      <c r="C54" s="9"/>
      <c r="D54" s="9"/>
      <c r="E54" s="9"/>
      <c r="F54" s="9"/>
      <c r="G54" s="9"/>
      <c r="H54" s="9"/>
      <c r="I54" s="10"/>
      <c r="J54" s="10"/>
    </row>
    <row r="55" spans="1:10" x14ac:dyDescent="0.25">
      <c r="C55" s="9"/>
      <c r="D55" s="9"/>
      <c r="E55" s="9"/>
      <c r="F55" s="9"/>
      <c r="G55" s="9"/>
      <c r="H55" s="9"/>
      <c r="I55" s="10"/>
      <c r="J55" s="10"/>
    </row>
    <row r="56" spans="1:10" x14ac:dyDescent="0.25">
      <c r="C56" s="9"/>
      <c r="D56" s="9"/>
      <c r="E56" s="9"/>
      <c r="F56" s="9"/>
      <c r="G56" s="9"/>
      <c r="H56" s="9"/>
      <c r="I56" s="10"/>
      <c r="J56" s="10"/>
    </row>
    <row r="57" spans="1:10" x14ac:dyDescent="0.25">
      <c r="A57" s="21" t="s">
        <v>57</v>
      </c>
      <c r="B57" s="21"/>
      <c r="C57" s="15" t="s">
        <v>2</v>
      </c>
      <c r="D57" s="15">
        <v>2023</v>
      </c>
      <c r="E57" s="15" t="s">
        <v>59</v>
      </c>
      <c r="F57" s="14"/>
      <c r="G57" s="15" t="s">
        <v>60</v>
      </c>
      <c r="H57" s="15" t="s">
        <v>2</v>
      </c>
      <c r="I57" s="13" t="s">
        <v>61</v>
      </c>
      <c r="J57" s="13" t="s">
        <v>59</v>
      </c>
    </row>
    <row r="58" spans="1:10" x14ac:dyDescent="0.25">
      <c r="A58" s="20" t="s">
        <v>58</v>
      </c>
      <c r="B58" s="20"/>
      <c r="C58" s="16">
        <f>ROUND(0.8089, 4)</f>
        <v>0.80889999999999995</v>
      </c>
      <c r="D58" s="16">
        <f>ROUND(0.8136, 4)</f>
        <v>0.81359999999999999</v>
      </c>
      <c r="E58" s="16">
        <f>ROUND(0.777, 4)</f>
        <v>0.77700000000000002</v>
      </c>
      <c r="F58" s="9"/>
      <c r="G58" s="15" t="s">
        <v>62</v>
      </c>
      <c r="H58" s="22" t="s">
        <v>63</v>
      </c>
      <c r="I58" s="24" t="s">
        <v>64</v>
      </c>
      <c r="J58" s="24" t="s">
        <v>65</v>
      </c>
    </row>
    <row r="59" spans="1:10" x14ac:dyDescent="0.25">
      <c r="A59" s="20" t="s">
        <v>66</v>
      </c>
      <c r="B59" s="20"/>
      <c r="C59" s="16">
        <f>ROUND(0.8005, 4)</f>
        <v>0.80049999999999999</v>
      </c>
      <c r="D59" s="16">
        <f>ROUND(0.8063, 4)</f>
        <v>0.80630000000000002</v>
      </c>
      <c r="E59" s="16">
        <f>ROUND(0.7608, 4)</f>
        <v>0.76080000000000003</v>
      </c>
      <c r="F59" s="9"/>
      <c r="G59" s="15" t="s">
        <v>67</v>
      </c>
      <c r="H59" s="23"/>
      <c r="I59" s="25"/>
      <c r="J59" s="25"/>
    </row>
    <row r="60" spans="1:10" x14ac:dyDescent="0.25">
      <c r="C60" s="9"/>
      <c r="D60" s="9"/>
      <c r="E60" s="9"/>
      <c r="F60" s="9"/>
      <c r="G60" s="9"/>
      <c r="H60" s="9"/>
      <c r="I60" s="10"/>
      <c r="J60" s="10"/>
    </row>
    <row r="61" spans="1:10" x14ac:dyDescent="0.25">
      <c r="C61" s="9"/>
      <c r="D61" s="9"/>
      <c r="E61" s="9"/>
      <c r="F61" s="9"/>
      <c r="G61" s="9"/>
      <c r="H61" s="9"/>
      <c r="I61" s="10"/>
      <c r="J61" s="10"/>
    </row>
    <row r="62" spans="1:10" x14ac:dyDescent="0.25">
      <c r="C62" s="9"/>
      <c r="D62" s="9"/>
      <c r="E62" s="9"/>
      <c r="F62" s="9"/>
      <c r="G62" s="9"/>
      <c r="H62" s="9"/>
      <c r="I62" s="10"/>
      <c r="J62" s="10"/>
    </row>
    <row r="63" spans="1:10" x14ac:dyDescent="0.25">
      <c r="A63" s="21" t="s">
        <v>68</v>
      </c>
      <c r="B63" s="21"/>
      <c r="C63" s="15" t="s">
        <v>2</v>
      </c>
      <c r="D63" s="15" t="s">
        <v>292</v>
      </c>
      <c r="E63" s="15" t="s">
        <v>70</v>
      </c>
      <c r="F63" s="15" t="s">
        <v>71</v>
      </c>
      <c r="G63" s="15" t="s">
        <v>72</v>
      </c>
      <c r="H63" s="14"/>
      <c r="I63" s="18"/>
      <c r="J63" s="18"/>
    </row>
    <row r="64" spans="1:10" x14ac:dyDescent="0.25">
      <c r="A64" s="20" t="s">
        <v>73</v>
      </c>
      <c r="B64" s="20"/>
      <c r="C64" s="17">
        <v>21.96</v>
      </c>
      <c r="D64" s="17">
        <v>70.400000000000006</v>
      </c>
      <c r="E64" s="17">
        <v>81.84</v>
      </c>
      <c r="F64" s="17">
        <v>48</v>
      </c>
      <c r="G64" s="17">
        <f>12/4*C64</f>
        <v>65.88</v>
      </c>
      <c r="H64" s="9"/>
      <c r="I64" s="10"/>
      <c r="J64" s="10"/>
    </row>
    <row r="65" spans="1:10" x14ac:dyDescent="0.25">
      <c r="A65" s="20" t="s">
        <v>74</v>
      </c>
      <c r="B65" s="20"/>
      <c r="C65" s="17">
        <v>15.7</v>
      </c>
      <c r="D65" s="17">
        <v>53.66</v>
      </c>
      <c r="E65" s="17">
        <v>55.63</v>
      </c>
      <c r="F65" s="17">
        <v>55.33</v>
      </c>
      <c r="G65" s="17">
        <f>12/4*C65</f>
        <v>47.099999999999994</v>
      </c>
      <c r="H65" s="9"/>
      <c r="I65" s="10"/>
      <c r="J65" s="10"/>
    </row>
    <row r="66" spans="1:10" x14ac:dyDescent="0.25">
      <c r="A66" s="20" t="s">
        <v>75</v>
      </c>
      <c r="B66" s="20"/>
      <c r="C66" s="17">
        <v>113.53</v>
      </c>
      <c r="D66" s="17">
        <v>346.85</v>
      </c>
      <c r="E66" s="17">
        <v>257.88</v>
      </c>
      <c r="F66" s="17">
        <v>242.78</v>
      </c>
      <c r="G66" s="17">
        <f>12/4*C66</f>
        <v>340.59000000000003</v>
      </c>
      <c r="H66" s="9"/>
      <c r="I66" s="10"/>
      <c r="J66" s="10"/>
    </row>
    <row r="67" spans="1:10" x14ac:dyDescent="0.25">
      <c r="A67" s="20" t="s">
        <v>76</v>
      </c>
      <c r="B67" s="20"/>
      <c r="C67" s="17">
        <v>32.6</v>
      </c>
      <c r="D67" s="17">
        <v>106.24</v>
      </c>
      <c r="E67" s="17">
        <v>103.14</v>
      </c>
      <c r="F67" s="17">
        <v>68.31</v>
      </c>
      <c r="G67" s="17">
        <f>12/4*C67</f>
        <v>97.800000000000011</v>
      </c>
      <c r="H67" s="9"/>
      <c r="I67" s="10"/>
      <c r="J67" s="10"/>
    </row>
    <row r="68" spans="1:10" x14ac:dyDescent="0.25">
      <c r="C68" s="9"/>
      <c r="D68" s="9"/>
      <c r="E68" s="9"/>
      <c r="F68" s="9"/>
      <c r="G68" s="9"/>
      <c r="H68" s="9"/>
      <c r="I68" s="10"/>
      <c r="J68" s="10"/>
    </row>
    <row r="69" spans="1:10" x14ac:dyDescent="0.25">
      <c r="C69" s="9"/>
      <c r="D69" s="9"/>
      <c r="E69" s="9"/>
      <c r="F69" s="9"/>
      <c r="G69" s="9"/>
      <c r="H69" s="9"/>
      <c r="I69" s="10"/>
      <c r="J69" s="10"/>
    </row>
    <row r="70" spans="1:10" x14ac:dyDescent="0.25">
      <c r="A70" s="19" t="s">
        <v>60</v>
      </c>
      <c r="B70" s="26"/>
      <c r="C70" s="9"/>
      <c r="D70" s="9"/>
      <c r="E70" s="9"/>
      <c r="F70" s="9"/>
      <c r="G70" s="9"/>
      <c r="H70" s="9"/>
      <c r="I70" s="10"/>
      <c r="J70" s="10"/>
    </row>
    <row r="71" spans="1:10" x14ac:dyDescent="0.25">
      <c r="A71" s="3" t="s">
        <v>77</v>
      </c>
      <c r="B71" s="1" t="s">
        <v>293</v>
      </c>
      <c r="C71" s="9"/>
      <c r="D71" s="9"/>
      <c r="E71" s="9"/>
      <c r="F71" s="9"/>
      <c r="G71" s="9"/>
      <c r="H71" s="9"/>
      <c r="I71" s="10"/>
      <c r="J71" s="10"/>
    </row>
    <row r="72" spans="1:10" x14ac:dyDescent="0.25">
      <c r="A72" s="3" t="s">
        <v>70</v>
      </c>
      <c r="B72" s="1" t="s">
        <v>79</v>
      </c>
    </row>
    <row r="73" spans="1:10" x14ac:dyDescent="0.25">
      <c r="A73" s="3" t="s">
        <v>71</v>
      </c>
      <c r="B73" s="1" t="s">
        <v>80</v>
      </c>
    </row>
    <row r="74" spans="1:10" x14ac:dyDescent="0.25">
      <c r="A74" s="3" t="s">
        <v>72</v>
      </c>
      <c r="B74" s="1" t="s">
        <v>81</v>
      </c>
    </row>
  </sheetData>
  <mergeCells count="19">
    <mergeCell ref="A65:B65"/>
    <mergeCell ref="A66:B66"/>
    <mergeCell ref="A67:B67"/>
    <mergeCell ref="A70:B70"/>
    <mergeCell ref="I58:I59"/>
    <mergeCell ref="J58:J59"/>
    <mergeCell ref="A59:B59"/>
    <mergeCell ref="A63:B63"/>
    <mergeCell ref="A64:B64"/>
    <mergeCell ref="A51:B51"/>
    <mergeCell ref="A52:B52"/>
    <mergeCell ref="A57:B57"/>
    <mergeCell ref="A58:B58"/>
    <mergeCell ref="H58:H59"/>
    <mergeCell ref="C7:G7"/>
    <mergeCell ref="A43:B43"/>
    <mergeCell ref="A44:B44"/>
    <mergeCell ref="A49:B49"/>
    <mergeCell ref="A50:B50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2:J79"/>
  <sheetViews>
    <sheetView workbookViewId="0">
      <selection activeCell="C9" sqref="C9:J79"/>
    </sheetView>
  </sheetViews>
  <sheetFormatPr defaultRowHeight="15" x14ac:dyDescent="0.25"/>
  <cols>
    <col min="1" max="1" width="38.85546875" bestFit="1" customWidth="1"/>
    <col min="2" max="2" width="79" bestFit="1" customWidth="1"/>
    <col min="3" max="3" width="14" bestFit="1" customWidth="1"/>
    <col min="4" max="4" width="41.140625" bestFit="1" customWidth="1"/>
    <col min="5" max="5" width="16.42578125" bestFit="1" customWidth="1"/>
    <col min="6" max="6" width="10.5703125" bestFit="1" customWidth="1"/>
    <col min="7" max="7" width="68.28515625" bestFit="1" customWidth="1"/>
    <col min="8" max="9" width="20" bestFit="1" customWidth="1"/>
    <col min="10" max="10" width="30.5703125" bestFit="1" customWidth="1"/>
  </cols>
  <sheetData>
    <row r="2" spans="1:10" ht="18.75" x14ac:dyDescent="0.3">
      <c r="A2" s="3" t="s">
        <v>0</v>
      </c>
      <c r="B2" s="4" t="s">
        <v>294</v>
      </c>
    </row>
    <row r="3" spans="1:10" x14ac:dyDescent="0.25">
      <c r="A3" s="3" t="s">
        <v>2</v>
      </c>
      <c r="B3" s="1" t="s">
        <v>3</v>
      </c>
    </row>
    <row r="4" spans="1:10" x14ac:dyDescent="0.25">
      <c r="A4" s="3" t="s">
        <v>4</v>
      </c>
      <c r="B4" s="1">
        <v>7923</v>
      </c>
    </row>
    <row r="7" spans="1:10" x14ac:dyDescent="0.25">
      <c r="C7" s="19" t="s">
        <v>5</v>
      </c>
      <c r="D7" s="20"/>
      <c r="E7" s="20"/>
      <c r="F7" s="20"/>
      <c r="G7" s="20"/>
    </row>
    <row r="8" spans="1:10" x14ac:dyDescent="0.25">
      <c r="A8" s="3" t="s">
        <v>6</v>
      </c>
      <c r="B8" s="3" t="s">
        <v>7</v>
      </c>
      <c r="C8" s="3" t="s">
        <v>8</v>
      </c>
      <c r="D8" s="3" t="s">
        <v>9</v>
      </c>
      <c r="E8" s="3" t="s">
        <v>10</v>
      </c>
      <c r="F8" s="3" t="s">
        <v>11</v>
      </c>
      <c r="G8" s="3" t="s">
        <v>12</v>
      </c>
      <c r="H8" s="3" t="s">
        <v>13</v>
      </c>
      <c r="I8" s="3" t="s">
        <v>14</v>
      </c>
      <c r="J8" s="3" t="s">
        <v>15</v>
      </c>
    </row>
    <row r="9" spans="1:10" x14ac:dyDescent="0.25">
      <c r="A9" s="1" t="s">
        <v>16</v>
      </c>
      <c r="B9" s="1" t="s">
        <v>17</v>
      </c>
      <c r="C9" s="11"/>
      <c r="D9" s="11"/>
      <c r="E9" s="11">
        <v>57</v>
      </c>
      <c r="F9" s="11"/>
      <c r="G9" s="11">
        <f t="shared" ref="G9:G39" si="0">SUM(C9:F9)</f>
        <v>57</v>
      </c>
      <c r="H9" s="17">
        <f t="shared" ref="H9:H39" si="1">ROUND(G9/7923,2)</f>
        <v>0.01</v>
      </c>
      <c r="I9" s="16">
        <f t="shared" ref="I9:I39" si="2">ROUND(G9/$G$40,3)</f>
        <v>0</v>
      </c>
      <c r="J9" s="16">
        <f>ROUND(G9/126-1,2)</f>
        <v>-0.55000000000000004</v>
      </c>
    </row>
    <row r="10" spans="1:10" x14ac:dyDescent="0.25">
      <c r="A10" s="1" t="s">
        <v>16</v>
      </c>
      <c r="B10" s="1" t="s">
        <v>19</v>
      </c>
      <c r="C10" s="11">
        <v>87420</v>
      </c>
      <c r="D10" s="11"/>
      <c r="E10" s="11">
        <v>4770</v>
      </c>
      <c r="F10" s="11"/>
      <c r="G10" s="11">
        <f t="shared" si="0"/>
        <v>92190</v>
      </c>
      <c r="H10" s="17">
        <f t="shared" si="1"/>
        <v>11.64</v>
      </c>
      <c r="I10" s="16">
        <f t="shared" si="2"/>
        <v>7.1999999999999995E-2</v>
      </c>
      <c r="J10" s="16">
        <f>ROUND(G10/81530-1,2)</f>
        <v>0.13</v>
      </c>
    </row>
    <row r="11" spans="1:10" x14ac:dyDescent="0.25">
      <c r="A11" s="1" t="s">
        <v>16</v>
      </c>
      <c r="B11" s="1" t="s">
        <v>20</v>
      </c>
      <c r="C11" s="11">
        <v>116350</v>
      </c>
      <c r="D11" s="11"/>
      <c r="E11" s="11"/>
      <c r="F11" s="11"/>
      <c r="G11" s="11">
        <f t="shared" si="0"/>
        <v>116350</v>
      </c>
      <c r="H11" s="17">
        <f t="shared" si="1"/>
        <v>14.69</v>
      </c>
      <c r="I11" s="16">
        <f t="shared" si="2"/>
        <v>9.0999999999999998E-2</v>
      </c>
      <c r="J11" s="16">
        <f>ROUND(G11/118360-1,2)</f>
        <v>-0.02</v>
      </c>
    </row>
    <row r="12" spans="1:10" x14ac:dyDescent="0.25">
      <c r="A12" s="1" t="s">
        <v>16</v>
      </c>
      <c r="B12" s="1" t="s">
        <v>94</v>
      </c>
      <c r="C12" s="11"/>
      <c r="D12" s="11"/>
      <c r="E12" s="11">
        <v>110</v>
      </c>
      <c r="F12" s="11"/>
      <c r="G12" s="11">
        <f t="shared" si="0"/>
        <v>110</v>
      </c>
      <c r="H12" s="17">
        <f t="shared" si="1"/>
        <v>0.01</v>
      </c>
      <c r="I12" s="16">
        <f t="shared" si="2"/>
        <v>0</v>
      </c>
      <c r="J12" s="16">
        <f>ROUND(G12/96-1,2)</f>
        <v>0.15</v>
      </c>
    </row>
    <row r="13" spans="1:10" x14ac:dyDescent="0.25">
      <c r="A13" s="1" t="s">
        <v>16</v>
      </c>
      <c r="B13" s="1" t="s">
        <v>21</v>
      </c>
      <c r="C13" s="11"/>
      <c r="D13" s="11"/>
      <c r="E13" s="11">
        <v>113</v>
      </c>
      <c r="F13" s="11"/>
      <c r="G13" s="11">
        <f t="shared" si="0"/>
        <v>113</v>
      </c>
      <c r="H13" s="17">
        <f t="shared" si="1"/>
        <v>0.01</v>
      </c>
      <c r="I13" s="16">
        <f t="shared" si="2"/>
        <v>0</v>
      </c>
      <c r="J13" s="16">
        <f>ROUND(G13/128-1,2)</f>
        <v>-0.12</v>
      </c>
    </row>
    <row r="14" spans="1:10" x14ac:dyDescent="0.25">
      <c r="A14" s="1" t="s">
        <v>16</v>
      </c>
      <c r="B14" s="1" t="s">
        <v>22</v>
      </c>
      <c r="C14" s="11"/>
      <c r="D14" s="11"/>
      <c r="E14" s="11">
        <v>2000</v>
      </c>
      <c r="F14" s="11"/>
      <c r="G14" s="11">
        <f t="shared" si="0"/>
        <v>2000</v>
      </c>
      <c r="H14" s="17">
        <f t="shared" si="1"/>
        <v>0.25</v>
      </c>
      <c r="I14" s="16">
        <f t="shared" si="2"/>
        <v>2E-3</v>
      </c>
      <c r="J14" s="16"/>
    </row>
    <row r="15" spans="1:10" x14ac:dyDescent="0.25">
      <c r="A15" s="1" t="s">
        <v>16</v>
      </c>
      <c r="B15" s="1" t="s">
        <v>23</v>
      </c>
      <c r="C15" s="11"/>
      <c r="D15" s="11"/>
      <c r="E15" s="11">
        <v>56320</v>
      </c>
      <c r="F15" s="11"/>
      <c r="G15" s="11">
        <f t="shared" si="0"/>
        <v>56320</v>
      </c>
      <c r="H15" s="17">
        <f t="shared" si="1"/>
        <v>7.11</v>
      </c>
      <c r="I15" s="16">
        <f t="shared" si="2"/>
        <v>4.3999999999999997E-2</v>
      </c>
      <c r="J15" s="16">
        <f>ROUND(G15/61320-1,2)</f>
        <v>-0.08</v>
      </c>
    </row>
    <row r="16" spans="1:10" x14ac:dyDescent="0.25">
      <c r="A16" s="1" t="s">
        <v>16</v>
      </c>
      <c r="B16" s="1" t="s">
        <v>24</v>
      </c>
      <c r="C16" s="11">
        <v>134720</v>
      </c>
      <c r="D16" s="11"/>
      <c r="E16" s="11">
        <v>17000</v>
      </c>
      <c r="F16" s="11"/>
      <c r="G16" s="11">
        <f t="shared" si="0"/>
        <v>151720</v>
      </c>
      <c r="H16" s="17">
        <f t="shared" si="1"/>
        <v>19.149999999999999</v>
      </c>
      <c r="I16" s="16">
        <f t="shared" si="2"/>
        <v>0.11799999999999999</v>
      </c>
      <c r="J16" s="16">
        <f>ROUND(G16/155080-1,2)</f>
        <v>-0.02</v>
      </c>
    </row>
    <row r="17" spans="1:10" x14ac:dyDescent="0.25">
      <c r="A17" s="1" t="s">
        <v>16</v>
      </c>
      <c r="B17" s="1" t="s">
        <v>25</v>
      </c>
      <c r="C17" s="11"/>
      <c r="D17" s="11"/>
      <c r="E17" s="11">
        <v>6695</v>
      </c>
      <c r="F17" s="11"/>
      <c r="G17" s="11">
        <f t="shared" si="0"/>
        <v>6695</v>
      </c>
      <c r="H17" s="17">
        <f t="shared" si="1"/>
        <v>0.85</v>
      </c>
      <c r="I17" s="16">
        <f t="shared" si="2"/>
        <v>5.0000000000000001E-3</v>
      </c>
      <c r="J17" s="16">
        <f>ROUND(G17/2280-1,2)</f>
        <v>1.94</v>
      </c>
    </row>
    <row r="18" spans="1:10" x14ac:dyDescent="0.25">
      <c r="A18" s="1" t="s">
        <v>16</v>
      </c>
      <c r="B18" s="1" t="s">
        <v>26</v>
      </c>
      <c r="C18" s="11">
        <v>231860</v>
      </c>
      <c r="D18" s="11"/>
      <c r="E18" s="11"/>
      <c r="F18" s="11">
        <v>600</v>
      </c>
      <c r="G18" s="11">
        <f t="shared" si="0"/>
        <v>232460</v>
      </c>
      <c r="H18" s="17">
        <f t="shared" si="1"/>
        <v>29.34</v>
      </c>
      <c r="I18" s="16">
        <f t="shared" si="2"/>
        <v>0.18099999999999999</v>
      </c>
      <c r="J18" s="16">
        <f>ROUND(G18/222560-1,2)</f>
        <v>0.04</v>
      </c>
    </row>
    <row r="19" spans="1:10" x14ac:dyDescent="0.25">
      <c r="A19" s="1" t="s">
        <v>16</v>
      </c>
      <c r="B19" s="1" t="s">
        <v>27</v>
      </c>
      <c r="C19" s="11"/>
      <c r="D19" s="11"/>
      <c r="E19" s="11">
        <v>398</v>
      </c>
      <c r="F19" s="11"/>
      <c r="G19" s="11">
        <f t="shared" si="0"/>
        <v>398</v>
      </c>
      <c r="H19" s="17">
        <f t="shared" si="1"/>
        <v>0.05</v>
      </c>
      <c r="I19" s="16">
        <f t="shared" si="2"/>
        <v>0</v>
      </c>
      <c r="J19" s="16">
        <f>ROUND(G19/846-1,2)</f>
        <v>-0.53</v>
      </c>
    </row>
    <row r="20" spans="1:10" x14ac:dyDescent="0.25">
      <c r="A20" s="1" t="s">
        <v>16</v>
      </c>
      <c r="B20" s="1" t="s">
        <v>28</v>
      </c>
      <c r="C20" s="11"/>
      <c r="D20" s="11"/>
      <c r="E20" s="11">
        <v>267</v>
      </c>
      <c r="F20" s="11"/>
      <c r="G20" s="11">
        <f t="shared" si="0"/>
        <v>267</v>
      </c>
      <c r="H20" s="17">
        <f t="shared" si="1"/>
        <v>0.03</v>
      </c>
      <c r="I20" s="16">
        <f t="shared" si="2"/>
        <v>0</v>
      </c>
      <c r="J20" s="16">
        <f>ROUND(G20/270-1,2)</f>
        <v>-0.01</v>
      </c>
    </row>
    <row r="21" spans="1:10" x14ac:dyDescent="0.25">
      <c r="A21" s="1" t="s">
        <v>16</v>
      </c>
      <c r="B21" s="1" t="s">
        <v>29</v>
      </c>
      <c r="C21" s="11"/>
      <c r="D21" s="11"/>
      <c r="E21" s="11">
        <v>930</v>
      </c>
      <c r="F21" s="11"/>
      <c r="G21" s="11">
        <f t="shared" si="0"/>
        <v>930</v>
      </c>
      <c r="H21" s="17">
        <f t="shared" si="1"/>
        <v>0.12</v>
      </c>
      <c r="I21" s="16">
        <f t="shared" si="2"/>
        <v>1E-3</v>
      </c>
      <c r="J21" s="16">
        <f>ROUND(G21/720-1,2)</f>
        <v>0.28999999999999998</v>
      </c>
    </row>
    <row r="22" spans="1:10" x14ac:dyDescent="0.25">
      <c r="A22" s="1" t="s">
        <v>16</v>
      </c>
      <c r="B22" s="1" t="s">
        <v>30</v>
      </c>
      <c r="C22" s="11"/>
      <c r="D22" s="11"/>
      <c r="E22" s="11">
        <v>370</v>
      </c>
      <c r="F22" s="11"/>
      <c r="G22" s="11">
        <f t="shared" si="0"/>
        <v>370</v>
      </c>
      <c r="H22" s="17">
        <f t="shared" si="1"/>
        <v>0.05</v>
      </c>
      <c r="I22" s="16">
        <f t="shared" si="2"/>
        <v>0</v>
      </c>
      <c r="J22" s="16">
        <f>ROUND(G22/630-1,2)</f>
        <v>-0.41</v>
      </c>
    </row>
    <row r="23" spans="1:10" x14ac:dyDescent="0.25">
      <c r="A23" s="1" t="s">
        <v>16</v>
      </c>
      <c r="B23" s="1" t="s">
        <v>31</v>
      </c>
      <c r="C23" s="11"/>
      <c r="D23" s="11"/>
      <c r="E23" s="11">
        <v>2245</v>
      </c>
      <c r="F23" s="11"/>
      <c r="G23" s="11">
        <f t="shared" si="0"/>
        <v>2245</v>
      </c>
      <c r="H23" s="17">
        <f t="shared" si="1"/>
        <v>0.28000000000000003</v>
      </c>
      <c r="I23" s="16">
        <f t="shared" si="2"/>
        <v>2E-3</v>
      </c>
      <c r="J23" s="16">
        <f>ROUND(G23/1755-1,2)</f>
        <v>0.28000000000000003</v>
      </c>
    </row>
    <row r="24" spans="1:10" x14ac:dyDescent="0.25">
      <c r="A24" s="1" t="s">
        <v>16</v>
      </c>
      <c r="B24" s="1" t="s">
        <v>32</v>
      </c>
      <c r="C24" s="11"/>
      <c r="D24" s="11">
        <v>252</v>
      </c>
      <c r="E24" s="11"/>
      <c r="F24" s="11"/>
      <c r="G24" s="11">
        <f t="shared" si="0"/>
        <v>252</v>
      </c>
      <c r="H24" s="17">
        <f t="shared" si="1"/>
        <v>0.03</v>
      </c>
      <c r="I24" s="16">
        <f t="shared" si="2"/>
        <v>0</v>
      </c>
      <c r="J24" s="16">
        <f>ROUND(G24/334-1,2)</f>
        <v>-0.25</v>
      </c>
    </row>
    <row r="25" spans="1:10" x14ac:dyDescent="0.25">
      <c r="A25" s="1" t="s">
        <v>16</v>
      </c>
      <c r="B25" s="1" t="s">
        <v>33</v>
      </c>
      <c r="C25" s="11"/>
      <c r="D25" s="11"/>
      <c r="E25" s="11">
        <v>600</v>
      </c>
      <c r="F25" s="11"/>
      <c r="G25" s="11">
        <f t="shared" si="0"/>
        <v>600</v>
      </c>
      <c r="H25" s="17">
        <f t="shared" si="1"/>
        <v>0.08</v>
      </c>
      <c r="I25" s="16">
        <f t="shared" si="2"/>
        <v>0</v>
      </c>
      <c r="J25" s="16"/>
    </row>
    <row r="26" spans="1:10" x14ac:dyDescent="0.25">
      <c r="A26" s="1" t="s">
        <v>16</v>
      </c>
      <c r="B26" s="1" t="s">
        <v>34</v>
      </c>
      <c r="C26" s="11"/>
      <c r="D26" s="11">
        <v>250</v>
      </c>
      <c r="E26" s="11">
        <v>520</v>
      </c>
      <c r="F26" s="11"/>
      <c r="G26" s="11">
        <f t="shared" si="0"/>
        <v>770</v>
      </c>
      <c r="H26" s="17">
        <f t="shared" si="1"/>
        <v>0.1</v>
      </c>
      <c r="I26" s="16">
        <f t="shared" si="2"/>
        <v>1E-3</v>
      </c>
      <c r="J26" s="16">
        <f>ROUND(G26/520-1,2)</f>
        <v>0.48</v>
      </c>
    </row>
    <row r="27" spans="1:10" x14ac:dyDescent="0.25">
      <c r="A27" s="1" t="s">
        <v>16</v>
      </c>
      <c r="B27" s="1" t="s">
        <v>35</v>
      </c>
      <c r="C27" s="11"/>
      <c r="D27" s="11"/>
      <c r="E27" s="11">
        <v>70260</v>
      </c>
      <c r="F27" s="11"/>
      <c r="G27" s="11">
        <f t="shared" si="0"/>
        <v>70260</v>
      </c>
      <c r="H27" s="17">
        <f t="shared" si="1"/>
        <v>8.8699999999999992</v>
      </c>
      <c r="I27" s="16">
        <f t="shared" si="2"/>
        <v>5.5E-2</v>
      </c>
      <c r="J27" s="16">
        <f>ROUND(G27/53245-1,2)</f>
        <v>0.32</v>
      </c>
    </row>
    <row r="28" spans="1:10" x14ac:dyDescent="0.25">
      <c r="A28" s="1" t="s">
        <v>16</v>
      </c>
      <c r="B28" s="1" t="s">
        <v>37</v>
      </c>
      <c r="C28" s="11"/>
      <c r="D28" s="11"/>
      <c r="E28" s="11">
        <v>22640</v>
      </c>
      <c r="F28" s="11"/>
      <c r="G28" s="11">
        <f t="shared" si="0"/>
        <v>22640</v>
      </c>
      <c r="H28" s="17">
        <f t="shared" si="1"/>
        <v>2.86</v>
      </c>
      <c r="I28" s="16">
        <f t="shared" si="2"/>
        <v>1.7999999999999999E-2</v>
      </c>
      <c r="J28" s="16">
        <f>ROUND(G28/19140-1,2)</f>
        <v>0.18</v>
      </c>
    </row>
    <row r="29" spans="1:10" x14ac:dyDescent="0.25">
      <c r="A29" s="1" t="s">
        <v>16</v>
      </c>
      <c r="B29" s="1" t="s">
        <v>38</v>
      </c>
      <c r="C29" s="11"/>
      <c r="D29" s="11"/>
      <c r="E29" s="11">
        <v>133120</v>
      </c>
      <c r="F29" s="11"/>
      <c r="G29" s="11">
        <f t="shared" si="0"/>
        <v>133120</v>
      </c>
      <c r="H29" s="17">
        <f t="shared" si="1"/>
        <v>16.8</v>
      </c>
      <c r="I29" s="16">
        <f t="shared" si="2"/>
        <v>0.104</v>
      </c>
      <c r="J29" s="16">
        <f>ROUND(G29/96660-1,2)</f>
        <v>0.38</v>
      </c>
    </row>
    <row r="30" spans="1:10" x14ac:dyDescent="0.25">
      <c r="A30" s="1" t="s">
        <v>16</v>
      </c>
      <c r="B30" s="1" t="s">
        <v>40</v>
      </c>
      <c r="C30" s="11"/>
      <c r="D30" s="11"/>
      <c r="E30" s="11"/>
      <c r="F30" s="11"/>
      <c r="G30" s="11">
        <f t="shared" si="0"/>
        <v>0</v>
      </c>
      <c r="H30" s="17">
        <f t="shared" si="1"/>
        <v>0</v>
      </c>
      <c r="I30" s="16">
        <f t="shared" si="2"/>
        <v>0</v>
      </c>
      <c r="J30" s="16">
        <f>ROUND(G30/3248-1,2)</f>
        <v>-1</v>
      </c>
    </row>
    <row r="31" spans="1:10" x14ac:dyDescent="0.25">
      <c r="A31" s="1" t="s">
        <v>16</v>
      </c>
      <c r="B31" s="1" t="s">
        <v>41</v>
      </c>
      <c r="C31" s="11"/>
      <c r="D31" s="11"/>
      <c r="E31" s="11"/>
      <c r="F31" s="11"/>
      <c r="G31" s="11">
        <f t="shared" si="0"/>
        <v>0</v>
      </c>
      <c r="H31" s="17">
        <f t="shared" si="1"/>
        <v>0</v>
      </c>
      <c r="I31" s="16">
        <f t="shared" si="2"/>
        <v>0</v>
      </c>
      <c r="J31" s="16">
        <f>ROUND(G31/2166-1,2)</f>
        <v>-1</v>
      </c>
    </row>
    <row r="32" spans="1:10" x14ac:dyDescent="0.25">
      <c r="A32" s="1" t="s">
        <v>16</v>
      </c>
      <c r="B32" s="1" t="s">
        <v>43</v>
      </c>
      <c r="C32" s="11"/>
      <c r="D32" s="11"/>
      <c r="E32" s="11"/>
      <c r="F32" s="11"/>
      <c r="G32" s="11">
        <f t="shared" si="0"/>
        <v>0</v>
      </c>
      <c r="H32" s="17">
        <f t="shared" si="1"/>
        <v>0</v>
      </c>
      <c r="I32" s="16">
        <f t="shared" si="2"/>
        <v>0</v>
      </c>
      <c r="J32" s="16">
        <f>ROUND(G32/4522-1,2)</f>
        <v>-1</v>
      </c>
    </row>
    <row r="33" spans="1:10" x14ac:dyDescent="0.25">
      <c r="A33" s="1" t="s">
        <v>16</v>
      </c>
      <c r="B33" s="1" t="s">
        <v>42</v>
      </c>
      <c r="C33" s="11"/>
      <c r="D33" s="11"/>
      <c r="E33" s="11"/>
      <c r="F33" s="11"/>
      <c r="G33" s="11">
        <f t="shared" si="0"/>
        <v>0</v>
      </c>
      <c r="H33" s="17">
        <f t="shared" si="1"/>
        <v>0</v>
      </c>
      <c r="I33" s="16">
        <f t="shared" si="2"/>
        <v>0</v>
      </c>
      <c r="J33" s="16">
        <f>ROUND(G33/7933-1,2)</f>
        <v>-1</v>
      </c>
    </row>
    <row r="34" spans="1:10" x14ac:dyDescent="0.25">
      <c r="A34" s="1" t="s">
        <v>16</v>
      </c>
      <c r="B34" s="1" t="s">
        <v>39</v>
      </c>
      <c r="C34" s="11"/>
      <c r="D34" s="11"/>
      <c r="E34" s="11"/>
      <c r="F34" s="11"/>
      <c r="G34" s="11">
        <f t="shared" si="0"/>
        <v>0</v>
      </c>
      <c r="H34" s="17">
        <f t="shared" si="1"/>
        <v>0</v>
      </c>
      <c r="I34" s="16">
        <f t="shared" si="2"/>
        <v>0</v>
      </c>
      <c r="J34" s="16">
        <f>ROUND(G34/161-1,2)</f>
        <v>-1</v>
      </c>
    </row>
    <row r="35" spans="1:10" x14ac:dyDescent="0.25">
      <c r="A35" s="1" t="s">
        <v>44</v>
      </c>
      <c r="B35" s="1" t="s">
        <v>45</v>
      </c>
      <c r="C35" s="11">
        <v>294680</v>
      </c>
      <c r="D35" s="11"/>
      <c r="E35" s="11"/>
      <c r="F35" s="11"/>
      <c r="G35" s="11">
        <f t="shared" si="0"/>
        <v>294680</v>
      </c>
      <c r="H35" s="17">
        <f t="shared" si="1"/>
        <v>37.19</v>
      </c>
      <c r="I35" s="16">
        <f t="shared" si="2"/>
        <v>0.23</v>
      </c>
      <c r="J35" s="16">
        <f>ROUND(G35/277050-1,2)</f>
        <v>0.06</v>
      </c>
    </row>
    <row r="36" spans="1:10" x14ac:dyDescent="0.25">
      <c r="A36" s="1" t="s">
        <v>44</v>
      </c>
      <c r="B36" s="1" t="s">
        <v>47</v>
      </c>
      <c r="C36" s="11"/>
      <c r="D36" s="11"/>
      <c r="E36" s="11"/>
      <c r="F36" s="11">
        <v>48080</v>
      </c>
      <c r="G36" s="11">
        <f t="shared" si="0"/>
        <v>48080</v>
      </c>
      <c r="H36" s="17">
        <f t="shared" si="1"/>
        <v>6.07</v>
      </c>
      <c r="I36" s="16">
        <f t="shared" si="2"/>
        <v>3.6999999999999998E-2</v>
      </c>
      <c r="J36" s="16">
        <f>ROUND(G36/17460-1,2)</f>
        <v>1.75</v>
      </c>
    </row>
    <row r="37" spans="1:10" x14ac:dyDescent="0.25">
      <c r="A37" s="1" t="s">
        <v>44</v>
      </c>
      <c r="B37" s="1" t="s">
        <v>46</v>
      </c>
      <c r="C37" s="11"/>
      <c r="D37" s="11"/>
      <c r="E37" s="11">
        <v>49860</v>
      </c>
      <c r="F37" s="11"/>
      <c r="G37" s="11">
        <f t="shared" si="0"/>
        <v>49860</v>
      </c>
      <c r="H37" s="17">
        <f t="shared" si="1"/>
        <v>6.29</v>
      </c>
      <c r="I37" s="16">
        <f t="shared" si="2"/>
        <v>3.9E-2</v>
      </c>
      <c r="J37" s="16">
        <f>ROUND(G37/55740-1,2)</f>
        <v>-0.11</v>
      </c>
    </row>
    <row r="38" spans="1:10" x14ac:dyDescent="0.25">
      <c r="A38" s="1" t="s">
        <v>48</v>
      </c>
      <c r="B38" s="1" t="s">
        <v>51</v>
      </c>
      <c r="C38" s="11"/>
      <c r="D38" s="11"/>
      <c r="E38" s="11"/>
      <c r="F38" s="11"/>
      <c r="G38" s="11">
        <f t="shared" si="0"/>
        <v>0</v>
      </c>
      <c r="H38" s="17">
        <f t="shared" si="1"/>
        <v>0</v>
      </c>
      <c r="I38" s="16">
        <f t="shared" si="2"/>
        <v>0</v>
      </c>
      <c r="J38" s="16"/>
    </row>
    <row r="39" spans="1:10" x14ac:dyDescent="0.25">
      <c r="A39" s="1" t="s">
        <v>48</v>
      </c>
      <c r="B39" s="1" t="s">
        <v>49</v>
      </c>
      <c r="C39" s="11"/>
      <c r="D39" s="11"/>
      <c r="E39" s="11"/>
      <c r="F39" s="11"/>
      <c r="G39" s="11">
        <f t="shared" si="0"/>
        <v>0</v>
      </c>
      <c r="H39" s="17">
        <f t="shared" si="1"/>
        <v>0</v>
      </c>
      <c r="I39" s="16">
        <f t="shared" si="2"/>
        <v>0</v>
      </c>
      <c r="J39" s="16">
        <f>ROUND(G39/125-1,2)</f>
        <v>-1</v>
      </c>
    </row>
    <row r="40" spans="1:10" x14ac:dyDescent="0.25">
      <c r="A40" s="21" t="s">
        <v>12</v>
      </c>
      <c r="B40" s="21"/>
      <c r="C40" s="12">
        <f t="shared" ref="C40:H40" si="3">SUM(C8:C39)</f>
        <v>865030</v>
      </c>
      <c r="D40" s="12">
        <f t="shared" si="3"/>
        <v>502</v>
      </c>
      <c r="E40" s="12">
        <f t="shared" si="3"/>
        <v>368275</v>
      </c>
      <c r="F40" s="12">
        <f t="shared" si="3"/>
        <v>48680</v>
      </c>
      <c r="G40" s="12">
        <f t="shared" si="3"/>
        <v>1282487</v>
      </c>
      <c r="H40" s="15">
        <f t="shared" si="3"/>
        <v>161.87999999999997</v>
      </c>
      <c r="I40" s="18"/>
      <c r="J40" s="18"/>
    </row>
    <row r="41" spans="1:10" x14ac:dyDescent="0.25">
      <c r="A41" s="21" t="s">
        <v>14</v>
      </c>
      <c r="B41" s="21"/>
      <c r="C41" s="13">
        <f>ROUND(C40/G40,2)</f>
        <v>0.67</v>
      </c>
      <c r="D41" s="13">
        <f>ROUND(D40/G40,2)</f>
        <v>0</v>
      </c>
      <c r="E41" s="13">
        <f>ROUND(E40/G40,2)</f>
        <v>0.28999999999999998</v>
      </c>
      <c r="F41" s="13">
        <f>ROUND(F40/G40,2)</f>
        <v>0.04</v>
      </c>
      <c r="G41" s="14"/>
      <c r="H41" s="14"/>
      <c r="I41" s="18"/>
      <c r="J41" s="18"/>
    </row>
    <row r="42" spans="1:10" x14ac:dyDescent="0.25">
      <c r="A42" s="2" t="s">
        <v>52</v>
      </c>
      <c r="B42" s="2"/>
      <c r="C42" s="14"/>
      <c r="D42" s="14"/>
      <c r="E42" s="14"/>
      <c r="F42" s="14"/>
      <c r="G42" s="14"/>
      <c r="H42" s="14"/>
      <c r="I42" s="18"/>
      <c r="J42" s="18"/>
    </row>
    <row r="43" spans="1:10" x14ac:dyDescent="0.25">
      <c r="C43" s="9"/>
      <c r="D43" s="9"/>
      <c r="E43" s="9"/>
      <c r="F43" s="9"/>
      <c r="G43" s="9"/>
      <c r="H43" s="9"/>
      <c r="I43" s="10"/>
      <c r="J43" s="10"/>
    </row>
    <row r="44" spans="1:10" x14ac:dyDescent="0.25">
      <c r="C44" s="9"/>
      <c r="D44" s="9"/>
      <c r="E44" s="9"/>
      <c r="F44" s="9"/>
      <c r="G44" s="9"/>
      <c r="H44" s="9"/>
      <c r="I44" s="10"/>
      <c r="J44" s="10"/>
    </row>
    <row r="45" spans="1:10" x14ac:dyDescent="0.25">
      <c r="C45" s="9"/>
      <c r="D45" s="9"/>
      <c r="E45" s="9"/>
      <c r="F45" s="9"/>
      <c r="G45" s="9"/>
      <c r="H45" s="9"/>
      <c r="I45" s="10"/>
      <c r="J45" s="10"/>
    </row>
    <row r="46" spans="1:10" x14ac:dyDescent="0.25">
      <c r="A46" s="21" t="s">
        <v>53</v>
      </c>
      <c r="B46" s="21"/>
      <c r="C46" s="12" t="s">
        <v>8</v>
      </c>
      <c r="D46" s="12" t="s">
        <v>9</v>
      </c>
      <c r="E46" s="12" t="s">
        <v>10</v>
      </c>
      <c r="F46" s="12" t="s">
        <v>11</v>
      </c>
      <c r="G46" s="12" t="s">
        <v>12</v>
      </c>
      <c r="H46" s="15" t="s">
        <v>13</v>
      </c>
      <c r="I46" s="18"/>
      <c r="J46" s="18"/>
    </row>
    <row r="47" spans="1:10" x14ac:dyDescent="0.25">
      <c r="A47" s="20" t="s">
        <v>54</v>
      </c>
      <c r="B47" s="20"/>
      <c r="C47" s="11">
        <v>570350</v>
      </c>
      <c r="D47" s="11">
        <v>502</v>
      </c>
      <c r="E47" s="11">
        <v>318415</v>
      </c>
      <c r="F47" s="11">
        <v>600</v>
      </c>
      <c r="G47" s="11">
        <f>SUM(C47:F47)</f>
        <v>889867</v>
      </c>
      <c r="H47" s="17">
        <f>ROUND(G47/7923,2)</f>
        <v>112.31</v>
      </c>
      <c r="I47" s="10"/>
      <c r="J47" s="10"/>
    </row>
    <row r="48" spans="1:10" x14ac:dyDescent="0.25">
      <c r="A48" s="20" t="s">
        <v>55</v>
      </c>
      <c r="B48" s="20"/>
      <c r="C48" s="11">
        <v>294680</v>
      </c>
      <c r="D48" s="11">
        <v>0</v>
      </c>
      <c r="E48" s="11">
        <v>49860</v>
      </c>
      <c r="F48" s="11">
        <v>48080</v>
      </c>
      <c r="G48" s="11">
        <f>SUM(C48:F48)</f>
        <v>392620</v>
      </c>
      <c r="H48" s="17">
        <f>ROUND(G48/7923,2)</f>
        <v>49.55</v>
      </c>
      <c r="I48" s="10"/>
      <c r="J48" s="10"/>
    </row>
    <row r="49" spans="1:10" x14ac:dyDescent="0.25">
      <c r="A49" s="20" t="s">
        <v>56</v>
      </c>
      <c r="B49" s="20"/>
      <c r="C49" s="11">
        <v>0</v>
      </c>
      <c r="D49" s="11">
        <v>0</v>
      </c>
      <c r="E49" s="11">
        <v>0</v>
      </c>
      <c r="F49" s="11">
        <v>0</v>
      </c>
      <c r="G49" s="11">
        <f>SUM(C49:F49)</f>
        <v>0</v>
      </c>
      <c r="H49" s="17">
        <f>ROUND(G49/7923,2)</f>
        <v>0</v>
      </c>
      <c r="I49" s="10"/>
      <c r="J49" s="10"/>
    </row>
    <row r="50" spans="1:10" x14ac:dyDescent="0.25">
      <c r="C50" s="9"/>
      <c r="D50" s="9"/>
      <c r="E50" s="9"/>
      <c r="F50" s="9"/>
      <c r="G50" s="9"/>
      <c r="H50" s="9"/>
      <c r="I50" s="10"/>
      <c r="J50" s="10"/>
    </row>
    <row r="51" spans="1:10" x14ac:dyDescent="0.25">
      <c r="C51" s="9"/>
      <c r="D51" s="9"/>
      <c r="E51" s="9"/>
      <c r="F51" s="9"/>
      <c r="G51" s="9"/>
      <c r="H51" s="9"/>
      <c r="I51" s="10"/>
      <c r="J51" s="10"/>
    </row>
    <row r="52" spans="1:10" x14ac:dyDescent="0.25">
      <c r="C52" s="9"/>
      <c r="D52" s="9"/>
      <c r="E52" s="9"/>
      <c r="F52" s="9"/>
      <c r="G52" s="9"/>
      <c r="H52" s="9"/>
      <c r="I52" s="10"/>
      <c r="J52" s="10"/>
    </row>
    <row r="53" spans="1:10" x14ac:dyDescent="0.25">
      <c r="C53" s="9"/>
      <c r="D53" s="9"/>
      <c r="E53" s="9"/>
      <c r="F53" s="9"/>
      <c r="G53" s="9"/>
      <c r="H53" s="9"/>
      <c r="I53" s="10"/>
      <c r="J53" s="10"/>
    </row>
    <row r="54" spans="1:10" x14ac:dyDescent="0.25">
      <c r="A54" s="21" t="s">
        <v>57</v>
      </c>
      <c r="B54" s="21"/>
      <c r="C54" s="15" t="s">
        <v>2</v>
      </c>
      <c r="D54" s="15">
        <v>2023</v>
      </c>
      <c r="E54" s="15" t="s">
        <v>59</v>
      </c>
      <c r="F54" s="14"/>
      <c r="G54" s="15" t="s">
        <v>60</v>
      </c>
      <c r="H54" s="15" t="s">
        <v>2</v>
      </c>
      <c r="I54" s="13" t="s">
        <v>61</v>
      </c>
      <c r="J54" s="13" t="s">
        <v>59</v>
      </c>
    </row>
    <row r="55" spans="1:10" x14ac:dyDescent="0.25">
      <c r="A55" s="20" t="s">
        <v>58</v>
      </c>
      <c r="B55" s="20"/>
      <c r="C55" s="16">
        <f>ROUND(0.7537, 4)</f>
        <v>0.75370000000000004</v>
      </c>
      <c r="D55" s="16">
        <f>ROUND(0.7471, 4)</f>
        <v>0.74709999999999999</v>
      </c>
      <c r="E55" s="16">
        <f>ROUND(0.777, 4)</f>
        <v>0.77700000000000002</v>
      </c>
      <c r="F55" s="9"/>
      <c r="G55" s="15" t="s">
        <v>62</v>
      </c>
      <c r="H55" s="22" t="s">
        <v>63</v>
      </c>
      <c r="I55" s="24" t="s">
        <v>64</v>
      </c>
      <c r="J55" s="24" t="s">
        <v>65</v>
      </c>
    </row>
    <row r="56" spans="1:10" x14ac:dyDescent="0.25">
      <c r="A56" s="20" t="s">
        <v>66</v>
      </c>
      <c r="B56" s="20"/>
      <c r="C56" s="16">
        <f>ROUND(0.744, 4)</f>
        <v>0.74399999999999999</v>
      </c>
      <c r="D56" s="16">
        <f>ROUND(0.7373, 4)</f>
        <v>0.73729999999999996</v>
      </c>
      <c r="E56" s="16">
        <f>ROUND(0.7608, 4)</f>
        <v>0.76080000000000003</v>
      </c>
      <c r="F56" s="9"/>
      <c r="G56" s="15" t="s">
        <v>67</v>
      </c>
      <c r="H56" s="23"/>
      <c r="I56" s="25"/>
      <c r="J56" s="25"/>
    </row>
    <row r="57" spans="1:10" x14ac:dyDescent="0.25">
      <c r="C57" s="9"/>
      <c r="D57" s="9"/>
      <c r="E57" s="9"/>
      <c r="F57" s="9"/>
      <c r="G57" s="9"/>
      <c r="H57" s="9"/>
      <c r="I57" s="10"/>
      <c r="J57" s="10"/>
    </row>
    <row r="58" spans="1:10" x14ac:dyDescent="0.25">
      <c r="C58" s="9"/>
      <c r="D58" s="9"/>
      <c r="E58" s="9"/>
      <c r="F58" s="9"/>
      <c r="G58" s="9"/>
      <c r="H58" s="9"/>
      <c r="I58" s="10"/>
      <c r="J58" s="10"/>
    </row>
    <row r="59" spans="1:10" x14ac:dyDescent="0.25">
      <c r="C59" s="9"/>
      <c r="D59" s="9"/>
      <c r="E59" s="9"/>
      <c r="F59" s="9"/>
      <c r="G59" s="9"/>
      <c r="H59" s="9"/>
      <c r="I59" s="10"/>
      <c r="J59" s="10"/>
    </row>
    <row r="60" spans="1:10" x14ac:dyDescent="0.25">
      <c r="A60" s="21" t="s">
        <v>68</v>
      </c>
      <c r="B60" s="21"/>
      <c r="C60" s="15" t="s">
        <v>2</v>
      </c>
      <c r="D60" s="15" t="s">
        <v>295</v>
      </c>
      <c r="E60" s="15" t="s">
        <v>70</v>
      </c>
      <c r="F60" s="15" t="s">
        <v>71</v>
      </c>
      <c r="G60" s="15" t="s">
        <v>72</v>
      </c>
      <c r="H60" s="14"/>
      <c r="I60" s="18"/>
      <c r="J60" s="18"/>
    </row>
    <row r="61" spans="1:10" x14ac:dyDescent="0.25">
      <c r="A61" s="20" t="s">
        <v>73</v>
      </c>
      <c r="B61" s="20"/>
      <c r="C61" s="17">
        <v>37.19</v>
      </c>
      <c r="D61" s="17">
        <v>93.66</v>
      </c>
      <c r="E61" s="17">
        <v>81.84</v>
      </c>
      <c r="F61" s="17">
        <v>48</v>
      </c>
      <c r="G61" s="17">
        <f>12/4*C61</f>
        <v>111.57</v>
      </c>
      <c r="H61" s="9"/>
      <c r="I61" s="10"/>
      <c r="J61" s="10"/>
    </row>
    <row r="62" spans="1:10" x14ac:dyDescent="0.25">
      <c r="A62" s="20" t="s">
        <v>74</v>
      </c>
      <c r="B62" s="20"/>
      <c r="C62" s="17">
        <v>29.34</v>
      </c>
      <c r="D62" s="17">
        <v>78.08</v>
      </c>
      <c r="E62" s="17">
        <v>55.63</v>
      </c>
      <c r="F62" s="17">
        <v>55.33</v>
      </c>
      <c r="G62" s="17">
        <f>12/4*C62</f>
        <v>88.02</v>
      </c>
      <c r="H62" s="9"/>
      <c r="I62" s="10"/>
      <c r="J62" s="10"/>
    </row>
    <row r="63" spans="1:10" x14ac:dyDescent="0.25">
      <c r="A63" s="20" t="s">
        <v>75</v>
      </c>
      <c r="B63" s="20"/>
      <c r="C63" s="17">
        <v>112.31</v>
      </c>
      <c r="D63" s="17">
        <v>298.05</v>
      </c>
      <c r="E63" s="17">
        <v>257.88</v>
      </c>
      <c r="F63" s="17">
        <v>242.78</v>
      </c>
      <c r="G63" s="17">
        <f>12/4*C63</f>
        <v>336.93</v>
      </c>
      <c r="H63" s="9"/>
      <c r="I63" s="10"/>
      <c r="J63" s="10"/>
    </row>
    <row r="64" spans="1:10" x14ac:dyDescent="0.25">
      <c r="A64" s="20" t="s">
        <v>76</v>
      </c>
      <c r="B64" s="20"/>
      <c r="C64" s="17">
        <v>49.55</v>
      </c>
      <c r="D64" s="17">
        <v>120.55</v>
      </c>
      <c r="E64" s="17">
        <v>103.14</v>
      </c>
      <c r="F64" s="17">
        <v>68.31</v>
      </c>
      <c r="G64" s="17">
        <f>12/4*C64</f>
        <v>148.64999999999998</v>
      </c>
      <c r="H64" s="9"/>
      <c r="I64" s="10"/>
      <c r="J64" s="10"/>
    </row>
    <row r="65" spans="1:10" x14ac:dyDescent="0.25">
      <c r="C65" s="9"/>
      <c r="D65" s="9"/>
      <c r="E65" s="9"/>
      <c r="F65" s="9"/>
      <c r="G65" s="9"/>
      <c r="H65" s="9"/>
      <c r="I65" s="10"/>
      <c r="J65" s="10"/>
    </row>
    <row r="66" spans="1:10" x14ac:dyDescent="0.25">
      <c r="C66" s="9"/>
      <c r="D66" s="9"/>
      <c r="E66" s="9"/>
      <c r="F66" s="9"/>
      <c r="G66" s="9"/>
      <c r="H66" s="9"/>
      <c r="I66" s="10"/>
      <c r="J66" s="10"/>
    </row>
    <row r="67" spans="1:10" x14ac:dyDescent="0.25">
      <c r="A67" s="19" t="s">
        <v>60</v>
      </c>
      <c r="B67" s="26"/>
      <c r="C67" s="9"/>
      <c r="D67" s="9"/>
      <c r="E67" s="9"/>
      <c r="F67" s="9"/>
      <c r="G67" s="9"/>
      <c r="H67" s="9"/>
      <c r="I67" s="10"/>
      <c r="J67" s="10"/>
    </row>
    <row r="68" spans="1:10" x14ac:dyDescent="0.25">
      <c r="A68" s="3" t="s">
        <v>77</v>
      </c>
      <c r="B68" s="1" t="s">
        <v>296</v>
      </c>
      <c r="C68" s="9"/>
      <c r="D68" s="9"/>
      <c r="E68" s="9"/>
      <c r="F68" s="9"/>
      <c r="G68" s="9"/>
      <c r="H68" s="9"/>
      <c r="I68" s="10"/>
      <c r="J68" s="10"/>
    </row>
    <row r="69" spans="1:10" x14ac:dyDescent="0.25">
      <c r="A69" s="3" t="s">
        <v>70</v>
      </c>
      <c r="B69" s="1" t="s">
        <v>79</v>
      </c>
      <c r="C69" s="9"/>
      <c r="D69" s="9"/>
      <c r="E69" s="9"/>
      <c r="F69" s="9"/>
      <c r="G69" s="9"/>
      <c r="H69" s="9"/>
      <c r="I69" s="10"/>
      <c r="J69" s="10"/>
    </row>
    <row r="70" spans="1:10" x14ac:dyDescent="0.25">
      <c r="A70" s="3" t="s">
        <v>71</v>
      </c>
      <c r="B70" s="1" t="s">
        <v>80</v>
      </c>
      <c r="C70" s="9"/>
      <c r="D70" s="9"/>
      <c r="E70" s="9"/>
      <c r="F70" s="9"/>
      <c r="G70" s="9"/>
      <c r="H70" s="9"/>
      <c r="I70" s="10"/>
      <c r="J70" s="10"/>
    </row>
    <row r="71" spans="1:10" x14ac:dyDescent="0.25">
      <c r="A71" s="3" t="s">
        <v>72</v>
      </c>
      <c r="B71" s="1" t="s">
        <v>81</v>
      </c>
      <c r="C71" s="9"/>
      <c r="D71" s="9"/>
      <c r="E71" s="9"/>
      <c r="F71" s="9"/>
      <c r="G71" s="9"/>
      <c r="H71" s="9"/>
      <c r="I71" s="10"/>
      <c r="J71" s="10"/>
    </row>
    <row r="72" spans="1:10" x14ac:dyDescent="0.25">
      <c r="C72" s="9"/>
      <c r="D72" s="9"/>
      <c r="E72" s="9"/>
      <c r="F72" s="9"/>
      <c r="G72" s="9"/>
      <c r="H72" s="9"/>
      <c r="I72" s="10"/>
      <c r="J72" s="10"/>
    </row>
    <row r="73" spans="1:10" x14ac:dyDescent="0.25">
      <c r="C73" s="9"/>
      <c r="D73" s="9"/>
      <c r="E73" s="9"/>
      <c r="F73" s="9"/>
      <c r="G73" s="9"/>
      <c r="H73" s="9"/>
      <c r="I73" s="10"/>
      <c r="J73" s="10"/>
    </row>
    <row r="74" spans="1:10" x14ac:dyDescent="0.25">
      <c r="C74" s="9"/>
      <c r="D74" s="9"/>
      <c r="E74" s="9"/>
      <c r="F74" s="9"/>
      <c r="G74" s="9"/>
      <c r="H74" s="9"/>
      <c r="I74" s="10"/>
      <c r="J74" s="10"/>
    </row>
    <row r="75" spans="1:10" x14ac:dyDescent="0.25">
      <c r="C75" s="9"/>
      <c r="D75" s="9"/>
      <c r="E75" s="9"/>
      <c r="F75" s="9"/>
      <c r="G75" s="9"/>
      <c r="H75" s="9"/>
      <c r="I75" s="10"/>
      <c r="J75" s="10"/>
    </row>
    <row r="76" spans="1:10" x14ac:dyDescent="0.25">
      <c r="C76" s="9"/>
      <c r="D76" s="9"/>
      <c r="E76" s="9"/>
      <c r="F76" s="9"/>
      <c r="G76" s="9"/>
      <c r="H76" s="9"/>
      <c r="I76" s="10"/>
      <c r="J76" s="10"/>
    </row>
    <row r="77" spans="1:10" x14ac:dyDescent="0.25">
      <c r="C77" s="9"/>
      <c r="D77" s="9"/>
      <c r="E77" s="9"/>
      <c r="F77" s="9"/>
      <c r="G77" s="9"/>
      <c r="H77" s="9"/>
      <c r="I77" s="10"/>
      <c r="J77" s="10"/>
    </row>
    <row r="78" spans="1:10" x14ac:dyDescent="0.25">
      <c r="C78" s="9"/>
      <c r="D78" s="9"/>
      <c r="E78" s="9"/>
      <c r="F78" s="9"/>
      <c r="G78" s="9"/>
      <c r="H78" s="9"/>
      <c r="I78" s="10"/>
      <c r="J78" s="10"/>
    </row>
    <row r="79" spans="1:10" x14ac:dyDescent="0.25">
      <c r="C79" s="9"/>
      <c r="D79" s="9"/>
      <c r="E79" s="9"/>
      <c r="F79" s="9"/>
      <c r="G79" s="9"/>
      <c r="H79" s="9"/>
      <c r="I79" s="10"/>
      <c r="J79" s="10"/>
    </row>
  </sheetData>
  <mergeCells count="19">
    <mergeCell ref="A62:B62"/>
    <mergeCell ref="A63:B63"/>
    <mergeCell ref="A64:B64"/>
    <mergeCell ref="A67:B67"/>
    <mergeCell ref="I55:I56"/>
    <mergeCell ref="J55:J56"/>
    <mergeCell ref="A56:B56"/>
    <mergeCell ref="A60:B60"/>
    <mergeCell ref="A61:B61"/>
    <mergeCell ref="A48:B48"/>
    <mergeCell ref="A49:B49"/>
    <mergeCell ref="A54:B54"/>
    <mergeCell ref="A55:B55"/>
    <mergeCell ref="H55:H56"/>
    <mergeCell ref="C7:G7"/>
    <mergeCell ref="A40:B40"/>
    <mergeCell ref="A41:B41"/>
    <mergeCell ref="A46:B46"/>
    <mergeCell ref="A47:B47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2:J79"/>
  <sheetViews>
    <sheetView topLeftCell="A27" workbookViewId="0">
      <selection activeCell="C9" sqref="C9:J77"/>
    </sheetView>
  </sheetViews>
  <sheetFormatPr defaultRowHeight="15" x14ac:dyDescent="0.25"/>
  <cols>
    <col min="1" max="1" width="38.85546875" bestFit="1" customWidth="1"/>
    <col min="2" max="2" width="79" bestFit="1" customWidth="1"/>
    <col min="3" max="3" width="14" bestFit="1" customWidth="1"/>
    <col min="4" max="4" width="42.42578125" bestFit="1" customWidth="1"/>
    <col min="5" max="5" width="16.42578125" bestFit="1" customWidth="1"/>
    <col min="6" max="6" width="10.5703125" bestFit="1" customWidth="1"/>
    <col min="7" max="7" width="68.28515625" bestFit="1" customWidth="1"/>
    <col min="8" max="9" width="20" bestFit="1" customWidth="1"/>
    <col min="10" max="10" width="30.5703125" bestFit="1" customWidth="1"/>
  </cols>
  <sheetData>
    <row r="2" spans="1:10" ht="18.75" x14ac:dyDescent="0.3">
      <c r="A2" s="3" t="s">
        <v>0</v>
      </c>
      <c r="B2" s="4" t="s">
        <v>297</v>
      </c>
    </row>
    <row r="3" spans="1:10" x14ac:dyDescent="0.25">
      <c r="A3" s="3" t="s">
        <v>2</v>
      </c>
      <c r="B3" s="1" t="s">
        <v>3</v>
      </c>
    </row>
    <row r="4" spans="1:10" x14ac:dyDescent="0.25">
      <c r="A4" s="3" t="s">
        <v>4</v>
      </c>
      <c r="B4" s="1">
        <v>5682</v>
      </c>
    </row>
    <row r="7" spans="1:10" x14ac:dyDescent="0.25">
      <c r="C7" s="19" t="s">
        <v>5</v>
      </c>
      <c r="D7" s="20"/>
      <c r="E7" s="20"/>
      <c r="F7" s="20"/>
      <c r="G7" s="20"/>
    </row>
    <row r="8" spans="1:10" x14ac:dyDescent="0.25">
      <c r="A8" s="3" t="s">
        <v>6</v>
      </c>
      <c r="B8" s="3" t="s">
        <v>7</v>
      </c>
      <c r="C8" s="3" t="s">
        <v>8</v>
      </c>
      <c r="D8" s="3" t="s">
        <v>9</v>
      </c>
      <c r="E8" s="3" t="s">
        <v>10</v>
      </c>
      <c r="F8" s="3" t="s">
        <v>11</v>
      </c>
      <c r="G8" s="3" t="s">
        <v>12</v>
      </c>
      <c r="H8" s="3" t="s">
        <v>13</v>
      </c>
      <c r="I8" s="3" t="s">
        <v>14</v>
      </c>
      <c r="J8" s="3" t="s">
        <v>15</v>
      </c>
    </row>
    <row r="9" spans="1:10" x14ac:dyDescent="0.25">
      <c r="A9" s="1" t="s">
        <v>16</v>
      </c>
      <c r="B9" s="1" t="s">
        <v>17</v>
      </c>
      <c r="C9" s="11"/>
      <c r="D9" s="11"/>
      <c r="E9" s="11">
        <v>115</v>
      </c>
      <c r="F9" s="11"/>
      <c r="G9" s="11">
        <f t="shared" ref="G9:G47" si="0">SUM(C9:F9)</f>
        <v>115</v>
      </c>
      <c r="H9" s="17">
        <f t="shared" ref="H9:H47" si="1">ROUND(G9/5682,2)</f>
        <v>0.02</v>
      </c>
      <c r="I9" s="16">
        <f t="shared" ref="I9:I47" si="2">ROUND(G9/$G$48,3)</f>
        <v>0</v>
      </c>
      <c r="J9" s="16">
        <f>ROUND(G9/30-1,2)</f>
        <v>2.83</v>
      </c>
    </row>
    <row r="10" spans="1:10" x14ac:dyDescent="0.25">
      <c r="A10" s="1" t="s">
        <v>16</v>
      </c>
      <c r="B10" s="1" t="s">
        <v>18</v>
      </c>
      <c r="C10" s="11">
        <v>16550</v>
      </c>
      <c r="D10" s="11"/>
      <c r="E10" s="11"/>
      <c r="F10" s="11"/>
      <c r="G10" s="11">
        <f t="shared" si="0"/>
        <v>16550</v>
      </c>
      <c r="H10" s="17">
        <f t="shared" si="1"/>
        <v>2.91</v>
      </c>
      <c r="I10" s="16">
        <f t="shared" si="2"/>
        <v>2.3E-2</v>
      </c>
      <c r="J10" s="16">
        <f>ROUND(G10/15120-1,2)</f>
        <v>0.09</v>
      </c>
    </row>
    <row r="11" spans="1:10" x14ac:dyDescent="0.25">
      <c r="A11" s="1" t="s">
        <v>16</v>
      </c>
      <c r="B11" s="1" t="s">
        <v>90</v>
      </c>
      <c r="C11" s="11">
        <v>700</v>
      </c>
      <c r="D11" s="11"/>
      <c r="E11" s="11"/>
      <c r="F11" s="11"/>
      <c r="G11" s="11">
        <f t="shared" si="0"/>
        <v>700</v>
      </c>
      <c r="H11" s="17">
        <f t="shared" si="1"/>
        <v>0.12</v>
      </c>
      <c r="I11" s="16">
        <f t="shared" si="2"/>
        <v>1E-3</v>
      </c>
      <c r="J11" s="16"/>
    </row>
    <row r="12" spans="1:10" x14ac:dyDescent="0.25">
      <c r="A12" s="1" t="s">
        <v>16</v>
      </c>
      <c r="B12" s="1" t="s">
        <v>19</v>
      </c>
      <c r="C12" s="11">
        <v>44220</v>
      </c>
      <c r="D12" s="11"/>
      <c r="E12" s="11"/>
      <c r="F12" s="11"/>
      <c r="G12" s="11">
        <f t="shared" si="0"/>
        <v>44220</v>
      </c>
      <c r="H12" s="17">
        <f t="shared" si="1"/>
        <v>7.78</v>
      </c>
      <c r="I12" s="16">
        <f t="shared" si="2"/>
        <v>6.3E-2</v>
      </c>
      <c r="J12" s="16">
        <f>ROUND(G12/44020-1,2)</f>
        <v>0</v>
      </c>
    </row>
    <row r="13" spans="1:10" x14ac:dyDescent="0.25">
      <c r="A13" s="1" t="s">
        <v>16</v>
      </c>
      <c r="B13" s="1" t="s">
        <v>20</v>
      </c>
      <c r="C13" s="11">
        <v>52190</v>
      </c>
      <c r="D13" s="11"/>
      <c r="E13" s="11"/>
      <c r="F13" s="11"/>
      <c r="G13" s="11">
        <f t="shared" si="0"/>
        <v>52190</v>
      </c>
      <c r="H13" s="17">
        <f t="shared" si="1"/>
        <v>9.19</v>
      </c>
      <c r="I13" s="16">
        <f t="shared" si="2"/>
        <v>7.3999999999999996E-2</v>
      </c>
      <c r="J13" s="16">
        <f>ROUND(G13/59610-1,2)</f>
        <v>-0.12</v>
      </c>
    </row>
    <row r="14" spans="1:10" x14ac:dyDescent="0.25">
      <c r="A14" s="1" t="s">
        <v>16</v>
      </c>
      <c r="B14" s="1" t="s">
        <v>94</v>
      </c>
      <c r="C14" s="11"/>
      <c r="D14" s="11"/>
      <c r="E14" s="11">
        <v>119</v>
      </c>
      <c r="F14" s="11"/>
      <c r="G14" s="11">
        <f t="shared" si="0"/>
        <v>119</v>
      </c>
      <c r="H14" s="17">
        <f t="shared" si="1"/>
        <v>0.02</v>
      </c>
      <c r="I14" s="16">
        <f t="shared" si="2"/>
        <v>0</v>
      </c>
      <c r="J14" s="16">
        <f>ROUND(G14/77-1,2)</f>
        <v>0.55000000000000004</v>
      </c>
    </row>
    <row r="15" spans="1:10" x14ac:dyDescent="0.25">
      <c r="A15" s="1" t="s">
        <v>16</v>
      </c>
      <c r="B15" s="1" t="s">
        <v>21</v>
      </c>
      <c r="C15" s="11"/>
      <c r="D15" s="11"/>
      <c r="E15" s="11">
        <v>161</v>
      </c>
      <c r="F15" s="11"/>
      <c r="G15" s="11">
        <f t="shared" si="0"/>
        <v>161</v>
      </c>
      <c r="H15" s="17">
        <f t="shared" si="1"/>
        <v>0.03</v>
      </c>
      <c r="I15" s="16">
        <f t="shared" si="2"/>
        <v>0</v>
      </c>
      <c r="J15" s="16">
        <f>ROUND(G15/163-1,2)</f>
        <v>-0.01</v>
      </c>
    </row>
    <row r="16" spans="1:10" x14ac:dyDescent="0.25">
      <c r="A16" s="1" t="s">
        <v>16</v>
      </c>
      <c r="B16" s="1" t="s">
        <v>22</v>
      </c>
      <c r="C16" s="11"/>
      <c r="D16" s="11"/>
      <c r="E16" s="11">
        <v>1040</v>
      </c>
      <c r="F16" s="11"/>
      <c r="G16" s="11">
        <f t="shared" si="0"/>
        <v>1040</v>
      </c>
      <c r="H16" s="17">
        <f t="shared" si="1"/>
        <v>0.18</v>
      </c>
      <c r="I16" s="16">
        <f t="shared" si="2"/>
        <v>1E-3</v>
      </c>
      <c r="J16" s="16">
        <f>ROUND(G16/600-1,2)</f>
        <v>0.73</v>
      </c>
    </row>
    <row r="17" spans="1:10" x14ac:dyDescent="0.25">
      <c r="A17" s="1" t="s">
        <v>16</v>
      </c>
      <c r="B17" s="1" t="s">
        <v>23</v>
      </c>
      <c r="C17" s="11"/>
      <c r="D17" s="11"/>
      <c r="E17" s="11">
        <v>25850</v>
      </c>
      <c r="F17" s="11"/>
      <c r="G17" s="11">
        <f t="shared" si="0"/>
        <v>25850</v>
      </c>
      <c r="H17" s="17">
        <f t="shared" si="1"/>
        <v>4.55</v>
      </c>
      <c r="I17" s="16">
        <f t="shared" si="2"/>
        <v>3.6999999999999998E-2</v>
      </c>
      <c r="J17" s="16">
        <f>ROUND(G17/33320-1,2)</f>
        <v>-0.22</v>
      </c>
    </row>
    <row r="18" spans="1:10" x14ac:dyDescent="0.25">
      <c r="A18" s="1" t="s">
        <v>16</v>
      </c>
      <c r="B18" s="1" t="s">
        <v>298</v>
      </c>
      <c r="C18" s="11"/>
      <c r="D18" s="11"/>
      <c r="E18" s="11">
        <v>3370</v>
      </c>
      <c r="F18" s="11"/>
      <c r="G18" s="11">
        <f t="shared" si="0"/>
        <v>3370</v>
      </c>
      <c r="H18" s="17">
        <f t="shared" si="1"/>
        <v>0.59</v>
      </c>
      <c r="I18" s="16">
        <f t="shared" si="2"/>
        <v>5.0000000000000001E-3</v>
      </c>
      <c r="J18" s="16"/>
    </row>
    <row r="19" spans="1:10" x14ac:dyDescent="0.25">
      <c r="A19" s="1" t="s">
        <v>16</v>
      </c>
      <c r="B19" s="1" t="s">
        <v>24</v>
      </c>
      <c r="C19" s="11">
        <v>79560</v>
      </c>
      <c r="D19" s="11"/>
      <c r="E19" s="11"/>
      <c r="F19" s="11"/>
      <c r="G19" s="11">
        <f t="shared" si="0"/>
        <v>79560</v>
      </c>
      <c r="H19" s="17">
        <f t="shared" si="1"/>
        <v>14</v>
      </c>
      <c r="I19" s="16">
        <f t="shared" si="2"/>
        <v>0.113</v>
      </c>
      <c r="J19" s="16">
        <f>ROUND(G19/74050-1,2)</f>
        <v>7.0000000000000007E-2</v>
      </c>
    </row>
    <row r="20" spans="1:10" x14ac:dyDescent="0.25">
      <c r="A20" s="1" t="s">
        <v>16</v>
      </c>
      <c r="B20" s="1" t="s">
        <v>25</v>
      </c>
      <c r="C20" s="11"/>
      <c r="D20" s="11"/>
      <c r="E20" s="11">
        <v>7115</v>
      </c>
      <c r="F20" s="11"/>
      <c r="G20" s="11">
        <f t="shared" si="0"/>
        <v>7115</v>
      </c>
      <c r="H20" s="17">
        <f t="shared" si="1"/>
        <v>1.25</v>
      </c>
      <c r="I20" s="16">
        <f t="shared" si="2"/>
        <v>0.01</v>
      </c>
      <c r="J20" s="16">
        <f>ROUND(G20/5790-1,2)</f>
        <v>0.23</v>
      </c>
    </row>
    <row r="21" spans="1:10" x14ac:dyDescent="0.25">
      <c r="A21" s="1" t="s">
        <v>16</v>
      </c>
      <c r="B21" s="1" t="s">
        <v>26</v>
      </c>
      <c r="C21" s="11">
        <v>85060</v>
      </c>
      <c r="D21" s="11"/>
      <c r="E21" s="11"/>
      <c r="F21" s="11"/>
      <c r="G21" s="11">
        <f t="shared" si="0"/>
        <v>85060</v>
      </c>
      <c r="H21" s="17">
        <f t="shared" si="1"/>
        <v>14.97</v>
      </c>
      <c r="I21" s="16">
        <f t="shared" si="2"/>
        <v>0.121</v>
      </c>
      <c r="J21" s="16">
        <f>ROUND(G21/79060-1,2)</f>
        <v>0.08</v>
      </c>
    </row>
    <row r="22" spans="1:10" x14ac:dyDescent="0.25">
      <c r="A22" s="1" t="s">
        <v>16</v>
      </c>
      <c r="B22" s="1" t="s">
        <v>29</v>
      </c>
      <c r="C22" s="11"/>
      <c r="D22" s="11"/>
      <c r="E22" s="11">
        <v>1700</v>
      </c>
      <c r="F22" s="11"/>
      <c r="G22" s="11">
        <f t="shared" si="0"/>
        <v>1700</v>
      </c>
      <c r="H22" s="17">
        <f t="shared" si="1"/>
        <v>0.3</v>
      </c>
      <c r="I22" s="16">
        <f t="shared" si="2"/>
        <v>2E-3</v>
      </c>
      <c r="J22" s="16">
        <f>ROUND(G22/1490-1,2)</f>
        <v>0.14000000000000001</v>
      </c>
    </row>
    <row r="23" spans="1:10" x14ac:dyDescent="0.25">
      <c r="A23" s="1" t="s">
        <v>16</v>
      </c>
      <c r="B23" s="1" t="s">
        <v>30</v>
      </c>
      <c r="C23" s="11"/>
      <c r="D23" s="11"/>
      <c r="E23" s="11">
        <v>600</v>
      </c>
      <c r="F23" s="11"/>
      <c r="G23" s="11">
        <f t="shared" si="0"/>
        <v>600</v>
      </c>
      <c r="H23" s="17">
        <f t="shared" si="1"/>
        <v>0.11</v>
      </c>
      <c r="I23" s="16">
        <f t="shared" si="2"/>
        <v>1E-3</v>
      </c>
      <c r="J23" s="16">
        <f>ROUND(G23/600-1,2)</f>
        <v>0</v>
      </c>
    </row>
    <row r="24" spans="1:10" x14ac:dyDescent="0.25">
      <c r="A24" s="1" t="s">
        <v>16</v>
      </c>
      <c r="B24" s="1" t="s">
        <v>31</v>
      </c>
      <c r="C24" s="11"/>
      <c r="D24" s="11"/>
      <c r="E24" s="11">
        <v>935</v>
      </c>
      <c r="F24" s="11"/>
      <c r="G24" s="11">
        <f t="shared" si="0"/>
        <v>935</v>
      </c>
      <c r="H24" s="17">
        <f t="shared" si="1"/>
        <v>0.16</v>
      </c>
      <c r="I24" s="16">
        <f t="shared" si="2"/>
        <v>1E-3</v>
      </c>
      <c r="J24" s="16">
        <f>ROUND(G24/875-1,2)</f>
        <v>7.0000000000000007E-2</v>
      </c>
    </row>
    <row r="25" spans="1:10" x14ac:dyDescent="0.25">
      <c r="A25" s="1" t="s">
        <v>16</v>
      </c>
      <c r="B25" s="1" t="s">
        <v>32</v>
      </c>
      <c r="C25" s="11"/>
      <c r="D25" s="11">
        <v>90</v>
      </c>
      <c r="E25" s="11"/>
      <c r="F25" s="11"/>
      <c r="G25" s="11">
        <f t="shared" si="0"/>
        <v>90</v>
      </c>
      <c r="H25" s="17">
        <f t="shared" si="1"/>
        <v>0.02</v>
      </c>
      <c r="I25" s="16">
        <f t="shared" si="2"/>
        <v>0</v>
      </c>
      <c r="J25" s="16">
        <f>ROUND(G25/52-1,2)</f>
        <v>0.73</v>
      </c>
    </row>
    <row r="26" spans="1:10" x14ac:dyDescent="0.25">
      <c r="A26" s="1" t="s">
        <v>16</v>
      </c>
      <c r="B26" s="1" t="s">
        <v>34</v>
      </c>
      <c r="C26" s="11"/>
      <c r="D26" s="11"/>
      <c r="E26" s="11">
        <v>1130</v>
      </c>
      <c r="F26" s="11"/>
      <c r="G26" s="11">
        <f t="shared" si="0"/>
        <v>1130</v>
      </c>
      <c r="H26" s="17">
        <f t="shared" si="1"/>
        <v>0.2</v>
      </c>
      <c r="I26" s="16">
        <f t="shared" si="2"/>
        <v>2E-3</v>
      </c>
      <c r="J26" s="16"/>
    </row>
    <row r="27" spans="1:10" x14ac:dyDescent="0.25">
      <c r="A27" s="1" t="s">
        <v>16</v>
      </c>
      <c r="B27" s="1" t="s">
        <v>33</v>
      </c>
      <c r="C27" s="11"/>
      <c r="D27" s="11"/>
      <c r="E27" s="11">
        <v>910</v>
      </c>
      <c r="F27" s="11"/>
      <c r="G27" s="11">
        <f t="shared" si="0"/>
        <v>910</v>
      </c>
      <c r="H27" s="17">
        <f t="shared" si="1"/>
        <v>0.16</v>
      </c>
      <c r="I27" s="16">
        <f t="shared" si="2"/>
        <v>1E-3</v>
      </c>
      <c r="J27" s="16">
        <f>ROUND(G27/690-1,2)</f>
        <v>0.32</v>
      </c>
    </row>
    <row r="28" spans="1:10" x14ac:dyDescent="0.25">
      <c r="A28" s="1" t="s">
        <v>16</v>
      </c>
      <c r="B28" s="1" t="s">
        <v>35</v>
      </c>
      <c r="C28" s="11"/>
      <c r="D28" s="11"/>
      <c r="E28" s="11">
        <v>61490</v>
      </c>
      <c r="F28" s="11"/>
      <c r="G28" s="11">
        <f t="shared" si="0"/>
        <v>61490</v>
      </c>
      <c r="H28" s="17">
        <f t="shared" si="1"/>
        <v>10.82</v>
      </c>
      <c r="I28" s="16">
        <f t="shared" si="2"/>
        <v>8.6999999999999994E-2</v>
      </c>
      <c r="J28" s="16">
        <f>ROUND(G28/50130-1,2)</f>
        <v>0.23</v>
      </c>
    </row>
    <row r="29" spans="1:10" x14ac:dyDescent="0.25">
      <c r="A29" s="1" t="s">
        <v>16</v>
      </c>
      <c r="B29" s="1" t="s">
        <v>36</v>
      </c>
      <c r="C29" s="11"/>
      <c r="D29" s="11"/>
      <c r="E29" s="11">
        <v>3540</v>
      </c>
      <c r="F29" s="11"/>
      <c r="G29" s="11">
        <f t="shared" si="0"/>
        <v>3540</v>
      </c>
      <c r="H29" s="17">
        <f t="shared" si="1"/>
        <v>0.62</v>
      </c>
      <c r="I29" s="16">
        <f t="shared" si="2"/>
        <v>5.0000000000000001E-3</v>
      </c>
      <c r="J29" s="16">
        <f>ROUND(G29/3790-1,2)</f>
        <v>-7.0000000000000007E-2</v>
      </c>
    </row>
    <row r="30" spans="1:10" x14ac:dyDescent="0.25">
      <c r="A30" s="1" t="s">
        <v>16</v>
      </c>
      <c r="B30" s="1" t="s">
        <v>37</v>
      </c>
      <c r="C30" s="11"/>
      <c r="D30" s="11"/>
      <c r="E30" s="11">
        <v>16780</v>
      </c>
      <c r="F30" s="11"/>
      <c r="G30" s="11">
        <f t="shared" si="0"/>
        <v>16780</v>
      </c>
      <c r="H30" s="17">
        <f t="shared" si="1"/>
        <v>2.95</v>
      </c>
      <c r="I30" s="16">
        <f t="shared" si="2"/>
        <v>2.4E-2</v>
      </c>
      <c r="J30" s="16">
        <f>ROUND(G30/21070-1,2)</f>
        <v>-0.2</v>
      </c>
    </row>
    <row r="31" spans="1:10" x14ac:dyDescent="0.25">
      <c r="A31" s="1" t="s">
        <v>16</v>
      </c>
      <c r="B31" s="1" t="s">
        <v>38</v>
      </c>
      <c r="C31" s="11"/>
      <c r="D31" s="11"/>
      <c r="E31" s="11">
        <v>50540</v>
      </c>
      <c r="F31" s="11"/>
      <c r="G31" s="11">
        <f t="shared" si="0"/>
        <v>50540</v>
      </c>
      <c r="H31" s="17">
        <f t="shared" si="1"/>
        <v>8.89</v>
      </c>
      <c r="I31" s="16">
        <f t="shared" si="2"/>
        <v>7.1999999999999995E-2</v>
      </c>
      <c r="J31" s="16">
        <f>ROUND(G31/22480-1,2)</f>
        <v>1.25</v>
      </c>
    </row>
    <row r="32" spans="1:10" x14ac:dyDescent="0.25">
      <c r="A32" s="1" t="s">
        <v>16</v>
      </c>
      <c r="B32" s="1" t="s">
        <v>39</v>
      </c>
      <c r="C32" s="11"/>
      <c r="D32" s="11"/>
      <c r="E32" s="11"/>
      <c r="F32" s="11"/>
      <c r="G32" s="11">
        <f t="shared" si="0"/>
        <v>0</v>
      </c>
      <c r="H32" s="17">
        <f t="shared" si="1"/>
        <v>0</v>
      </c>
      <c r="I32" s="16">
        <f t="shared" si="2"/>
        <v>0</v>
      </c>
      <c r="J32" s="16">
        <f>ROUND(G32/271-1,2)</f>
        <v>-1</v>
      </c>
    </row>
    <row r="33" spans="1:10" x14ac:dyDescent="0.25">
      <c r="A33" s="1" t="s">
        <v>16</v>
      </c>
      <c r="B33" s="1" t="s">
        <v>40</v>
      </c>
      <c r="C33" s="11"/>
      <c r="D33" s="11"/>
      <c r="E33" s="11"/>
      <c r="F33" s="11"/>
      <c r="G33" s="11">
        <f t="shared" si="0"/>
        <v>0</v>
      </c>
      <c r="H33" s="17">
        <f t="shared" si="1"/>
        <v>0</v>
      </c>
      <c r="I33" s="16">
        <f t="shared" si="2"/>
        <v>0</v>
      </c>
      <c r="J33" s="16">
        <f>ROUND(G33/4160-1,2)</f>
        <v>-1</v>
      </c>
    </row>
    <row r="34" spans="1:10" x14ac:dyDescent="0.25">
      <c r="A34" s="1" t="s">
        <v>16</v>
      </c>
      <c r="B34" s="1" t="s">
        <v>41</v>
      </c>
      <c r="C34" s="11"/>
      <c r="D34" s="11"/>
      <c r="E34" s="11"/>
      <c r="F34" s="11"/>
      <c r="G34" s="11">
        <f t="shared" si="0"/>
        <v>0</v>
      </c>
      <c r="H34" s="17">
        <f t="shared" si="1"/>
        <v>0</v>
      </c>
      <c r="I34" s="16">
        <f t="shared" si="2"/>
        <v>0</v>
      </c>
      <c r="J34" s="16">
        <f>ROUND(G34/1520-1,2)</f>
        <v>-1</v>
      </c>
    </row>
    <row r="35" spans="1:10" x14ac:dyDescent="0.25">
      <c r="A35" s="1" t="s">
        <v>16</v>
      </c>
      <c r="B35" s="1" t="s">
        <v>42</v>
      </c>
      <c r="C35" s="11"/>
      <c r="D35" s="11"/>
      <c r="E35" s="11"/>
      <c r="F35" s="11"/>
      <c r="G35" s="11">
        <f t="shared" si="0"/>
        <v>0</v>
      </c>
      <c r="H35" s="17">
        <f t="shared" si="1"/>
        <v>0</v>
      </c>
      <c r="I35" s="16">
        <f t="shared" si="2"/>
        <v>0</v>
      </c>
      <c r="J35" s="16">
        <f>ROUND(G35/3790-1,2)</f>
        <v>-1</v>
      </c>
    </row>
    <row r="36" spans="1:10" x14ac:dyDescent="0.25">
      <c r="A36" s="1" t="s">
        <v>16</v>
      </c>
      <c r="B36" s="1" t="s">
        <v>43</v>
      </c>
      <c r="C36" s="11"/>
      <c r="D36" s="11"/>
      <c r="E36" s="11"/>
      <c r="F36" s="11"/>
      <c r="G36" s="11">
        <f t="shared" si="0"/>
        <v>0</v>
      </c>
      <c r="H36" s="17">
        <f t="shared" si="1"/>
        <v>0</v>
      </c>
      <c r="I36" s="16">
        <f t="shared" si="2"/>
        <v>0</v>
      </c>
      <c r="J36" s="16">
        <f>ROUND(G36/4219-1,2)</f>
        <v>-1</v>
      </c>
    </row>
    <row r="37" spans="1:10" x14ac:dyDescent="0.25">
      <c r="A37" s="1" t="s">
        <v>16</v>
      </c>
      <c r="B37" s="1" t="s">
        <v>27</v>
      </c>
      <c r="C37" s="11"/>
      <c r="D37" s="11"/>
      <c r="E37" s="11"/>
      <c r="F37" s="11"/>
      <c r="G37" s="11">
        <f t="shared" si="0"/>
        <v>0</v>
      </c>
      <c r="H37" s="17">
        <f t="shared" si="1"/>
        <v>0</v>
      </c>
      <c r="I37" s="16">
        <f t="shared" si="2"/>
        <v>0</v>
      </c>
      <c r="J37" s="16">
        <f>ROUND(G37/548-1,2)</f>
        <v>-1</v>
      </c>
    </row>
    <row r="38" spans="1:10" x14ac:dyDescent="0.25">
      <c r="A38" s="1" t="s">
        <v>16</v>
      </c>
      <c r="B38" s="1" t="s">
        <v>28</v>
      </c>
      <c r="C38" s="11"/>
      <c r="D38" s="11"/>
      <c r="E38" s="11"/>
      <c r="F38" s="11"/>
      <c r="G38" s="11">
        <f t="shared" si="0"/>
        <v>0</v>
      </c>
      <c r="H38" s="17">
        <f t="shared" si="1"/>
        <v>0</v>
      </c>
      <c r="I38" s="16">
        <f t="shared" si="2"/>
        <v>0</v>
      </c>
      <c r="J38" s="16">
        <f>ROUND(G38/387-1,2)</f>
        <v>-1</v>
      </c>
    </row>
    <row r="39" spans="1:10" x14ac:dyDescent="0.25">
      <c r="A39" s="1" t="s">
        <v>16</v>
      </c>
      <c r="B39" s="1" t="s">
        <v>261</v>
      </c>
      <c r="C39" s="11"/>
      <c r="D39" s="11"/>
      <c r="E39" s="11"/>
      <c r="F39" s="11"/>
      <c r="G39" s="11">
        <f t="shared" si="0"/>
        <v>0</v>
      </c>
      <c r="H39" s="17">
        <f t="shared" si="1"/>
        <v>0</v>
      </c>
      <c r="I39" s="16">
        <f t="shared" si="2"/>
        <v>0</v>
      </c>
      <c r="J39" s="16"/>
    </row>
    <row r="40" spans="1:10" x14ac:dyDescent="0.25">
      <c r="A40" s="1" t="s">
        <v>16</v>
      </c>
      <c r="B40" s="1" t="s">
        <v>127</v>
      </c>
      <c r="C40" s="11"/>
      <c r="D40" s="11"/>
      <c r="E40" s="11"/>
      <c r="F40" s="11"/>
      <c r="G40" s="11">
        <f t="shared" si="0"/>
        <v>0</v>
      </c>
      <c r="H40" s="17">
        <f t="shared" si="1"/>
        <v>0</v>
      </c>
      <c r="I40" s="16">
        <f t="shared" si="2"/>
        <v>0</v>
      </c>
      <c r="J40" s="16"/>
    </row>
    <row r="41" spans="1:10" x14ac:dyDescent="0.25">
      <c r="A41" s="1" t="s">
        <v>44</v>
      </c>
      <c r="B41" s="1" t="s">
        <v>45</v>
      </c>
      <c r="C41" s="11">
        <v>181660</v>
      </c>
      <c r="D41" s="11">
        <v>6620</v>
      </c>
      <c r="E41" s="11"/>
      <c r="F41" s="11">
        <v>4760</v>
      </c>
      <c r="G41" s="11">
        <f t="shared" si="0"/>
        <v>193040</v>
      </c>
      <c r="H41" s="17">
        <f t="shared" si="1"/>
        <v>33.97</v>
      </c>
      <c r="I41" s="16">
        <f t="shared" si="2"/>
        <v>0.27300000000000002</v>
      </c>
      <c r="J41" s="16">
        <f>ROUND(G41/204840-1,2)</f>
        <v>-0.06</v>
      </c>
    </row>
    <row r="42" spans="1:10" x14ac:dyDescent="0.25">
      <c r="A42" s="1" t="s">
        <v>44</v>
      </c>
      <c r="B42" s="1" t="s">
        <v>47</v>
      </c>
      <c r="C42" s="11"/>
      <c r="D42" s="11"/>
      <c r="E42" s="11"/>
      <c r="F42" s="11">
        <v>4700</v>
      </c>
      <c r="G42" s="11">
        <f t="shared" si="0"/>
        <v>4700</v>
      </c>
      <c r="H42" s="17">
        <f t="shared" si="1"/>
        <v>0.83</v>
      </c>
      <c r="I42" s="16">
        <f t="shared" si="2"/>
        <v>7.0000000000000001E-3</v>
      </c>
      <c r="J42" s="16">
        <f>ROUND(G42/1420-1,2)</f>
        <v>2.31</v>
      </c>
    </row>
    <row r="43" spans="1:10" x14ac:dyDescent="0.25">
      <c r="A43" s="1" t="s">
        <v>44</v>
      </c>
      <c r="B43" s="1" t="s">
        <v>46</v>
      </c>
      <c r="C43" s="11"/>
      <c r="D43" s="11"/>
      <c r="E43" s="11">
        <v>54330</v>
      </c>
      <c r="F43" s="11"/>
      <c r="G43" s="11">
        <f t="shared" si="0"/>
        <v>54330</v>
      </c>
      <c r="H43" s="17">
        <f t="shared" si="1"/>
        <v>9.56</v>
      </c>
      <c r="I43" s="16">
        <f t="shared" si="2"/>
        <v>7.6999999999999999E-2</v>
      </c>
      <c r="J43" s="16">
        <f>ROUND(G43/28930-1,2)</f>
        <v>0.88</v>
      </c>
    </row>
    <row r="44" spans="1:10" x14ac:dyDescent="0.25">
      <c r="A44" s="1" t="s">
        <v>48</v>
      </c>
      <c r="B44" s="1" t="s">
        <v>51</v>
      </c>
      <c r="C44" s="11"/>
      <c r="D44" s="11"/>
      <c r="E44" s="11"/>
      <c r="F44" s="11"/>
      <c r="G44" s="11">
        <f t="shared" si="0"/>
        <v>0</v>
      </c>
      <c r="H44" s="17">
        <f t="shared" si="1"/>
        <v>0</v>
      </c>
      <c r="I44" s="16">
        <f t="shared" si="2"/>
        <v>0</v>
      </c>
      <c r="J44" s="16"/>
    </row>
    <row r="45" spans="1:10" x14ac:dyDescent="0.25">
      <c r="A45" s="1" t="s">
        <v>48</v>
      </c>
      <c r="B45" s="1" t="s">
        <v>86</v>
      </c>
      <c r="C45" s="11"/>
      <c r="D45" s="11"/>
      <c r="E45" s="11"/>
      <c r="F45" s="11"/>
      <c r="G45" s="11">
        <f t="shared" si="0"/>
        <v>0</v>
      </c>
      <c r="H45" s="17">
        <f t="shared" si="1"/>
        <v>0</v>
      </c>
      <c r="I45" s="16">
        <f t="shared" si="2"/>
        <v>0</v>
      </c>
      <c r="J45" s="16"/>
    </row>
    <row r="46" spans="1:10" x14ac:dyDescent="0.25">
      <c r="A46" s="1" t="s">
        <v>48</v>
      </c>
      <c r="B46" s="1" t="s">
        <v>50</v>
      </c>
      <c r="C46" s="11"/>
      <c r="D46" s="11"/>
      <c r="E46" s="11"/>
      <c r="F46" s="11"/>
      <c r="G46" s="11">
        <f t="shared" si="0"/>
        <v>0</v>
      </c>
      <c r="H46" s="17">
        <f t="shared" si="1"/>
        <v>0</v>
      </c>
      <c r="I46" s="16">
        <f t="shared" si="2"/>
        <v>0</v>
      </c>
      <c r="J46" s="16"/>
    </row>
    <row r="47" spans="1:10" x14ac:dyDescent="0.25">
      <c r="A47" s="1" t="s">
        <v>48</v>
      </c>
      <c r="B47" s="1" t="s">
        <v>49</v>
      </c>
      <c r="C47" s="11"/>
      <c r="D47" s="11"/>
      <c r="E47" s="11"/>
      <c r="F47" s="11"/>
      <c r="G47" s="11">
        <f t="shared" si="0"/>
        <v>0</v>
      </c>
      <c r="H47" s="17">
        <f t="shared" si="1"/>
        <v>0</v>
      </c>
      <c r="I47" s="16">
        <f t="shared" si="2"/>
        <v>0</v>
      </c>
      <c r="J47" s="16"/>
    </row>
    <row r="48" spans="1:10" x14ac:dyDescent="0.25">
      <c r="A48" s="21" t="s">
        <v>12</v>
      </c>
      <c r="B48" s="21"/>
      <c r="C48" s="12">
        <f t="shared" ref="C48:H48" si="3">SUM(C8:C47)</f>
        <v>459940</v>
      </c>
      <c r="D48" s="12">
        <f t="shared" si="3"/>
        <v>6710</v>
      </c>
      <c r="E48" s="12">
        <f t="shared" si="3"/>
        <v>229725</v>
      </c>
      <c r="F48" s="12">
        <f t="shared" si="3"/>
        <v>9460</v>
      </c>
      <c r="G48" s="12">
        <f t="shared" si="3"/>
        <v>705835</v>
      </c>
      <c r="H48" s="15">
        <f t="shared" si="3"/>
        <v>124.2</v>
      </c>
      <c r="I48" s="18"/>
      <c r="J48" s="18"/>
    </row>
    <row r="49" spans="1:10" x14ac:dyDescent="0.25">
      <c r="A49" s="21" t="s">
        <v>14</v>
      </c>
      <c r="B49" s="21"/>
      <c r="C49" s="13">
        <f>ROUND(C48/G48,2)</f>
        <v>0.65</v>
      </c>
      <c r="D49" s="13">
        <f>ROUND(D48/G48,2)</f>
        <v>0.01</v>
      </c>
      <c r="E49" s="13">
        <f>ROUND(E48/G48,2)</f>
        <v>0.33</v>
      </c>
      <c r="F49" s="13">
        <f>ROUND(F48/G48,2)</f>
        <v>0.01</v>
      </c>
      <c r="G49" s="14"/>
      <c r="H49" s="14"/>
      <c r="I49" s="18"/>
      <c r="J49" s="18"/>
    </row>
    <row r="50" spans="1:10" x14ac:dyDescent="0.25">
      <c r="A50" s="2" t="s">
        <v>52</v>
      </c>
      <c r="B50" s="2"/>
      <c r="C50" s="14"/>
      <c r="D50" s="14"/>
      <c r="E50" s="14"/>
      <c r="F50" s="14"/>
      <c r="G50" s="14"/>
      <c r="H50" s="14"/>
      <c r="I50" s="18"/>
      <c r="J50" s="18"/>
    </row>
    <row r="51" spans="1:10" x14ac:dyDescent="0.25">
      <c r="C51" s="9"/>
      <c r="D51" s="9"/>
      <c r="E51" s="9"/>
      <c r="F51" s="9"/>
      <c r="G51" s="9"/>
      <c r="H51" s="9"/>
      <c r="I51" s="10"/>
      <c r="J51" s="10"/>
    </row>
    <row r="52" spans="1:10" x14ac:dyDescent="0.25">
      <c r="C52" s="9"/>
      <c r="D52" s="9"/>
      <c r="E52" s="9"/>
      <c r="F52" s="9"/>
      <c r="G52" s="9"/>
      <c r="H52" s="9"/>
      <c r="I52" s="10"/>
      <c r="J52" s="10"/>
    </row>
    <row r="53" spans="1:10" x14ac:dyDescent="0.25">
      <c r="C53" s="9"/>
      <c r="D53" s="9"/>
      <c r="E53" s="9"/>
      <c r="F53" s="9"/>
      <c r="G53" s="9"/>
      <c r="H53" s="9"/>
      <c r="I53" s="10"/>
      <c r="J53" s="10"/>
    </row>
    <row r="54" spans="1:10" x14ac:dyDescent="0.25">
      <c r="A54" s="21" t="s">
        <v>53</v>
      </c>
      <c r="B54" s="21"/>
      <c r="C54" s="12" t="s">
        <v>8</v>
      </c>
      <c r="D54" s="12" t="s">
        <v>9</v>
      </c>
      <c r="E54" s="12" t="s">
        <v>10</v>
      </c>
      <c r="F54" s="12" t="s">
        <v>11</v>
      </c>
      <c r="G54" s="12" t="s">
        <v>12</v>
      </c>
      <c r="H54" s="15" t="s">
        <v>13</v>
      </c>
      <c r="I54" s="18"/>
      <c r="J54" s="18"/>
    </row>
    <row r="55" spans="1:10" x14ac:dyDescent="0.25">
      <c r="A55" s="20" t="s">
        <v>54</v>
      </c>
      <c r="B55" s="20"/>
      <c r="C55" s="11">
        <v>278280</v>
      </c>
      <c r="D55" s="11">
        <v>90</v>
      </c>
      <c r="E55" s="11">
        <v>175395</v>
      </c>
      <c r="F55" s="11">
        <v>0</v>
      </c>
      <c r="G55" s="11">
        <f>SUM(C55:F55)</f>
        <v>453765</v>
      </c>
      <c r="H55" s="17">
        <f>ROUND(G55/5682,2)</f>
        <v>79.86</v>
      </c>
      <c r="I55" s="10"/>
      <c r="J55" s="10"/>
    </row>
    <row r="56" spans="1:10" x14ac:dyDescent="0.25">
      <c r="A56" s="20" t="s">
        <v>55</v>
      </c>
      <c r="B56" s="20"/>
      <c r="C56" s="11">
        <v>181660</v>
      </c>
      <c r="D56" s="11">
        <v>6620</v>
      </c>
      <c r="E56" s="11">
        <v>54330</v>
      </c>
      <c r="F56" s="11">
        <v>9460</v>
      </c>
      <c r="G56" s="11">
        <f>SUM(C56:F56)</f>
        <v>252070</v>
      </c>
      <c r="H56" s="17">
        <f>ROUND(G56/5682,2)</f>
        <v>44.36</v>
      </c>
      <c r="I56" s="10"/>
      <c r="J56" s="10"/>
    </row>
    <row r="57" spans="1:10" x14ac:dyDescent="0.25">
      <c r="A57" s="20" t="s">
        <v>56</v>
      </c>
      <c r="B57" s="20"/>
      <c r="C57" s="11">
        <v>0</v>
      </c>
      <c r="D57" s="11">
        <v>0</v>
      </c>
      <c r="E57" s="11">
        <v>0</v>
      </c>
      <c r="F57" s="11">
        <v>0</v>
      </c>
      <c r="G57" s="11">
        <f>SUM(C57:F57)</f>
        <v>0</v>
      </c>
      <c r="H57" s="17">
        <f>ROUND(G57/5682,2)</f>
        <v>0</v>
      </c>
      <c r="I57" s="10"/>
      <c r="J57" s="10"/>
    </row>
    <row r="58" spans="1:10" x14ac:dyDescent="0.25">
      <c r="C58" s="9"/>
      <c r="D58" s="9"/>
      <c r="E58" s="9"/>
      <c r="F58" s="9"/>
      <c r="G58" s="9"/>
      <c r="H58" s="9"/>
      <c r="I58" s="10"/>
      <c r="J58" s="10"/>
    </row>
    <row r="59" spans="1:10" x14ac:dyDescent="0.25">
      <c r="C59" s="9"/>
      <c r="D59" s="9"/>
      <c r="E59" s="9"/>
      <c r="F59" s="9"/>
      <c r="G59" s="9"/>
      <c r="H59" s="9"/>
      <c r="I59" s="10"/>
      <c r="J59" s="10"/>
    </row>
    <row r="60" spans="1:10" x14ac:dyDescent="0.25">
      <c r="C60" s="9"/>
      <c r="D60" s="9"/>
      <c r="E60" s="9"/>
      <c r="F60" s="9"/>
      <c r="G60" s="9"/>
      <c r="H60" s="9"/>
      <c r="I60" s="10"/>
      <c r="J60" s="10"/>
    </row>
    <row r="61" spans="1:10" x14ac:dyDescent="0.25">
      <c r="C61" s="9"/>
      <c r="D61" s="9"/>
      <c r="E61" s="9"/>
      <c r="F61" s="9"/>
      <c r="G61" s="9"/>
      <c r="H61" s="9"/>
      <c r="I61" s="10"/>
      <c r="J61" s="10"/>
    </row>
    <row r="62" spans="1:10" x14ac:dyDescent="0.25">
      <c r="A62" s="21" t="s">
        <v>57</v>
      </c>
      <c r="B62" s="21"/>
      <c r="C62" s="15" t="s">
        <v>2</v>
      </c>
      <c r="D62" s="15">
        <v>2023</v>
      </c>
      <c r="E62" s="15" t="s">
        <v>59</v>
      </c>
      <c r="F62" s="14"/>
      <c r="G62" s="15" t="s">
        <v>60</v>
      </c>
      <c r="H62" s="15" t="s">
        <v>2</v>
      </c>
      <c r="I62" s="13" t="s">
        <v>61</v>
      </c>
      <c r="J62" s="13" t="s">
        <v>59</v>
      </c>
    </row>
    <row r="63" spans="1:10" x14ac:dyDescent="0.25">
      <c r="A63" s="20" t="s">
        <v>58</v>
      </c>
      <c r="B63" s="20"/>
      <c r="C63" s="16">
        <f>ROUND(0.6427, 4)</f>
        <v>0.64270000000000005</v>
      </c>
      <c r="D63" s="16">
        <f>ROUND(0.6585, 4)</f>
        <v>0.65849999999999997</v>
      </c>
      <c r="E63" s="16">
        <f>ROUND(0.777, 4)</f>
        <v>0.77700000000000002</v>
      </c>
      <c r="F63" s="9"/>
      <c r="G63" s="15" t="s">
        <v>62</v>
      </c>
      <c r="H63" s="22" t="s">
        <v>63</v>
      </c>
      <c r="I63" s="24" t="s">
        <v>64</v>
      </c>
      <c r="J63" s="24" t="s">
        <v>65</v>
      </c>
    </row>
    <row r="64" spans="1:10" x14ac:dyDescent="0.25">
      <c r="A64" s="20" t="s">
        <v>66</v>
      </c>
      <c r="B64" s="20"/>
      <c r="C64" s="16">
        <f>ROUND(0.6343, 4)</f>
        <v>0.63429999999999997</v>
      </c>
      <c r="D64" s="16">
        <f>ROUND(0.6486, 4)</f>
        <v>0.64859999999999995</v>
      </c>
      <c r="E64" s="16">
        <f>ROUND(0.7608, 4)</f>
        <v>0.76080000000000003</v>
      </c>
      <c r="F64" s="9"/>
      <c r="G64" s="15" t="s">
        <v>67</v>
      </c>
      <c r="H64" s="23"/>
      <c r="I64" s="25"/>
      <c r="J64" s="25"/>
    </row>
    <row r="65" spans="1:10" x14ac:dyDescent="0.25">
      <c r="C65" s="9"/>
      <c r="D65" s="9"/>
      <c r="E65" s="9"/>
      <c r="F65" s="9"/>
      <c r="G65" s="9"/>
      <c r="H65" s="9"/>
      <c r="I65" s="10"/>
      <c r="J65" s="10"/>
    </row>
    <row r="66" spans="1:10" x14ac:dyDescent="0.25">
      <c r="C66" s="9"/>
      <c r="D66" s="9"/>
      <c r="E66" s="9"/>
      <c r="F66" s="9"/>
      <c r="G66" s="9"/>
      <c r="H66" s="9"/>
      <c r="I66" s="10"/>
      <c r="J66" s="10"/>
    </row>
    <row r="67" spans="1:10" x14ac:dyDescent="0.25">
      <c r="C67" s="9"/>
      <c r="D67" s="9"/>
      <c r="E67" s="9"/>
      <c r="F67" s="9"/>
      <c r="G67" s="9"/>
      <c r="H67" s="9"/>
      <c r="I67" s="10"/>
      <c r="J67" s="10"/>
    </row>
    <row r="68" spans="1:10" x14ac:dyDescent="0.25">
      <c r="A68" s="21" t="s">
        <v>68</v>
      </c>
      <c r="B68" s="21"/>
      <c r="C68" s="15" t="s">
        <v>2</v>
      </c>
      <c r="D68" s="15" t="s">
        <v>299</v>
      </c>
      <c r="E68" s="15" t="s">
        <v>70</v>
      </c>
      <c r="F68" s="15" t="s">
        <v>71</v>
      </c>
      <c r="G68" s="15" t="s">
        <v>72</v>
      </c>
      <c r="H68" s="14"/>
      <c r="I68" s="18"/>
      <c r="J68" s="18"/>
    </row>
    <row r="69" spans="1:10" x14ac:dyDescent="0.25">
      <c r="A69" s="20" t="s">
        <v>73</v>
      </c>
      <c r="B69" s="20"/>
      <c r="C69" s="17">
        <v>33.97</v>
      </c>
      <c r="D69" s="17">
        <v>87.64</v>
      </c>
      <c r="E69" s="17">
        <v>81.84</v>
      </c>
      <c r="F69" s="17">
        <v>48</v>
      </c>
      <c r="G69" s="17">
        <f>12/4*C69</f>
        <v>101.91</v>
      </c>
      <c r="H69" s="9"/>
      <c r="I69" s="10"/>
      <c r="J69" s="10"/>
    </row>
    <row r="70" spans="1:10" x14ac:dyDescent="0.25">
      <c r="A70" s="20" t="s">
        <v>74</v>
      </c>
      <c r="B70" s="20"/>
      <c r="C70" s="17">
        <v>14.97</v>
      </c>
      <c r="D70" s="17">
        <v>40.630000000000003</v>
      </c>
      <c r="E70" s="17">
        <v>55.63</v>
      </c>
      <c r="F70" s="17">
        <v>55.33</v>
      </c>
      <c r="G70" s="17">
        <f>12/4*C70</f>
        <v>44.910000000000004</v>
      </c>
      <c r="H70" s="9"/>
      <c r="I70" s="10"/>
      <c r="J70" s="10"/>
    </row>
    <row r="71" spans="1:10" x14ac:dyDescent="0.25">
      <c r="A71" s="20" t="s">
        <v>75</v>
      </c>
      <c r="B71" s="20"/>
      <c r="C71" s="17">
        <v>79.86</v>
      </c>
      <c r="D71" s="17">
        <v>223.65</v>
      </c>
      <c r="E71" s="17">
        <v>257.88</v>
      </c>
      <c r="F71" s="17">
        <v>242.78</v>
      </c>
      <c r="G71" s="17">
        <f>12/4*C71</f>
        <v>239.57999999999998</v>
      </c>
      <c r="H71" s="9"/>
      <c r="I71" s="10"/>
      <c r="J71" s="10"/>
    </row>
    <row r="72" spans="1:10" x14ac:dyDescent="0.25">
      <c r="A72" s="20" t="s">
        <v>76</v>
      </c>
      <c r="B72" s="20"/>
      <c r="C72" s="17">
        <v>44.36</v>
      </c>
      <c r="D72" s="17">
        <v>102.71</v>
      </c>
      <c r="E72" s="17">
        <v>103.14</v>
      </c>
      <c r="F72" s="17">
        <v>68.31</v>
      </c>
      <c r="G72" s="17">
        <f>12/4*C72</f>
        <v>133.07999999999998</v>
      </c>
      <c r="H72" s="9"/>
      <c r="I72" s="10"/>
      <c r="J72" s="10"/>
    </row>
    <row r="73" spans="1:10" x14ac:dyDescent="0.25">
      <c r="C73" s="9"/>
      <c r="D73" s="9"/>
      <c r="E73" s="9"/>
      <c r="F73" s="9"/>
      <c r="G73" s="9"/>
      <c r="H73" s="9"/>
      <c r="I73" s="10"/>
      <c r="J73" s="10"/>
    </row>
    <row r="74" spans="1:10" x14ac:dyDescent="0.25">
      <c r="C74" s="9"/>
      <c r="D74" s="9"/>
      <c r="E74" s="9"/>
      <c r="F74" s="9"/>
      <c r="G74" s="9"/>
      <c r="H74" s="9"/>
      <c r="I74" s="10"/>
      <c r="J74" s="10"/>
    </row>
    <row r="75" spans="1:10" x14ac:dyDescent="0.25">
      <c r="A75" s="19" t="s">
        <v>60</v>
      </c>
      <c r="B75" s="26"/>
      <c r="C75" s="9"/>
      <c r="D75" s="9"/>
      <c r="E75" s="9"/>
      <c r="F75" s="9"/>
      <c r="G75" s="9"/>
      <c r="H75" s="9"/>
      <c r="I75" s="10"/>
      <c r="J75" s="10"/>
    </row>
    <row r="76" spans="1:10" x14ac:dyDescent="0.25">
      <c r="A76" s="3" t="s">
        <v>77</v>
      </c>
      <c r="B76" s="1" t="s">
        <v>300</v>
      </c>
      <c r="C76" s="9"/>
      <c r="D76" s="9"/>
      <c r="E76" s="9"/>
      <c r="F76" s="9"/>
      <c r="G76" s="9"/>
      <c r="H76" s="9"/>
      <c r="I76" s="10"/>
      <c r="J76" s="10"/>
    </row>
    <row r="77" spans="1:10" x14ac:dyDescent="0.25">
      <c r="A77" s="3" t="s">
        <v>70</v>
      </c>
      <c r="B77" s="1" t="s">
        <v>79</v>
      </c>
      <c r="C77" s="9"/>
      <c r="D77" s="9"/>
      <c r="E77" s="9"/>
      <c r="F77" s="9"/>
      <c r="G77" s="9"/>
      <c r="H77" s="9"/>
      <c r="I77" s="10"/>
      <c r="J77" s="10"/>
    </row>
    <row r="78" spans="1:10" x14ac:dyDescent="0.25">
      <c r="A78" s="3" t="s">
        <v>71</v>
      </c>
      <c r="B78" s="1" t="s">
        <v>80</v>
      </c>
    </row>
    <row r="79" spans="1:10" x14ac:dyDescent="0.25">
      <c r="A79" s="3" t="s">
        <v>72</v>
      </c>
      <c r="B79" s="1" t="s">
        <v>81</v>
      </c>
    </row>
  </sheetData>
  <mergeCells count="19">
    <mergeCell ref="A70:B70"/>
    <mergeCell ref="A71:B71"/>
    <mergeCell ref="A72:B72"/>
    <mergeCell ref="A75:B75"/>
    <mergeCell ref="I63:I64"/>
    <mergeCell ref="J63:J64"/>
    <mergeCell ref="A64:B64"/>
    <mergeCell ref="A68:B68"/>
    <mergeCell ref="A69:B69"/>
    <mergeCell ref="A56:B56"/>
    <mergeCell ref="A57:B57"/>
    <mergeCell ref="A62:B62"/>
    <mergeCell ref="A63:B63"/>
    <mergeCell ref="H63:H64"/>
    <mergeCell ref="C7:G7"/>
    <mergeCell ref="A48:B48"/>
    <mergeCell ref="A49:B49"/>
    <mergeCell ref="A54:B54"/>
    <mergeCell ref="A55:B55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2:J77"/>
  <sheetViews>
    <sheetView workbookViewId="0">
      <selection activeCell="C9" sqref="C9:J69"/>
    </sheetView>
  </sheetViews>
  <sheetFormatPr defaultRowHeight="15" x14ac:dyDescent="0.25"/>
  <cols>
    <col min="1" max="1" width="38.85546875" bestFit="1" customWidth="1"/>
    <col min="2" max="2" width="96.7109375" bestFit="1" customWidth="1"/>
    <col min="3" max="3" width="14" bestFit="1" customWidth="1"/>
    <col min="4" max="4" width="43.5703125" bestFit="1" customWidth="1"/>
    <col min="5" max="5" width="16.42578125" bestFit="1" customWidth="1"/>
    <col min="6" max="6" width="10.5703125" bestFit="1" customWidth="1"/>
    <col min="7" max="7" width="68.28515625" bestFit="1" customWidth="1"/>
    <col min="8" max="9" width="20" bestFit="1" customWidth="1"/>
    <col min="10" max="10" width="30.5703125" bestFit="1" customWidth="1"/>
  </cols>
  <sheetData>
    <row r="2" spans="1:10" ht="18.75" x14ac:dyDescent="0.3">
      <c r="A2" s="3" t="s">
        <v>0</v>
      </c>
      <c r="B2" s="4" t="s">
        <v>301</v>
      </c>
    </row>
    <row r="3" spans="1:10" x14ac:dyDescent="0.25">
      <c r="A3" s="3" t="s">
        <v>2</v>
      </c>
      <c r="B3" s="1" t="s">
        <v>3</v>
      </c>
    </row>
    <row r="4" spans="1:10" x14ac:dyDescent="0.25">
      <c r="A4" s="3" t="s">
        <v>4</v>
      </c>
      <c r="B4" s="1">
        <v>6007</v>
      </c>
    </row>
    <row r="7" spans="1:10" x14ac:dyDescent="0.25">
      <c r="C7" s="19" t="s">
        <v>5</v>
      </c>
      <c r="D7" s="20"/>
      <c r="E7" s="20"/>
      <c r="F7" s="20"/>
      <c r="G7" s="20"/>
    </row>
    <row r="8" spans="1:10" x14ac:dyDescent="0.25">
      <c r="A8" s="3" t="s">
        <v>6</v>
      </c>
      <c r="B8" s="3" t="s">
        <v>7</v>
      </c>
      <c r="C8" s="3" t="s">
        <v>8</v>
      </c>
      <c r="D8" s="3" t="s">
        <v>9</v>
      </c>
      <c r="E8" s="3" t="s">
        <v>10</v>
      </c>
      <c r="F8" s="3" t="s">
        <v>11</v>
      </c>
      <c r="G8" s="3" t="s">
        <v>12</v>
      </c>
      <c r="H8" s="3" t="s">
        <v>13</v>
      </c>
      <c r="I8" s="3" t="s">
        <v>14</v>
      </c>
      <c r="J8" s="3" t="s">
        <v>15</v>
      </c>
    </row>
    <row r="9" spans="1:10" x14ac:dyDescent="0.25">
      <c r="A9" s="1" t="s">
        <v>16</v>
      </c>
      <c r="B9" s="1" t="s">
        <v>17</v>
      </c>
      <c r="C9" s="11"/>
      <c r="D9" s="11"/>
      <c r="E9" s="11">
        <v>38</v>
      </c>
      <c r="F9" s="11"/>
      <c r="G9" s="11">
        <f t="shared" ref="G9:G45" si="0">SUM(C9:F9)</f>
        <v>38</v>
      </c>
      <c r="H9" s="17">
        <f t="shared" ref="H9:H45" si="1">ROUND(G9/6007,2)</f>
        <v>0.01</v>
      </c>
      <c r="I9" s="16">
        <f t="shared" ref="I9:I45" si="2">ROUND(G9/$G$46,3)</f>
        <v>0</v>
      </c>
      <c r="J9" s="16">
        <f>ROUND(G9/20-1,2)</f>
        <v>0.9</v>
      </c>
    </row>
    <row r="10" spans="1:10" x14ac:dyDescent="0.25">
      <c r="A10" s="1" t="s">
        <v>16</v>
      </c>
      <c r="B10" s="1" t="s">
        <v>19</v>
      </c>
      <c r="C10" s="11">
        <v>78700</v>
      </c>
      <c r="D10" s="11"/>
      <c r="E10" s="11">
        <v>1020</v>
      </c>
      <c r="F10" s="11"/>
      <c r="G10" s="11">
        <f t="shared" si="0"/>
        <v>79720</v>
      </c>
      <c r="H10" s="17">
        <f t="shared" si="1"/>
        <v>13.27</v>
      </c>
      <c r="I10" s="16">
        <f t="shared" si="2"/>
        <v>0.104</v>
      </c>
      <c r="J10" s="16">
        <f>ROUND(G10/77780-1,2)</f>
        <v>0.02</v>
      </c>
    </row>
    <row r="11" spans="1:10" x14ac:dyDescent="0.25">
      <c r="A11" s="1" t="s">
        <v>16</v>
      </c>
      <c r="B11" s="1" t="s">
        <v>20</v>
      </c>
      <c r="C11" s="11">
        <v>70040</v>
      </c>
      <c r="D11" s="11"/>
      <c r="E11" s="11"/>
      <c r="F11" s="11"/>
      <c r="G11" s="11">
        <f t="shared" si="0"/>
        <v>70040</v>
      </c>
      <c r="H11" s="17">
        <f t="shared" si="1"/>
        <v>11.66</v>
      </c>
      <c r="I11" s="16">
        <f t="shared" si="2"/>
        <v>9.0999999999999998E-2</v>
      </c>
      <c r="J11" s="16">
        <f>ROUND(G11/70830-1,2)</f>
        <v>-0.01</v>
      </c>
    </row>
    <row r="12" spans="1:10" x14ac:dyDescent="0.25">
      <c r="A12" s="1" t="s">
        <v>16</v>
      </c>
      <c r="B12" s="1" t="s">
        <v>94</v>
      </c>
      <c r="C12" s="11"/>
      <c r="D12" s="11"/>
      <c r="E12" s="11">
        <v>84</v>
      </c>
      <c r="F12" s="11"/>
      <c r="G12" s="11">
        <f t="shared" si="0"/>
        <v>84</v>
      </c>
      <c r="H12" s="17">
        <f t="shared" si="1"/>
        <v>0.01</v>
      </c>
      <c r="I12" s="16">
        <f t="shared" si="2"/>
        <v>0</v>
      </c>
      <c r="J12" s="16">
        <f>ROUND(G12/40-1,2)</f>
        <v>1.1000000000000001</v>
      </c>
    </row>
    <row r="13" spans="1:10" x14ac:dyDescent="0.25">
      <c r="A13" s="1" t="s">
        <v>16</v>
      </c>
      <c r="B13" s="1" t="s">
        <v>21</v>
      </c>
      <c r="C13" s="11"/>
      <c r="D13" s="11"/>
      <c r="E13" s="11">
        <v>60</v>
      </c>
      <c r="F13" s="11"/>
      <c r="G13" s="11">
        <f t="shared" si="0"/>
        <v>60</v>
      </c>
      <c r="H13" s="17">
        <f t="shared" si="1"/>
        <v>0.01</v>
      </c>
      <c r="I13" s="16">
        <f t="shared" si="2"/>
        <v>0</v>
      </c>
      <c r="J13" s="16">
        <f>ROUND(G13/57-1,2)</f>
        <v>0.05</v>
      </c>
    </row>
    <row r="14" spans="1:10" x14ac:dyDescent="0.25">
      <c r="A14" s="1" t="s">
        <v>16</v>
      </c>
      <c r="B14" s="1" t="s">
        <v>22</v>
      </c>
      <c r="C14" s="11"/>
      <c r="D14" s="11"/>
      <c r="E14" s="11">
        <v>1100</v>
      </c>
      <c r="F14" s="11"/>
      <c r="G14" s="11">
        <f t="shared" si="0"/>
        <v>1100</v>
      </c>
      <c r="H14" s="17">
        <f t="shared" si="1"/>
        <v>0.18</v>
      </c>
      <c r="I14" s="16">
        <f t="shared" si="2"/>
        <v>1E-3</v>
      </c>
      <c r="J14" s="16">
        <f>ROUND(G14/1000-1,2)</f>
        <v>0.1</v>
      </c>
    </row>
    <row r="15" spans="1:10" x14ac:dyDescent="0.25">
      <c r="A15" s="1" t="s">
        <v>16</v>
      </c>
      <c r="B15" s="1" t="s">
        <v>23</v>
      </c>
      <c r="C15" s="11"/>
      <c r="D15" s="11"/>
      <c r="E15" s="11">
        <v>17260</v>
      </c>
      <c r="F15" s="11"/>
      <c r="G15" s="11">
        <f t="shared" si="0"/>
        <v>17260</v>
      </c>
      <c r="H15" s="17">
        <f t="shared" si="1"/>
        <v>2.87</v>
      </c>
      <c r="I15" s="16">
        <f t="shared" si="2"/>
        <v>2.3E-2</v>
      </c>
      <c r="J15" s="16">
        <f>ROUND(G15/14420-1,2)</f>
        <v>0.2</v>
      </c>
    </row>
    <row r="16" spans="1:10" x14ac:dyDescent="0.25">
      <c r="A16" s="1" t="s">
        <v>16</v>
      </c>
      <c r="B16" s="1" t="s">
        <v>24</v>
      </c>
      <c r="C16" s="11">
        <v>108320</v>
      </c>
      <c r="D16" s="11"/>
      <c r="E16" s="11">
        <v>6800</v>
      </c>
      <c r="F16" s="11"/>
      <c r="G16" s="11">
        <f t="shared" si="0"/>
        <v>115120</v>
      </c>
      <c r="H16" s="17">
        <f t="shared" si="1"/>
        <v>19.16</v>
      </c>
      <c r="I16" s="16">
        <f t="shared" si="2"/>
        <v>0.15</v>
      </c>
      <c r="J16" s="16">
        <f>ROUND(G16/117640-1,2)</f>
        <v>-0.02</v>
      </c>
    </row>
    <row r="17" spans="1:10" x14ac:dyDescent="0.25">
      <c r="A17" s="1" t="s">
        <v>16</v>
      </c>
      <c r="B17" s="1" t="s">
        <v>25</v>
      </c>
      <c r="C17" s="11"/>
      <c r="D17" s="11"/>
      <c r="E17" s="11">
        <v>2280</v>
      </c>
      <c r="F17" s="11"/>
      <c r="G17" s="11">
        <f t="shared" si="0"/>
        <v>2280</v>
      </c>
      <c r="H17" s="17">
        <f t="shared" si="1"/>
        <v>0.38</v>
      </c>
      <c r="I17" s="16">
        <f t="shared" si="2"/>
        <v>3.0000000000000001E-3</v>
      </c>
      <c r="J17" s="16">
        <f>ROUND(G17/1120-1,2)</f>
        <v>1.04</v>
      </c>
    </row>
    <row r="18" spans="1:10" x14ac:dyDescent="0.25">
      <c r="A18" s="1" t="s">
        <v>16</v>
      </c>
      <c r="B18" s="1" t="s">
        <v>26</v>
      </c>
      <c r="C18" s="11">
        <v>129880</v>
      </c>
      <c r="D18" s="11"/>
      <c r="E18" s="11"/>
      <c r="F18" s="11">
        <v>280</v>
      </c>
      <c r="G18" s="11">
        <f t="shared" si="0"/>
        <v>130160</v>
      </c>
      <c r="H18" s="17">
        <f t="shared" si="1"/>
        <v>21.67</v>
      </c>
      <c r="I18" s="16">
        <f t="shared" si="2"/>
        <v>0.17</v>
      </c>
      <c r="J18" s="16">
        <f>ROUND(G18/125480-1,2)</f>
        <v>0.04</v>
      </c>
    </row>
    <row r="19" spans="1:10" x14ac:dyDescent="0.25">
      <c r="A19" s="1" t="s">
        <v>16</v>
      </c>
      <c r="B19" s="1" t="s">
        <v>27</v>
      </c>
      <c r="C19" s="11"/>
      <c r="D19" s="11"/>
      <c r="E19" s="11">
        <v>121</v>
      </c>
      <c r="F19" s="11"/>
      <c r="G19" s="11">
        <f t="shared" si="0"/>
        <v>121</v>
      </c>
      <c r="H19" s="17">
        <f t="shared" si="1"/>
        <v>0.02</v>
      </c>
      <c r="I19" s="16">
        <f t="shared" si="2"/>
        <v>0</v>
      </c>
      <c r="J19" s="16">
        <f>ROUND(G19/243-1,2)</f>
        <v>-0.5</v>
      </c>
    </row>
    <row r="20" spans="1:10" x14ac:dyDescent="0.25">
      <c r="A20" s="1" t="s">
        <v>16</v>
      </c>
      <c r="B20" s="1" t="s">
        <v>28</v>
      </c>
      <c r="C20" s="11"/>
      <c r="D20" s="11"/>
      <c r="E20" s="11">
        <v>80</v>
      </c>
      <c r="F20" s="11"/>
      <c r="G20" s="11">
        <f t="shared" si="0"/>
        <v>80</v>
      </c>
      <c r="H20" s="17">
        <f t="shared" si="1"/>
        <v>0.01</v>
      </c>
      <c r="I20" s="16">
        <f t="shared" si="2"/>
        <v>0</v>
      </c>
      <c r="J20" s="16">
        <f>ROUND(G20/160-1,2)</f>
        <v>-0.5</v>
      </c>
    </row>
    <row r="21" spans="1:10" x14ac:dyDescent="0.25">
      <c r="A21" s="1" t="s">
        <v>16</v>
      </c>
      <c r="B21" s="1" t="s">
        <v>29</v>
      </c>
      <c r="C21" s="11"/>
      <c r="D21" s="11"/>
      <c r="E21" s="11">
        <v>460</v>
      </c>
      <c r="F21" s="11"/>
      <c r="G21" s="11">
        <f t="shared" si="0"/>
        <v>460</v>
      </c>
      <c r="H21" s="17">
        <f t="shared" si="1"/>
        <v>0.08</v>
      </c>
      <c r="I21" s="16">
        <f t="shared" si="2"/>
        <v>1E-3</v>
      </c>
      <c r="J21" s="16">
        <f>ROUND(G21/290-1,2)</f>
        <v>0.59</v>
      </c>
    </row>
    <row r="22" spans="1:10" x14ac:dyDescent="0.25">
      <c r="A22" s="1" t="s">
        <v>16</v>
      </c>
      <c r="B22" s="1" t="s">
        <v>30</v>
      </c>
      <c r="C22" s="11"/>
      <c r="D22" s="11"/>
      <c r="E22" s="11">
        <v>500</v>
      </c>
      <c r="F22" s="11"/>
      <c r="G22" s="11">
        <f t="shared" si="0"/>
        <v>500</v>
      </c>
      <c r="H22" s="17">
        <f t="shared" si="1"/>
        <v>0.08</v>
      </c>
      <c r="I22" s="16">
        <f t="shared" si="2"/>
        <v>1E-3</v>
      </c>
      <c r="J22" s="16"/>
    </row>
    <row r="23" spans="1:10" x14ac:dyDescent="0.25">
      <c r="A23" s="1" t="s">
        <v>16</v>
      </c>
      <c r="B23" s="1" t="s">
        <v>31</v>
      </c>
      <c r="C23" s="11"/>
      <c r="D23" s="11"/>
      <c r="E23" s="11">
        <v>905</v>
      </c>
      <c r="F23" s="11"/>
      <c r="G23" s="11">
        <f t="shared" si="0"/>
        <v>905</v>
      </c>
      <c r="H23" s="17">
        <f t="shared" si="1"/>
        <v>0.15</v>
      </c>
      <c r="I23" s="16">
        <f t="shared" si="2"/>
        <v>1E-3</v>
      </c>
      <c r="J23" s="16">
        <f>ROUND(G23/605-1,2)</f>
        <v>0.5</v>
      </c>
    </row>
    <row r="24" spans="1:10" x14ac:dyDescent="0.25">
      <c r="A24" s="1" t="s">
        <v>16</v>
      </c>
      <c r="B24" s="1" t="s">
        <v>32</v>
      </c>
      <c r="C24" s="11"/>
      <c r="D24" s="11">
        <v>161</v>
      </c>
      <c r="E24" s="11"/>
      <c r="F24" s="11"/>
      <c r="G24" s="11">
        <f t="shared" si="0"/>
        <v>161</v>
      </c>
      <c r="H24" s="17">
        <f t="shared" si="1"/>
        <v>0.03</v>
      </c>
      <c r="I24" s="16">
        <f t="shared" si="2"/>
        <v>0</v>
      </c>
      <c r="J24" s="16">
        <f>ROUND(G24/142-1,2)</f>
        <v>0.13</v>
      </c>
    </row>
    <row r="25" spans="1:10" x14ac:dyDescent="0.25">
      <c r="A25" s="1" t="s">
        <v>16</v>
      </c>
      <c r="B25" s="1" t="s">
        <v>35</v>
      </c>
      <c r="C25" s="11"/>
      <c r="D25" s="11"/>
      <c r="E25" s="11">
        <v>49290</v>
      </c>
      <c r="F25" s="11"/>
      <c r="G25" s="11">
        <f t="shared" si="0"/>
        <v>49290</v>
      </c>
      <c r="H25" s="17">
        <f t="shared" si="1"/>
        <v>8.2100000000000009</v>
      </c>
      <c r="I25" s="16">
        <f t="shared" si="2"/>
        <v>6.4000000000000001E-2</v>
      </c>
      <c r="J25" s="16">
        <f>ROUND(G25/45080-1,2)</f>
        <v>0.09</v>
      </c>
    </row>
    <row r="26" spans="1:10" x14ac:dyDescent="0.25">
      <c r="A26" s="1" t="s">
        <v>16</v>
      </c>
      <c r="B26" s="1" t="s">
        <v>36</v>
      </c>
      <c r="C26" s="11"/>
      <c r="D26" s="11"/>
      <c r="E26" s="11">
        <v>1700</v>
      </c>
      <c r="F26" s="11"/>
      <c r="G26" s="11">
        <f t="shared" si="0"/>
        <v>1700</v>
      </c>
      <c r="H26" s="17">
        <f t="shared" si="1"/>
        <v>0.28000000000000003</v>
      </c>
      <c r="I26" s="16">
        <f t="shared" si="2"/>
        <v>2E-3</v>
      </c>
      <c r="J26" s="16">
        <f>ROUND(G26/12760-1,2)</f>
        <v>-0.87</v>
      </c>
    </row>
    <row r="27" spans="1:10" x14ac:dyDescent="0.25">
      <c r="A27" s="1" t="s">
        <v>16</v>
      </c>
      <c r="B27" s="1" t="s">
        <v>37</v>
      </c>
      <c r="C27" s="11"/>
      <c r="D27" s="11"/>
      <c r="E27" s="11">
        <v>9900</v>
      </c>
      <c r="F27" s="11"/>
      <c r="G27" s="11">
        <f t="shared" si="0"/>
        <v>9900</v>
      </c>
      <c r="H27" s="17">
        <f t="shared" si="1"/>
        <v>1.65</v>
      </c>
      <c r="I27" s="16">
        <f t="shared" si="2"/>
        <v>1.2999999999999999E-2</v>
      </c>
      <c r="J27" s="16">
        <f>ROUND(G27/4600-1,2)</f>
        <v>1.1499999999999999</v>
      </c>
    </row>
    <row r="28" spans="1:10" x14ac:dyDescent="0.25">
      <c r="A28" s="1" t="s">
        <v>16</v>
      </c>
      <c r="B28" s="1" t="s">
        <v>38</v>
      </c>
      <c r="C28" s="11"/>
      <c r="D28" s="11"/>
      <c r="E28" s="11">
        <v>131540</v>
      </c>
      <c r="F28" s="11"/>
      <c r="G28" s="11">
        <f t="shared" si="0"/>
        <v>131540</v>
      </c>
      <c r="H28" s="17">
        <f t="shared" si="1"/>
        <v>21.9</v>
      </c>
      <c r="I28" s="16">
        <f t="shared" si="2"/>
        <v>0.17199999999999999</v>
      </c>
      <c r="J28" s="16">
        <f>ROUND(G28/83040-1,2)</f>
        <v>0.57999999999999996</v>
      </c>
    </row>
    <row r="29" spans="1:10" x14ac:dyDescent="0.25">
      <c r="A29" s="1" t="s">
        <v>16</v>
      </c>
      <c r="B29" s="1" t="s">
        <v>39</v>
      </c>
      <c r="C29" s="11"/>
      <c r="D29" s="11"/>
      <c r="E29" s="11"/>
      <c r="F29" s="11"/>
      <c r="G29" s="11">
        <f t="shared" si="0"/>
        <v>0</v>
      </c>
      <c r="H29" s="17">
        <f t="shared" si="1"/>
        <v>0</v>
      </c>
      <c r="I29" s="16">
        <f t="shared" si="2"/>
        <v>0</v>
      </c>
      <c r="J29" s="16"/>
    </row>
    <row r="30" spans="1:10" x14ac:dyDescent="0.25">
      <c r="A30" s="1" t="s">
        <v>16</v>
      </c>
      <c r="B30" s="1" t="s">
        <v>40</v>
      </c>
      <c r="C30" s="11"/>
      <c r="D30" s="11"/>
      <c r="E30" s="11"/>
      <c r="F30" s="11"/>
      <c r="G30" s="11">
        <f t="shared" si="0"/>
        <v>0</v>
      </c>
      <c r="H30" s="17">
        <f t="shared" si="1"/>
        <v>0</v>
      </c>
      <c r="I30" s="16">
        <f t="shared" si="2"/>
        <v>0</v>
      </c>
      <c r="J30" s="16">
        <f>ROUND(G30/2780-1,2)</f>
        <v>-1</v>
      </c>
    </row>
    <row r="31" spans="1:10" x14ac:dyDescent="0.25">
      <c r="A31" s="1" t="s">
        <v>16</v>
      </c>
      <c r="B31" s="1" t="s">
        <v>33</v>
      </c>
      <c r="C31" s="11"/>
      <c r="D31" s="11"/>
      <c r="E31" s="11"/>
      <c r="F31" s="11"/>
      <c r="G31" s="11">
        <f t="shared" si="0"/>
        <v>0</v>
      </c>
      <c r="H31" s="17">
        <f t="shared" si="1"/>
        <v>0</v>
      </c>
      <c r="I31" s="16">
        <f t="shared" si="2"/>
        <v>0</v>
      </c>
      <c r="J31" s="16"/>
    </row>
    <row r="32" spans="1:10" x14ac:dyDescent="0.25">
      <c r="A32" s="1" t="s">
        <v>16</v>
      </c>
      <c r="B32" s="1" t="s">
        <v>41</v>
      </c>
      <c r="C32" s="11"/>
      <c r="D32" s="11"/>
      <c r="E32" s="11"/>
      <c r="F32" s="11"/>
      <c r="G32" s="11">
        <f t="shared" si="0"/>
        <v>0</v>
      </c>
      <c r="H32" s="17">
        <f t="shared" si="1"/>
        <v>0</v>
      </c>
      <c r="I32" s="16">
        <f t="shared" si="2"/>
        <v>0</v>
      </c>
      <c r="J32" s="16">
        <f>ROUND(G32/1780-1,2)</f>
        <v>-1</v>
      </c>
    </row>
    <row r="33" spans="1:10" x14ac:dyDescent="0.25">
      <c r="A33" s="1" t="s">
        <v>16</v>
      </c>
      <c r="B33" s="1" t="s">
        <v>42</v>
      </c>
      <c r="C33" s="11"/>
      <c r="D33" s="11"/>
      <c r="E33" s="11"/>
      <c r="F33" s="11"/>
      <c r="G33" s="11">
        <f t="shared" si="0"/>
        <v>0</v>
      </c>
      <c r="H33" s="17">
        <f t="shared" si="1"/>
        <v>0</v>
      </c>
      <c r="I33" s="16">
        <f t="shared" si="2"/>
        <v>0</v>
      </c>
      <c r="J33" s="16">
        <f>ROUND(G33/3176-1,2)</f>
        <v>-1</v>
      </c>
    </row>
    <row r="34" spans="1:10" x14ac:dyDescent="0.25">
      <c r="A34" s="1" t="s">
        <v>16</v>
      </c>
      <c r="B34" s="1" t="s">
        <v>43</v>
      </c>
      <c r="C34" s="11"/>
      <c r="D34" s="11"/>
      <c r="E34" s="11"/>
      <c r="F34" s="11"/>
      <c r="G34" s="11">
        <f t="shared" si="0"/>
        <v>0</v>
      </c>
      <c r="H34" s="17">
        <f t="shared" si="1"/>
        <v>0</v>
      </c>
      <c r="I34" s="16">
        <f t="shared" si="2"/>
        <v>0</v>
      </c>
      <c r="J34" s="16">
        <f>ROUND(G34/1626-1,2)</f>
        <v>-1</v>
      </c>
    </row>
    <row r="35" spans="1:10" x14ac:dyDescent="0.25">
      <c r="A35" s="1" t="s">
        <v>16</v>
      </c>
      <c r="B35" s="1" t="s">
        <v>34</v>
      </c>
      <c r="C35" s="11"/>
      <c r="D35" s="11"/>
      <c r="E35" s="11"/>
      <c r="F35" s="11"/>
      <c r="G35" s="11">
        <f t="shared" si="0"/>
        <v>0</v>
      </c>
      <c r="H35" s="17">
        <f t="shared" si="1"/>
        <v>0</v>
      </c>
      <c r="I35" s="16">
        <f t="shared" si="2"/>
        <v>0</v>
      </c>
      <c r="J35" s="16"/>
    </row>
    <row r="36" spans="1:10" x14ac:dyDescent="0.25">
      <c r="A36" s="1" t="s">
        <v>16</v>
      </c>
      <c r="B36" s="1" t="s">
        <v>242</v>
      </c>
      <c r="C36" s="11"/>
      <c r="D36" s="11"/>
      <c r="E36" s="11"/>
      <c r="F36" s="11"/>
      <c r="G36" s="11">
        <f t="shared" si="0"/>
        <v>0</v>
      </c>
      <c r="H36" s="17">
        <f t="shared" si="1"/>
        <v>0</v>
      </c>
      <c r="I36" s="16">
        <f t="shared" si="2"/>
        <v>0</v>
      </c>
      <c r="J36" s="16"/>
    </row>
    <row r="37" spans="1:10" x14ac:dyDescent="0.25">
      <c r="A37" s="1" t="s">
        <v>16</v>
      </c>
      <c r="B37" s="1" t="s">
        <v>302</v>
      </c>
      <c r="C37" s="11"/>
      <c r="D37" s="11"/>
      <c r="E37" s="11"/>
      <c r="F37" s="11"/>
      <c r="G37" s="11">
        <f t="shared" si="0"/>
        <v>0</v>
      </c>
      <c r="H37" s="17">
        <f t="shared" si="1"/>
        <v>0</v>
      </c>
      <c r="I37" s="16">
        <f t="shared" si="2"/>
        <v>0</v>
      </c>
      <c r="J37" s="16"/>
    </row>
    <row r="38" spans="1:10" x14ac:dyDescent="0.25">
      <c r="A38" s="1" t="s">
        <v>16</v>
      </c>
      <c r="B38" s="1" t="s">
        <v>303</v>
      </c>
      <c r="C38" s="11"/>
      <c r="D38" s="11"/>
      <c r="E38" s="11"/>
      <c r="F38" s="11"/>
      <c r="G38" s="11">
        <f t="shared" si="0"/>
        <v>0</v>
      </c>
      <c r="H38" s="17">
        <f t="shared" si="1"/>
        <v>0</v>
      </c>
      <c r="I38" s="16">
        <f t="shared" si="2"/>
        <v>0</v>
      </c>
      <c r="J38" s="16"/>
    </row>
    <row r="39" spans="1:10" x14ac:dyDescent="0.25">
      <c r="A39" s="1" t="s">
        <v>44</v>
      </c>
      <c r="B39" s="1" t="s">
        <v>45</v>
      </c>
      <c r="C39" s="11">
        <v>114000</v>
      </c>
      <c r="D39" s="11"/>
      <c r="E39" s="11"/>
      <c r="F39" s="11"/>
      <c r="G39" s="11">
        <f t="shared" si="0"/>
        <v>114000</v>
      </c>
      <c r="H39" s="17">
        <f t="shared" si="1"/>
        <v>18.98</v>
      </c>
      <c r="I39" s="16">
        <f t="shared" si="2"/>
        <v>0.14899999999999999</v>
      </c>
      <c r="J39" s="16">
        <f>ROUND(G39/119170-1,2)</f>
        <v>-0.04</v>
      </c>
    </row>
    <row r="40" spans="1:10" x14ac:dyDescent="0.25">
      <c r="A40" s="1" t="s">
        <v>44</v>
      </c>
      <c r="B40" s="1" t="s">
        <v>47</v>
      </c>
      <c r="C40" s="11"/>
      <c r="D40" s="11"/>
      <c r="E40" s="11"/>
      <c r="F40" s="11">
        <v>14515</v>
      </c>
      <c r="G40" s="11">
        <f t="shared" si="0"/>
        <v>14515</v>
      </c>
      <c r="H40" s="17">
        <f t="shared" si="1"/>
        <v>2.42</v>
      </c>
      <c r="I40" s="16">
        <f t="shared" si="2"/>
        <v>1.9E-2</v>
      </c>
      <c r="J40" s="16">
        <f>ROUND(G40/14080-1,2)</f>
        <v>0.03</v>
      </c>
    </row>
    <row r="41" spans="1:10" x14ac:dyDescent="0.25">
      <c r="A41" s="1" t="s">
        <v>44</v>
      </c>
      <c r="B41" s="1" t="s">
        <v>46</v>
      </c>
      <c r="C41" s="11"/>
      <c r="D41" s="11"/>
      <c r="E41" s="11">
        <v>27205</v>
      </c>
      <c r="F41" s="11"/>
      <c r="G41" s="11">
        <f t="shared" si="0"/>
        <v>27205</v>
      </c>
      <c r="H41" s="17">
        <f t="shared" si="1"/>
        <v>4.53</v>
      </c>
      <c r="I41" s="16">
        <f t="shared" si="2"/>
        <v>3.5999999999999997E-2</v>
      </c>
      <c r="J41" s="16">
        <f>ROUND(G41/26950-1,2)</f>
        <v>0.01</v>
      </c>
    </row>
    <row r="42" spans="1:10" x14ac:dyDescent="0.25">
      <c r="A42" s="1" t="s">
        <v>48</v>
      </c>
      <c r="B42" s="1" t="s">
        <v>51</v>
      </c>
      <c r="C42" s="11"/>
      <c r="D42" s="11"/>
      <c r="E42" s="11"/>
      <c r="F42" s="11"/>
      <c r="G42" s="11">
        <f t="shared" si="0"/>
        <v>0</v>
      </c>
      <c r="H42" s="17">
        <f t="shared" si="1"/>
        <v>0</v>
      </c>
      <c r="I42" s="16">
        <f t="shared" si="2"/>
        <v>0</v>
      </c>
      <c r="J42" s="16"/>
    </row>
    <row r="43" spans="1:10" x14ac:dyDescent="0.25">
      <c r="A43" s="1" t="s">
        <v>48</v>
      </c>
      <c r="B43" s="1" t="s">
        <v>50</v>
      </c>
      <c r="C43" s="11"/>
      <c r="D43" s="11"/>
      <c r="E43" s="11"/>
      <c r="F43" s="11"/>
      <c r="G43" s="11">
        <f t="shared" si="0"/>
        <v>0</v>
      </c>
      <c r="H43" s="17">
        <f t="shared" si="1"/>
        <v>0</v>
      </c>
      <c r="I43" s="16">
        <f t="shared" si="2"/>
        <v>0</v>
      </c>
      <c r="J43" s="16">
        <f>ROUND(G43/185-1,2)</f>
        <v>-1</v>
      </c>
    </row>
    <row r="44" spans="1:10" x14ac:dyDescent="0.25">
      <c r="A44" s="1" t="s">
        <v>48</v>
      </c>
      <c r="B44" s="1" t="s">
        <v>86</v>
      </c>
      <c r="C44" s="11"/>
      <c r="D44" s="11"/>
      <c r="E44" s="11"/>
      <c r="F44" s="11"/>
      <c r="G44" s="11">
        <f t="shared" si="0"/>
        <v>0</v>
      </c>
      <c r="H44" s="17">
        <f t="shared" si="1"/>
        <v>0</v>
      </c>
      <c r="I44" s="16">
        <f t="shared" si="2"/>
        <v>0</v>
      </c>
      <c r="J44" s="16"/>
    </row>
    <row r="45" spans="1:10" x14ac:dyDescent="0.25">
      <c r="A45" s="1" t="s">
        <v>48</v>
      </c>
      <c r="B45" s="1" t="s">
        <v>49</v>
      </c>
      <c r="C45" s="11"/>
      <c r="D45" s="11"/>
      <c r="E45" s="11"/>
      <c r="F45" s="11"/>
      <c r="G45" s="11">
        <f t="shared" si="0"/>
        <v>0</v>
      </c>
      <c r="H45" s="17">
        <f t="shared" si="1"/>
        <v>0</v>
      </c>
      <c r="I45" s="16">
        <f t="shared" si="2"/>
        <v>0</v>
      </c>
      <c r="J45" s="16"/>
    </row>
    <row r="46" spans="1:10" x14ac:dyDescent="0.25">
      <c r="A46" s="21" t="s">
        <v>12</v>
      </c>
      <c r="B46" s="21"/>
      <c r="C46" s="12">
        <f t="shared" ref="C46:H46" si="3">SUM(C8:C45)</f>
        <v>500940</v>
      </c>
      <c r="D46" s="12">
        <f t="shared" si="3"/>
        <v>161</v>
      </c>
      <c r="E46" s="12">
        <f t="shared" si="3"/>
        <v>250343</v>
      </c>
      <c r="F46" s="12">
        <f t="shared" si="3"/>
        <v>14795</v>
      </c>
      <c r="G46" s="12">
        <f t="shared" si="3"/>
        <v>766239</v>
      </c>
      <c r="H46" s="15">
        <f t="shared" si="3"/>
        <v>127.56000000000003</v>
      </c>
      <c r="I46" s="18"/>
      <c r="J46" s="18"/>
    </row>
    <row r="47" spans="1:10" x14ac:dyDescent="0.25">
      <c r="A47" s="21" t="s">
        <v>14</v>
      </c>
      <c r="B47" s="21"/>
      <c r="C47" s="13">
        <f>ROUND(C46/G46,2)</f>
        <v>0.65</v>
      </c>
      <c r="D47" s="13">
        <f>ROUND(D46/G46,2)</f>
        <v>0</v>
      </c>
      <c r="E47" s="13">
        <f>ROUND(E46/G46,2)</f>
        <v>0.33</v>
      </c>
      <c r="F47" s="13">
        <f>ROUND(F46/G46,2)</f>
        <v>0.02</v>
      </c>
      <c r="G47" s="14"/>
      <c r="H47" s="14"/>
      <c r="I47" s="18"/>
      <c r="J47" s="18"/>
    </row>
    <row r="48" spans="1:10" x14ac:dyDescent="0.25">
      <c r="A48" s="2" t="s">
        <v>52</v>
      </c>
      <c r="B48" s="2"/>
      <c r="C48" s="14"/>
      <c r="D48" s="14"/>
      <c r="E48" s="14"/>
      <c r="F48" s="14"/>
      <c r="G48" s="14"/>
      <c r="H48" s="14"/>
      <c r="I48" s="18"/>
      <c r="J48" s="18"/>
    </row>
    <row r="49" spans="1:10" x14ac:dyDescent="0.25">
      <c r="C49" s="9"/>
      <c r="D49" s="9"/>
      <c r="E49" s="9"/>
      <c r="F49" s="9"/>
      <c r="G49" s="9"/>
      <c r="H49" s="9"/>
      <c r="I49" s="10"/>
      <c r="J49" s="10"/>
    </row>
    <row r="50" spans="1:10" x14ac:dyDescent="0.25">
      <c r="C50" s="9"/>
      <c r="D50" s="9"/>
      <c r="E50" s="9"/>
      <c r="F50" s="9"/>
      <c r="G50" s="9"/>
      <c r="H50" s="9"/>
      <c r="I50" s="10"/>
      <c r="J50" s="10"/>
    </row>
    <row r="51" spans="1:10" x14ac:dyDescent="0.25">
      <c r="C51" s="9"/>
      <c r="D51" s="9"/>
      <c r="E51" s="9"/>
      <c r="F51" s="9"/>
      <c r="G51" s="9"/>
      <c r="H51" s="9"/>
      <c r="I51" s="10"/>
      <c r="J51" s="10"/>
    </row>
    <row r="52" spans="1:10" x14ac:dyDescent="0.25">
      <c r="A52" s="21" t="s">
        <v>53</v>
      </c>
      <c r="B52" s="21"/>
      <c r="C52" s="12" t="s">
        <v>8</v>
      </c>
      <c r="D52" s="12" t="s">
        <v>9</v>
      </c>
      <c r="E52" s="12" t="s">
        <v>10</v>
      </c>
      <c r="F52" s="12" t="s">
        <v>11</v>
      </c>
      <c r="G52" s="12" t="s">
        <v>12</v>
      </c>
      <c r="H52" s="15" t="s">
        <v>13</v>
      </c>
      <c r="I52" s="18"/>
      <c r="J52" s="18"/>
    </row>
    <row r="53" spans="1:10" x14ac:dyDescent="0.25">
      <c r="A53" s="20" t="s">
        <v>54</v>
      </c>
      <c r="B53" s="20"/>
      <c r="C53" s="11">
        <v>386940</v>
      </c>
      <c r="D53" s="11">
        <v>161</v>
      </c>
      <c r="E53" s="11">
        <v>223138</v>
      </c>
      <c r="F53" s="11">
        <v>280</v>
      </c>
      <c r="G53" s="11">
        <f>SUM(C53:F53)</f>
        <v>610519</v>
      </c>
      <c r="H53" s="17">
        <f>ROUND(G53/6007,2)</f>
        <v>101.63</v>
      </c>
      <c r="I53" s="10"/>
      <c r="J53" s="10"/>
    </row>
    <row r="54" spans="1:10" x14ac:dyDescent="0.25">
      <c r="A54" s="20" t="s">
        <v>55</v>
      </c>
      <c r="B54" s="20"/>
      <c r="C54" s="11">
        <v>114000</v>
      </c>
      <c r="D54" s="11">
        <v>0</v>
      </c>
      <c r="E54" s="11">
        <v>27205</v>
      </c>
      <c r="F54" s="11">
        <v>14515</v>
      </c>
      <c r="G54" s="11">
        <f>SUM(C54:F54)</f>
        <v>155720</v>
      </c>
      <c r="H54" s="17">
        <f>ROUND(G54/6007,2)</f>
        <v>25.92</v>
      </c>
      <c r="I54" s="10"/>
      <c r="J54" s="10"/>
    </row>
    <row r="55" spans="1:10" x14ac:dyDescent="0.25">
      <c r="A55" s="20" t="s">
        <v>56</v>
      </c>
      <c r="B55" s="20"/>
      <c r="C55" s="11">
        <v>0</v>
      </c>
      <c r="D55" s="11">
        <v>0</v>
      </c>
      <c r="E55" s="11">
        <v>0</v>
      </c>
      <c r="F55" s="11">
        <v>0</v>
      </c>
      <c r="G55" s="11">
        <f>SUM(C55:F55)</f>
        <v>0</v>
      </c>
      <c r="H55" s="17">
        <f>ROUND(G55/6007,2)</f>
        <v>0</v>
      </c>
      <c r="I55" s="10"/>
      <c r="J55" s="10"/>
    </row>
    <row r="56" spans="1:10" x14ac:dyDescent="0.25">
      <c r="C56" s="9"/>
      <c r="D56" s="9"/>
      <c r="E56" s="9"/>
      <c r="F56" s="9"/>
      <c r="G56" s="9"/>
      <c r="H56" s="9"/>
      <c r="I56" s="10"/>
      <c r="J56" s="10"/>
    </row>
    <row r="57" spans="1:10" x14ac:dyDescent="0.25">
      <c r="C57" s="9"/>
      <c r="D57" s="9"/>
      <c r="E57" s="9"/>
      <c r="F57" s="9"/>
      <c r="G57" s="9"/>
      <c r="H57" s="9"/>
      <c r="I57" s="10"/>
      <c r="J57" s="10"/>
    </row>
    <row r="58" spans="1:10" x14ac:dyDescent="0.25">
      <c r="C58" s="9"/>
      <c r="D58" s="9"/>
      <c r="E58" s="9"/>
      <c r="F58" s="9"/>
      <c r="G58" s="9"/>
      <c r="H58" s="9"/>
      <c r="I58" s="10"/>
      <c r="J58" s="10"/>
    </row>
    <row r="59" spans="1:10" x14ac:dyDescent="0.25">
      <c r="C59" s="9"/>
      <c r="D59" s="9"/>
      <c r="E59" s="9"/>
      <c r="F59" s="9"/>
      <c r="G59" s="9"/>
      <c r="H59" s="9"/>
      <c r="I59" s="10"/>
      <c r="J59" s="10"/>
    </row>
    <row r="60" spans="1:10" x14ac:dyDescent="0.25">
      <c r="A60" s="21" t="s">
        <v>57</v>
      </c>
      <c r="B60" s="21"/>
      <c r="C60" s="15" t="s">
        <v>2</v>
      </c>
      <c r="D60" s="15">
        <v>2023</v>
      </c>
      <c r="E60" s="15" t="s">
        <v>59</v>
      </c>
      <c r="F60" s="14"/>
      <c r="G60" s="15" t="s">
        <v>60</v>
      </c>
      <c r="H60" s="15" t="s">
        <v>2</v>
      </c>
      <c r="I60" s="13" t="s">
        <v>61</v>
      </c>
      <c r="J60" s="13" t="s">
        <v>59</v>
      </c>
    </row>
    <row r="61" spans="1:10" x14ac:dyDescent="0.25">
      <c r="A61" s="20" t="s">
        <v>58</v>
      </c>
      <c r="B61" s="20"/>
      <c r="C61" s="16">
        <f>ROUND(0.8409, 4)</f>
        <v>0.84089999999999998</v>
      </c>
      <c r="D61" s="16">
        <f>ROUND(0.833, 4)</f>
        <v>0.83299999999999996</v>
      </c>
      <c r="E61" s="16">
        <f>ROUND(0.777, 4)</f>
        <v>0.77700000000000002</v>
      </c>
      <c r="F61" s="9"/>
      <c r="G61" s="15" t="s">
        <v>62</v>
      </c>
      <c r="H61" s="22" t="s">
        <v>63</v>
      </c>
      <c r="I61" s="24" t="s">
        <v>64</v>
      </c>
      <c r="J61" s="24" t="s">
        <v>65</v>
      </c>
    </row>
    <row r="62" spans="1:10" x14ac:dyDescent="0.25">
      <c r="A62" s="20" t="s">
        <v>66</v>
      </c>
      <c r="B62" s="20"/>
      <c r="C62" s="16">
        <f>ROUND(0.8272, 4)</f>
        <v>0.82720000000000005</v>
      </c>
      <c r="D62" s="16">
        <f>ROUND(0.8183, 4)</f>
        <v>0.81830000000000003</v>
      </c>
      <c r="E62" s="16">
        <f>ROUND(0.7608, 4)</f>
        <v>0.76080000000000003</v>
      </c>
      <c r="F62" s="9"/>
      <c r="G62" s="15" t="s">
        <v>67</v>
      </c>
      <c r="H62" s="23"/>
      <c r="I62" s="25"/>
      <c r="J62" s="25"/>
    </row>
    <row r="63" spans="1:10" x14ac:dyDescent="0.25">
      <c r="C63" s="9"/>
      <c r="D63" s="9"/>
      <c r="E63" s="9"/>
      <c r="F63" s="9"/>
      <c r="G63" s="9"/>
      <c r="H63" s="9"/>
      <c r="I63" s="10"/>
      <c r="J63" s="10"/>
    </row>
    <row r="64" spans="1:10" x14ac:dyDescent="0.25">
      <c r="C64" s="9"/>
      <c r="D64" s="9"/>
      <c r="E64" s="9"/>
      <c r="F64" s="9"/>
      <c r="G64" s="9"/>
      <c r="H64" s="9"/>
      <c r="I64" s="10"/>
      <c r="J64" s="10"/>
    </row>
    <row r="65" spans="1:10" x14ac:dyDescent="0.25">
      <c r="C65" s="9"/>
      <c r="D65" s="9"/>
      <c r="E65" s="9"/>
      <c r="F65" s="9"/>
      <c r="G65" s="9"/>
      <c r="H65" s="9"/>
      <c r="I65" s="10"/>
      <c r="J65" s="10"/>
    </row>
    <row r="66" spans="1:10" x14ac:dyDescent="0.25">
      <c r="A66" s="21" t="s">
        <v>68</v>
      </c>
      <c r="B66" s="21"/>
      <c r="C66" s="15" t="s">
        <v>2</v>
      </c>
      <c r="D66" s="15" t="s">
        <v>304</v>
      </c>
      <c r="E66" s="15" t="s">
        <v>70</v>
      </c>
      <c r="F66" s="15" t="s">
        <v>71</v>
      </c>
      <c r="G66" s="15" t="s">
        <v>72</v>
      </c>
      <c r="H66" s="14"/>
      <c r="I66" s="18"/>
      <c r="J66" s="18"/>
    </row>
    <row r="67" spans="1:10" x14ac:dyDescent="0.25">
      <c r="A67" s="20" t="s">
        <v>73</v>
      </c>
      <c r="B67" s="20"/>
      <c r="C67" s="17">
        <v>18.98</v>
      </c>
      <c r="D67" s="17">
        <v>65.89</v>
      </c>
      <c r="E67" s="17">
        <v>81.84</v>
      </c>
      <c r="F67" s="17">
        <v>48</v>
      </c>
      <c r="G67" s="17">
        <f>12/4*C67</f>
        <v>56.94</v>
      </c>
      <c r="H67" s="9"/>
      <c r="I67" s="10"/>
      <c r="J67" s="10"/>
    </row>
    <row r="68" spans="1:10" x14ac:dyDescent="0.25">
      <c r="A68" s="20" t="s">
        <v>74</v>
      </c>
      <c r="B68" s="20"/>
      <c r="C68" s="17">
        <v>21.67</v>
      </c>
      <c r="D68" s="17">
        <v>54.89</v>
      </c>
      <c r="E68" s="17">
        <v>55.63</v>
      </c>
      <c r="F68" s="17">
        <v>55.33</v>
      </c>
      <c r="G68" s="17">
        <f>12/4*C68</f>
        <v>65.010000000000005</v>
      </c>
      <c r="H68" s="9"/>
      <c r="I68" s="10"/>
      <c r="J68" s="10"/>
    </row>
    <row r="69" spans="1:10" x14ac:dyDescent="0.25">
      <c r="A69" s="20" t="s">
        <v>75</v>
      </c>
      <c r="B69" s="20"/>
      <c r="C69" s="17">
        <v>101.63</v>
      </c>
      <c r="D69" s="17">
        <v>291.93</v>
      </c>
      <c r="E69" s="17">
        <v>257.88</v>
      </c>
      <c r="F69" s="17">
        <v>242.78</v>
      </c>
      <c r="G69" s="17">
        <f>12/4*C69</f>
        <v>304.89</v>
      </c>
      <c r="H69" s="9"/>
      <c r="I69" s="10"/>
      <c r="J69" s="10"/>
    </row>
    <row r="70" spans="1:10" x14ac:dyDescent="0.25">
      <c r="A70" s="20" t="s">
        <v>76</v>
      </c>
      <c r="B70" s="20"/>
      <c r="C70" s="1">
        <v>25.92</v>
      </c>
      <c r="D70" s="1">
        <v>88.69</v>
      </c>
      <c r="E70" s="1">
        <v>103.14</v>
      </c>
      <c r="F70" s="1">
        <v>68.31</v>
      </c>
      <c r="G70" s="1">
        <f>12/4*C70</f>
        <v>77.760000000000005</v>
      </c>
    </row>
    <row r="73" spans="1:10" x14ac:dyDescent="0.25">
      <c r="A73" s="19" t="s">
        <v>60</v>
      </c>
      <c r="B73" s="26"/>
    </row>
    <row r="74" spans="1:10" x14ac:dyDescent="0.25">
      <c r="A74" s="3" t="s">
        <v>77</v>
      </c>
      <c r="B74" s="1" t="s">
        <v>305</v>
      </c>
    </row>
    <row r="75" spans="1:10" x14ac:dyDescent="0.25">
      <c r="A75" s="3" t="s">
        <v>70</v>
      </c>
      <c r="B75" s="1" t="s">
        <v>79</v>
      </c>
    </row>
    <row r="76" spans="1:10" x14ac:dyDescent="0.25">
      <c r="A76" s="3" t="s">
        <v>71</v>
      </c>
      <c r="B76" s="1" t="s">
        <v>80</v>
      </c>
    </row>
    <row r="77" spans="1:10" x14ac:dyDescent="0.25">
      <c r="A77" s="3" t="s">
        <v>72</v>
      </c>
      <c r="B77" s="1" t="s">
        <v>81</v>
      </c>
    </row>
  </sheetData>
  <mergeCells count="19">
    <mergeCell ref="A68:B68"/>
    <mergeCell ref="A69:B69"/>
    <mergeCell ref="A70:B70"/>
    <mergeCell ref="A73:B73"/>
    <mergeCell ref="I61:I62"/>
    <mergeCell ref="J61:J62"/>
    <mergeCell ref="A62:B62"/>
    <mergeCell ref="A66:B66"/>
    <mergeCell ref="A67:B67"/>
    <mergeCell ref="A54:B54"/>
    <mergeCell ref="A55:B55"/>
    <mergeCell ref="A60:B60"/>
    <mergeCell ref="A61:B61"/>
    <mergeCell ref="H61:H62"/>
    <mergeCell ref="C7:G7"/>
    <mergeCell ref="A46:B46"/>
    <mergeCell ref="A47:B47"/>
    <mergeCell ref="A52:B52"/>
    <mergeCell ref="A53:B53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2:J73"/>
  <sheetViews>
    <sheetView workbookViewId="0">
      <selection activeCell="C9" sqref="C9:J73"/>
    </sheetView>
  </sheetViews>
  <sheetFormatPr defaultRowHeight="15" x14ac:dyDescent="0.25"/>
  <cols>
    <col min="1" max="1" width="38.85546875" bestFit="1" customWidth="1"/>
    <col min="2" max="2" width="79" bestFit="1" customWidth="1"/>
    <col min="3" max="3" width="14" bestFit="1" customWidth="1"/>
    <col min="4" max="4" width="37.7109375" bestFit="1" customWidth="1"/>
    <col min="5" max="5" width="16.42578125" bestFit="1" customWidth="1"/>
    <col min="6" max="6" width="10.5703125" bestFit="1" customWidth="1"/>
    <col min="7" max="7" width="68.28515625" bestFit="1" customWidth="1"/>
    <col min="8" max="9" width="20" bestFit="1" customWidth="1"/>
    <col min="10" max="10" width="30.5703125" bestFit="1" customWidth="1"/>
  </cols>
  <sheetData>
    <row r="2" spans="1:10" ht="18.75" x14ac:dyDescent="0.3">
      <c r="A2" s="3" t="s">
        <v>0</v>
      </c>
      <c r="B2" s="4" t="s">
        <v>306</v>
      </c>
    </row>
    <row r="3" spans="1:10" x14ac:dyDescent="0.25">
      <c r="A3" s="3" t="s">
        <v>2</v>
      </c>
      <c r="B3" s="1" t="s">
        <v>3</v>
      </c>
    </row>
    <row r="4" spans="1:10" x14ac:dyDescent="0.25">
      <c r="A4" s="3" t="s">
        <v>4</v>
      </c>
      <c r="B4" s="1">
        <v>1668</v>
      </c>
    </row>
    <row r="7" spans="1:10" x14ac:dyDescent="0.25">
      <c r="C7" s="19" t="s">
        <v>5</v>
      </c>
      <c r="D7" s="20"/>
      <c r="E7" s="20"/>
      <c r="F7" s="20"/>
      <c r="G7" s="20"/>
    </row>
    <row r="8" spans="1:10" x14ac:dyDescent="0.25">
      <c r="A8" s="3" t="s">
        <v>6</v>
      </c>
      <c r="B8" s="3" t="s">
        <v>7</v>
      </c>
      <c r="C8" s="3" t="s">
        <v>8</v>
      </c>
      <c r="D8" s="3" t="s">
        <v>9</v>
      </c>
      <c r="E8" s="3" t="s">
        <v>10</v>
      </c>
      <c r="F8" s="3" t="s">
        <v>11</v>
      </c>
      <c r="G8" s="3" t="s">
        <v>12</v>
      </c>
      <c r="H8" s="3" t="s">
        <v>13</v>
      </c>
      <c r="I8" s="3" t="s">
        <v>14</v>
      </c>
      <c r="J8" s="3" t="s">
        <v>15</v>
      </c>
    </row>
    <row r="9" spans="1:10" x14ac:dyDescent="0.25">
      <c r="A9" s="1" t="s">
        <v>16</v>
      </c>
      <c r="B9" s="1" t="s">
        <v>17</v>
      </c>
      <c r="C9" s="11"/>
      <c r="D9" s="11"/>
      <c r="E9" s="11">
        <v>10</v>
      </c>
      <c r="F9" s="11"/>
      <c r="G9" s="11">
        <f t="shared" ref="G9:G37" si="0">SUM(C9:F9)</f>
        <v>10</v>
      </c>
      <c r="H9" s="17">
        <f t="shared" ref="H9:H37" si="1">ROUND(G9/1668,2)</f>
        <v>0.01</v>
      </c>
      <c r="I9" s="16">
        <f t="shared" ref="I9:I37" si="2">ROUND(G9/$G$38,3)</f>
        <v>0</v>
      </c>
      <c r="J9" s="16">
        <f>ROUND(G9/14-1,2)</f>
        <v>-0.28999999999999998</v>
      </c>
    </row>
    <row r="10" spans="1:10" x14ac:dyDescent="0.25">
      <c r="A10" s="1" t="s">
        <v>16</v>
      </c>
      <c r="B10" s="1" t="s">
        <v>19</v>
      </c>
      <c r="C10" s="11">
        <v>17080</v>
      </c>
      <c r="D10" s="11"/>
      <c r="E10" s="11"/>
      <c r="F10" s="11"/>
      <c r="G10" s="11">
        <f t="shared" si="0"/>
        <v>17080</v>
      </c>
      <c r="H10" s="17">
        <f t="shared" si="1"/>
        <v>10.24</v>
      </c>
      <c r="I10" s="16">
        <f t="shared" si="2"/>
        <v>0.111</v>
      </c>
      <c r="J10" s="16">
        <f>ROUND(G10/17060-1,2)</f>
        <v>0</v>
      </c>
    </row>
    <row r="11" spans="1:10" x14ac:dyDescent="0.25">
      <c r="A11" s="1" t="s">
        <v>16</v>
      </c>
      <c r="B11" s="1" t="s">
        <v>20</v>
      </c>
      <c r="C11" s="11">
        <v>24560</v>
      </c>
      <c r="D11" s="11"/>
      <c r="E11" s="11"/>
      <c r="F11" s="11"/>
      <c r="G11" s="11">
        <f t="shared" si="0"/>
        <v>24560</v>
      </c>
      <c r="H11" s="17">
        <f t="shared" si="1"/>
        <v>14.72</v>
      </c>
      <c r="I11" s="16">
        <f t="shared" si="2"/>
        <v>0.16</v>
      </c>
      <c r="J11" s="16">
        <f>ROUND(G11/27040-1,2)</f>
        <v>-0.09</v>
      </c>
    </row>
    <row r="12" spans="1:10" x14ac:dyDescent="0.25">
      <c r="A12" s="1" t="s">
        <v>16</v>
      </c>
      <c r="B12" s="1" t="s">
        <v>94</v>
      </c>
      <c r="C12" s="11"/>
      <c r="D12" s="11"/>
      <c r="E12" s="11">
        <v>8</v>
      </c>
      <c r="F12" s="11"/>
      <c r="G12" s="11">
        <f t="shared" si="0"/>
        <v>8</v>
      </c>
      <c r="H12" s="17">
        <f t="shared" si="1"/>
        <v>0</v>
      </c>
      <c r="I12" s="16">
        <f t="shared" si="2"/>
        <v>0</v>
      </c>
      <c r="J12" s="16"/>
    </row>
    <row r="13" spans="1:10" x14ac:dyDescent="0.25">
      <c r="A13" s="1" t="s">
        <v>16</v>
      </c>
      <c r="B13" s="1" t="s">
        <v>23</v>
      </c>
      <c r="C13" s="11"/>
      <c r="D13" s="11"/>
      <c r="E13" s="11">
        <v>4780</v>
      </c>
      <c r="F13" s="11"/>
      <c r="G13" s="11">
        <f t="shared" si="0"/>
        <v>4780</v>
      </c>
      <c r="H13" s="17">
        <f t="shared" si="1"/>
        <v>2.87</v>
      </c>
      <c r="I13" s="16">
        <f t="shared" si="2"/>
        <v>3.1E-2</v>
      </c>
      <c r="J13" s="16">
        <f>ROUND(G13/8820-1,2)</f>
        <v>-0.46</v>
      </c>
    </row>
    <row r="14" spans="1:10" x14ac:dyDescent="0.25">
      <c r="A14" s="1" t="s">
        <v>16</v>
      </c>
      <c r="B14" s="1" t="s">
        <v>24</v>
      </c>
      <c r="C14" s="11">
        <v>19980</v>
      </c>
      <c r="D14" s="11"/>
      <c r="E14" s="11"/>
      <c r="F14" s="11"/>
      <c r="G14" s="11">
        <f t="shared" si="0"/>
        <v>19980</v>
      </c>
      <c r="H14" s="17">
        <f t="shared" si="1"/>
        <v>11.98</v>
      </c>
      <c r="I14" s="16">
        <f t="shared" si="2"/>
        <v>0.13</v>
      </c>
      <c r="J14" s="16">
        <f>ROUND(G14/22380-1,2)</f>
        <v>-0.11</v>
      </c>
    </row>
    <row r="15" spans="1:10" x14ac:dyDescent="0.25">
      <c r="A15" s="1" t="s">
        <v>16</v>
      </c>
      <c r="B15" s="1" t="s">
        <v>26</v>
      </c>
      <c r="C15" s="11">
        <v>36300</v>
      </c>
      <c r="D15" s="11"/>
      <c r="E15" s="11"/>
      <c r="F15" s="11"/>
      <c r="G15" s="11">
        <f t="shared" si="0"/>
        <v>36300</v>
      </c>
      <c r="H15" s="17">
        <f t="shared" si="1"/>
        <v>21.76</v>
      </c>
      <c r="I15" s="16">
        <f t="shared" si="2"/>
        <v>0.23599999999999999</v>
      </c>
      <c r="J15" s="16">
        <f>ROUND(G15/34130-1,2)</f>
        <v>0.06</v>
      </c>
    </row>
    <row r="16" spans="1:10" x14ac:dyDescent="0.25">
      <c r="A16" s="1" t="s">
        <v>16</v>
      </c>
      <c r="B16" s="1" t="s">
        <v>27</v>
      </c>
      <c r="C16" s="11"/>
      <c r="D16" s="11"/>
      <c r="E16" s="11">
        <v>36</v>
      </c>
      <c r="F16" s="11"/>
      <c r="G16" s="11">
        <f t="shared" si="0"/>
        <v>36</v>
      </c>
      <c r="H16" s="17">
        <f t="shared" si="1"/>
        <v>0.02</v>
      </c>
      <c r="I16" s="16">
        <f t="shared" si="2"/>
        <v>0</v>
      </c>
      <c r="J16" s="16">
        <f>ROUND(G16/85-1,2)</f>
        <v>-0.57999999999999996</v>
      </c>
    </row>
    <row r="17" spans="1:10" x14ac:dyDescent="0.25">
      <c r="A17" s="1" t="s">
        <v>16</v>
      </c>
      <c r="B17" s="1" t="s">
        <v>28</v>
      </c>
      <c r="C17" s="11"/>
      <c r="D17" s="11"/>
      <c r="E17" s="11">
        <v>40</v>
      </c>
      <c r="F17" s="11"/>
      <c r="G17" s="11">
        <f t="shared" si="0"/>
        <v>40</v>
      </c>
      <c r="H17" s="17">
        <f t="shared" si="1"/>
        <v>0.02</v>
      </c>
      <c r="I17" s="16">
        <f t="shared" si="2"/>
        <v>0</v>
      </c>
      <c r="J17" s="16">
        <f>ROUND(G17/50-1,2)</f>
        <v>-0.2</v>
      </c>
    </row>
    <row r="18" spans="1:10" x14ac:dyDescent="0.25">
      <c r="A18" s="1" t="s">
        <v>16</v>
      </c>
      <c r="B18" s="1" t="s">
        <v>29</v>
      </c>
      <c r="C18" s="11"/>
      <c r="D18" s="11"/>
      <c r="E18" s="11">
        <v>120</v>
      </c>
      <c r="F18" s="11"/>
      <c r="G18" s="11">
        <f t="shared" si="0"/>
        <v>120</v>
      </c>
      <c r="H18" s="17">
        <f t="shared" si="1"/>
        <v>7.0000000000000007E-2</v>
      </c>
      <c r="I18" s="16">
        <f t="shared" si="2"/>
        <v>1E-3</v>
      </c>
      <c r="J18" s="16"/>
    </row>
    <row r="19" spans="1:10" x14ac:dyDescent="0.25">
      <c r="A19" s="1" t="s">
        <v>16</v>
      </c>
      <c r="B19" s="1" t="s">
        <v>32</v>
      </c>
      <c r="C19" s="11"/>
      <c r="D19" s="11">
        <v>70</v>
      </c>
      <c r="E19" s="11"/>
      <c r="F19" s="11"/>
      <c r="G19" s="11">
        <f t="shared" si="0"/>
        <v>70</v>
      </c>
      <c r="H19" s="17">
        <f t="shared" si="1"/>
        <v>0.04</v>
      </c>
      <c r="I19" s="16">
        <f t="shared" si="2"/>
        <v>0</v>
      </c>
      <c r="J19" s="16">
        <f>ROUND(G19/97-1,2)</f>
        <v>-0.28000000000000003</v>
      </c>
    </row>
    <row r="20" spans="1:10" x14ac:dyDescent="0.25">
      <c r="A20" s="1" t="s">
        <v>16</v>
      </c>
      <c r="B20" s="1" t="s">
        <v>34</v>
      </c>
      <c r="C20" s="11"/>
      <c r="D20" s="11">
        <v>50</v>
      </c>
      <c r="E20" s="11"/>
      <c r="F20" s="11"/>
      <c r="G20" s="11">
        <f t="shared" si="0"/>
        <v>50</v>
      </c>
      <c r="H20" s="17">
        <f t="shared" si="1"/>
        <v>0.03</v>
      </c>
      <c r="I20" s="16">
        <f t="shared" si="2"/>
        <v>0</v>
      </c>
      <c r="J20" s="16">
        <f>ROUND(G20/85-1,2)</f>
        <v>-0.41</v>
      </c>
    </row>
    <row r="21" spans="1:10" x14ac:dyDescent="0.25">
      <c r="A21" s="1" t="s">
        <v>16</v>
      </c>
      <c r="B21" s="1" t="s">
        <v>35</v>
      </c>
      <c r="C21" s="11"/>
      <c r="D21" s="11"/>
      <c r="E21" s="11">
        <v>7620</v>
      </c>
      <c r="F21" s="11"/>
      <c r="G21" s="11">
        <f t="shared" si="0"/>
        <v>7620</v>
      </c>
      <c r="H21" s="17">
        <f t="shared" si="1"/>
        <v>4.57</v>
      </c>
      <c r="I21" s="16">
        <f t="shared" si="2"/>
        <v>0.05</v>
      </c>
      <c r="J21" s="16">
        <f>ROUND(G21/11040-1,2)</f>
        <v>-0.31</v>
      </c>
    </row>
    <row r="22" spans="1:10" x14ac:dyDescent="0.25">
      <c r="A22" s="1" t="s">
        <v>16</v>
      </c>
      <c r="B22" s="1" t="s">
        <v>37</v>
      </c>
      <c r="C22" s="11"/>
      <c r="D22" s="11"/>
      <c r="E22" s="11">
        <v>2020</v>
      </c>
      <c r="F22" s="11"/>
      <c r="G22" s="11">
        <f t="shared" si="0"/>
        <v>2020</v>
      </c>
      <c r="H22" s="17">
        <f t="shared" si="1"/>
        <v>1.21</v>
      </c>
      <c r="I22" s="16">
        <f t="shared" si="2"/>
        <v>1.2999999999999999E-2</v>
      </c>
      <c r="J22" s="16">
        <f>ROUND(G22/1260-1,2)</f>
        <v>0.6</v>
      </c>
    </row>
    <row r="23" spans="1:10" x14ac:dyDescent="0.25">
      <c r="A23" s="1" t="s">
        <v>16</v>
      </c>
      <c r="B23" s="1" t="s">
        <v>38</v>
      </c>
      <c r="C23" s="11"/>
      <c r="D23" s="11"/>
      <c r="E23" s="11">
        <v>4100</v>
      </c>
      <c r="F23" s="11"/>
      <c r="G23" s="11">
        <f t="shared" si="0"/>
        <v>4100</v>
      </c>
      <c r="H23" s="17">
        <f t="shared" si="1"/>
        <v>2.46</v>
      </c>
      <c r="I23" s="16">
        <f t="shared" si="2"/>
        <v>2.7E-2</v>
      </c>
      <c r="J23" s="16"/>
    </row>
    <row r="24" spans="1:10" x14ac:dyDescent="0.25">
      <c r="A24" s="1" t="s">
        <v>16</v>
      </c>
      <c r="B24" s="1" t="s">
        <v>25</v>
      </c>
      <c r="C24" s="11"/>
      <c r="D24" s="11"/>
      <c r="E24" s="11"/>
      <c r="F24" s="11"/>
      <c r="G24" s="11">
        <f t="shared" si="0"/>
        <v>0</v>
      </c>
      <c r="H24" s="17">
        <f t="shared" si="1"/>
        <v>0</v>
      </c>
      <c r="I24" s="16">
        <f t="shared" si="2"/>
        <v>0</v>
      </c>
      <c r="J24" s="16"/>
    </row>
    <row r="25" spans="1:10" x14ac:dyDescent="0.25">
      <c r="A25" s="1" t="s">
        <v>16</v>
      </c>
      <c r="B25" s="1" t="s">
        <v>40</v>
      </c>
      <c r="C25" s="11"/>
      <c r="D25" s="11"/>
      <c r="E25" s="11"/>
      <c r="F25" s="11"/>
      <c r="G25" s="11">
        <f t="shared" si="0"/>
        <v>0</v>
      </c>
      <c r="H25" s="17">
        <f t="shared" si="1"/>
        <v>0</v>
      </c>
      <c r="I25" s="16">
        <f t="shared" si="2"/>
        <v>0</v>
      </c>
      <c r="J25" s="16">
        <f>ROUND(G25/570-1,2)</f>
        <v>-1</v>
      </c>
    </row>
    <row r="26" spans="1:10" x14ac:dyDescent="0.25">
      <c r="A26" s="1" t="s">
        <v>16</v>
      </c>
      <c r="B26" s="1" t="s">
        <v>41</v>
      </c>
      <c r="C26" s="11"/>
      <c r="D26" s="11"/>
      <c r="E26" s="11"/>
      <c r="F26" s="11"/>
      <c r="G26" s="11">
        <f t="shared" si="0"/>
        <v>0</v>
      </c>
      <c r="H26" s="17">
        <f t="shared" si="1"/>
        <v>0</v>
      </c>
      <c r="I26" s="16">
        <f t="shared" si="2"/>
        <v>0</v>
      </c>
      <c r="J26" s="16"/>
    </row>
    <row r="27" spans="1:10" x14ac:dyDescent="0.25">
      <c r="A27" s="1" t="s">
        <v>16</v>
      </c>
      <c r="B27" s="1" t="s">
        <v>42</v>
      </c>
      <c r="C27" s="11"/>
      <c r="D27" s="11"/>
      <c r="E27" s="11"/>
      <c r="F27" s="11"/>
      <c r="G27" s="11">
        <f t="shared" si="0"/>
        <v>0</v>
      </c>
      <c r="H27" s="17">
        <f t="shared" si="1"/>
        <v>0</v>
      </c>
      <c r="I27" s="16">
        <f t="shared" si="2"/>
        <v>0</v>
      </c>
      <c r="J27" s="16"/>
    </row>
    <row r="28" spans="1:10" x14ac:dyDescent="0.25">
      <c r="A28" s="1" t="s">
        <v>16</v>
      </c>
      <c r="B28" s="1" t="s">
        <v>21</v>
      </c>
      <c r="C28" s="11"/>
      <c r="D28" s="11"/>
      <c r="E28" s="11"/>
      <c r="F28" s="11"/>
      <c r="G28" s="11">
        <f t="shared" si="0"/>
        <v>0</v>
      </c>
      <c r="H28" s="17">
        <f t="shared" si="1"/>
        <v>0</v>
      </c>
      <c r="I28" s="16">
        <f t="shared" si="2"/>
        <v>0</v>
      </c>
      <c r="J28" s="16"/>
    </row>
    <row r="29" spans="1:10" x14ac:dyDescent="0.25">
      <c r="A29" s="1" t="s">
        <v>16</v>
      </c>
      <c r="B29" s="1" t="s">
        <v>22</v>
      </c>
      <c r="C29" s="11"/>
      <c r="D29" s="11"/>
      <c r="E29" s="11"/>
      <c r="F29" s="11"/>
      <c r="G29" s="11">
        <f t="shared" si="0"/>
        <v>0</v>
      </c>
      <c r="H29" s="17">
        <f t="shared" si="1"/>
        <v>0</v>
      </c>
      <c r="I29" s="16">
        <f t="shared" si="2"/>
        <v>0</v>
      </c>
      <c r="J29" s="16"/>
    </row>
    <row r="30" spans="1:10" x14ac:dyDescent="0.25">
      <c r="A30" s="1" t="s">
        <v>16</v>
      </c>
      <c r="B30" s="1" t="s">
        <v>30</v>
      </c>
      <c r="C30" s="11"/>
      <c r="D30" s="11"/>
      <c r="E30" s="11"/>
      <c r="F30" s="11"/>
      <c r="G30" s="11">
        <f t="shared" si="0"/>
        <v>0</v>
      </c>
      <c r="H30" s="17">
        <f t="shared" si="1"/>
        <v>0</v>
      </c>
      <c r="I30" s="16">
        <f t="shared" si="2"/>
        <v>0</v>
      </c>
      <c r="J30" s="16"/>
    </row>
    <row r="31" spans="1:10" x14ac:dyDescent="0.25">
      <c r="A31" s="1" t="s">
        <v>16</v>
      </c>
      <c r="B31" s="1" t="s">
        <v>31</v>
      </c>
      <c r="C31" s="11"/>
      <c r="D31" s="11"/>
      <c r="E31" s="11"/>
      <c r="F31" s="11"/>
      <c r="G31" s="11">
        <f t="shared" si="0"/>
        <v>0</v>
      </c>
      <c r="H31" s="17">
        <f t="shared" si="1"/>
        <v>0</v>
      </c>
      <c r="I31" s="16">
        <f t="shared" si="2"/>
        <v>0</v>
      </c>
      <c r="J31" s="16">
        <f>ROUND(G31/290-1,2)</f>
        <v>-1</v>
      </c>
    </row>
    <row r="32" spans="1:10" x14ac:dyDescent="0.25">
      <c r="A32" s="1" t="s">
        <v>16</v>
      </c>
      <c r="B32" s="1" t="s">
        <v>39</v>
      </c>
      <c r="C32" s="11"/>
      <c r="D32" s="11"/>
      <c r="E32" s="11"/>
      <c r="F32" s="11"/>
      <c r="G32" s="11">
        <f t="shared" si="0"/>
        <v>0</v>
      </c>
      <c r="H32" s="17">
        <f t="shared" si="1"/>
        <v>0</v>
      </c>
      <c r="I32" s="16">
        <f t="shared" si="2"/>
        <v>0</v>
      </c>
      <c r="J32" s="16"/>
    </row>
    <row r="33" spans="1:10" x14ac:dyDescent="0.25">
      <c r="A33" s="1" t="s">
        <v>16</v>
      </c>
      <c r="B33" s="1" t="s">
        <v>43</v>
      </c>
      <c r="C33" s="11"/>
      <c r="D33" s="11"/>
      <c r="E33" s="11"/>
      <c r="F33" s="11"/>
      <c r="G33" s="11">
        <f t="shared" si="0"/>
        <v>0</v>
      </c>
      <c r="H33" s="17">
        <f t="shared" si="1"/>
        <v>0</v>
      </c>
      <c r="I33" s="16">
        <f t="shared" si="2"/>
        <v>0</v>
      </c>
      <c r="J33" s="16">
        <f>ROUND(G33/1150-1,2)</f>
        <v>-1</v>
      </c>
    </row>
    <row r="34" spans="1:10" x14ac:dyDescent="0.25">
      <c r="A34" s="1" t="s">
        <v>16</v>
      </c>
      <c r="B34" s="1" t="s">
        <v>33</v>
      </c>
      <c r="C34" s="11"/>
      <c r="D34" s="11"/>
      <c r="E34" s="11"/>
      <c r="F34" s="11"/>
      <c r="G34" s="11">
        <f t="shared" si="0"/>
        <v>0</v>
      </c>
      <c r="H34" s="17">
        <f t="shared" si="1"/>
        <v>0</v>
      </c>
      <c r="I34" s="16">
        <f t="shared" si="2"/>
        <v>0</v>
      </c>
      <c r="J34" s="16"/>
    </row>
    <row r="35" spans="1:10" x14ac:dyDescent="0.25">
      <c r="A35" s="1" t="s">
        <v>44</v>
      </c>
      <c r="B35" s="1" t="s">
        <v>45</v>
      </c>
      <c r="C35" s="11">
        <v>26720</v>
      </c>
      <c r="D35" s="11"/>
      <c r="E35" s="11"/>
      <c r="F35" s="11"/>
      <c r="G35" s="11">
        <f t="shared" si="0"/>
        <v>26720</v>
      </c>
      <c r="H35" s="17">
        <f t="shared" si="1"/>
        <v>16.02</v>
      </c>
      <c r="I35" s="16">
        <f t="shared" si="2"/>
        <v>0.17399999999999999</v>
      </c>
      <c r="J35" s="16">
        <f>ROUND(G35/25200-1,2)</f>
        <v>0.06</v>
      </c>
    </row>
    <row r="36" spans="1:10" x14ac:dyDescent="0.25">
      <c r="A36" s="1" t="s">
        <v>44</v>
      </c>
      <c r="B36" s="1" t="s">
        <v>46</v>
      </c>
      <c r="C36" s="11"/>
      <c r="D36" s="11"/>
      <c r="E36" s="11">
        <v>10120</v>
      </c>
      <c r="F36" s="11"/>
      <c r="G36" s="11">
        <f t="shared" si="0"/>
        <v>10120</v>
      </c>
      <c r="H36" s="17">
        <f t="shared" si="1"/>
        <v>6.07</v>
      </c>
      <c r="I36" s="16">
        <f t="shared" si="2"/>
        <v>6.6000000000000003E-2</v>
      </c>
      <c r="J36" s="16">
        <f>ROUND(G36/13000-1,2)</f>
        <v>-0.22</v>
      </c>
    </row>
    <row r="37" spans="1:10" x14ac:dyDescent="0.25">
      <c r="A37" s="1" t="s">
        <v>48</v>
      </c>
      <c r="B37" s="1" t="s">
        <v>51</v>
      </c>
      <c r="C37" s="11"/>
      <c r="D37" s="11"/>
      <c r="E37" s="11"/>
      <c r="F37" s="11"/>
      <c r="G37" s="11">
        <f t="shared" si="0"/>
        <v>0</v>
      </c>
      <c r="H37" s="17">
        <f t="shared" si="1"/>
        <v>0</v>
      </c>
      <c r="I37" s="16">
        <f t="shared" si="2"/>
        <v>0</v>
      </c>
      <c r="J37" s="16"/>
    </row>
    <row r="38" spans="1:10" x14ac:dyDescent="0.25">
      <c r="A38" s="21" t="s">
        <v>12</v>
      </c>
      <c r="B38" s="21"/>
      <c r="C38" s="12">
        <f t="shared" ref="C38:H38" si="3">SUM(C8:C37)</f>
        <v>124640</v>
      </c>
      <c r="D38" s="12">
        <f t="shared" si="3"/>
        <v>120</v>
      </c>
      <c r="E38" s="12">
        <f t="shared" si="3"/>
        <v>28854</v>
      </c>
      <c r="F38" s="12">
        <f t="shared" si="3"/>
        <v>0</v>
      </c>
      <c r="G38" s="12">
        <f t="shared" si="3"/>
        <v>153614</v>
      </c>
      <c r="H38" s="15">
        <f t="shared" si="3"/>
        <v>92.09</v>
      </c>
      <c r="I38" s="18"/>
      <c r="J38" s="18"/>
    </row>
    <row r="39" spans="1:10" x14ac:dyDescent="0.25">
      <c r="A39" s="21" t="s">
        <v>14</v>
      </c>
      <c r="B39" s="21"/>
      <c r="C39" s="13">
        <f>ROUND(C38/G38,2)</f>
        <v>0.81</v>
      </c>
      <c r="D39" s="13">
        <f>ROUND(D38/G38,2)</f>
        <v>0</v>
      </c>
      <c r="E39" s="13">
        <f>ROUND(E38/G38,2)</f>
        <v>0.19</v>
      </c>
      <c r="F39" s="13">
        <f>ROUND(F38/G38,2)</f>
        <v>0</v>
      </c>
      <c r="G39" s="14"/>
      <c r="H39" s="14"/>
      <c r="I39" s="18"/>
      <c r="J39" s="18"/>
    </row>
    <row r="40" spans="1:10" x14ac:dyDescent="0.25">
      <c r="A40" s="2" t="s">
        <v>52</v>
      </c>
      <c r="B40" s="2"/>
      <c r="C40" s="14"/>
      <c r="D40" s="14"/>
      <c r="E40" s="14"/>
      <c r="F40" s="14"/>
      <c r="G40" s="14"/>
      <c r="H40" s="14"/>
      <c r="I40" s="18"/>
      <c r="J40" s="18"/>
    </row>
    <row r="41" spans="1:10" x14ac:dyDescent="0.25">
      <c r="C41" s="9"/>
      <c r="D41" s="9"/>
      <c r="E41" s="9"/>
      <c r="F41" s="9"/>
      <c r="G41" s="9"/>
      <c r="H41" s="9"/>
      <c r="I41" s="10"/>
      <c r="J41" s="10"/>
    </row>
    <row r="42" spans="1:10" x14ac:dyDescent="0.25">
      <c r="C42" s="9"/>
      <c r="D42" s="9"/>
      <c r="E42" s="9"/>
      <c r="F42" s="9"/>
      <c r="G42" s="9"/>
      <c r="H42" s="9"/>
      <c r="I42" s="10"/>
      <c r="J42" s="10"/>
    </row>
    <row r="43" spans="1:10" x14ac:dyDescent="0.25">
      <c r="C43" s="9"/>
      <c r="D43" s="9"/>
      <c r="E43" s="9"/>
      <c r="F43" s="9"/>
      <c r="G43" s="9"/>
      <c r="H43" s="9"/>
      <c r="I43" s="10"/>
      <c r="J43" s="10"/>
    </row>
    <row r="44" spans="1:10" x14ac:dyDescent="0.25">
      <c r="A44" s="21" t="s">
        <v>53</v>
      </c>
      <c r="B44" s="21"/>
      <c r="C44" s="12" t="s">
        <v>8</v>
      </c>
      <c r="D44" s="12" t="s">
        <v>9</v>
      </c>
      <c r="E44" s="12" t="s">
        <v>10</v>
      </c>
      <c r="F44" s="12" t="s">
        <v>11</v>
      </c>
      <c r="G44" s="12" t="s">
        <v>12</v>
      </c>
      <c r="H44" s="15" t="s">
        <v>13</v>
      </c>
      <c r="I44" s="18"/>
      <c r="J44" s="18"/>
    </row>
    <row r="45" spans="1:10" x14ac:dyDescent="0.25">
      <c r="A45" s="20" t="s">
        <v>54</v>
      </c>
      <c r="B45" s="20"/>
      <c r="C45" s="11">
        <v>97920</v>
      </c>
      <c r="D45" s="11">
        <v>120</v>
      </c>
      <c r="E45" s="11">
        <v>18734</v>
      </c>
      <c r="F45" s="11">
        <v>0</v>
      </c>
      <c r="G45" s="11">
        <f>SUM(C45:F45)</f>
        <v>116774</v>
      </c>
      <c r="H45" s="17">
        <f>ROUND(G45/1668,2)</f>
        <v>70.010000000000005</v>
      </c>
      <c r="I45" s="10"/>
      <c r="J45" s="10"/>
    </row>
    <row r="46" spans="1:10" x14ac:dyDescent="0.25">
      <c r="A46" s="20" t="s">
        <v>55</v>
      </c>
      <c r="B46" s="20"/>
      <c r="C46" s="11">
        <v>26720</v>
      </c>
      <c r="D46" s="11">
        <v>0</v>
      </c>
      <c r="E46" s="11">
        <v>10120</v>
      </c>
      <c r="F46" s="11">
        <v>0</v>
      </c>
      <c r="G46" s="11">
        <f>SUM(C46:F46)</f>
        <v>36840</v>
      </c>
      <c r="H46" s="17">
        <f>ROUND(G46/1668,2)</f>
        <v>22.09</v>
      </c>
      <c r="I46" s="10"/>
      <c r="J46" s="10"/>
    </row>
    <row r="47" spans="1:10" x14ac:dyDescent="0.25">
      <c r="A47" s="20" t="s">
        <v>56</v>
      </c>
      <c r="B47" s="20"/>
      <c r="C47" s="11">
        <v>0</v>
      </c>
      <c r="D47" s="11">
        <v>0</v>
      </c>
      <c r="E47" s="11">
        <v>0</v>
      </c>
      <c r="F47" s="11">
        <v>0</v>
      </c>
      <c r="G47" s="11">
        <f>SUM(C47:F47)</f>
        <v>0</v>
      </c>
      <c r="H47" s="17">
        <f>ROUND(G47/1668,2)</f>
        <v>0</v>
      </c>
      <c r="I47" s="10"/>
      <c r="J47" s="10"/>
    </row>
    <row r="48" spans="1:10" x14ac:dyDescent="0.25">
      <c r="C48" s="9"/>
      <c r="D48" s="9"/>
      <c r="E48" s="9"/>
      <c r="F48" s="9"/>
      <c r="G48" s="9"/>
      <c r="H48" s="9"/>
      <c r="I48" s="10"/>
      <c r="J48" s="10"/>
    </row>
    <row r="49" spans="1:10" x14ac:dyDescent="0.25">
      <c r="C49" s="9"/>
      <c r="D49" s="9"/>
      <c r="E49" s="9"/>
      <c r="F49" s="9"/>
      <c r="G49" s="9"/>
      <c r="H49" s="9"/>
      <c r="I49" s="10"/>
      <c r="J49" s="10"/>
    </row>
    <row r="50" spans="1:10" x14ac:dyDescent="0.25">
      <c r="C50" s="9"/>
      <c r="D50" s="9"/>
      <c r="E50" s="9"/>
      <c r="F50" s="9"/>
      <c r="G50" s="9"/>
      <c r="H50" s="9"/>
      <c r="I50" s="10"/>
      <c r="J50" s="10"/>
    </row>
    <row r="51" spans="1:10" x14ac:dyDescent="0.25">
      <c r="C51" s="9"/>
      <c r="D51" s="9"/>
      <c r="E51" s="9"/>
      <c r="F51" s="9"/>
      <c r="G51" s="9"/>
      <c r="H51" s="9"/>
      <c r="I51" s="10"/>
      <c r="J51" s="10"/>
    </row>
    <row r="52" spans="1:10" x14ac:dyDescent="0.25">
      <c r="A52" s="21" t="s">
        <v>57</v>
      </c>
      <c r="B52" s="21"/>
      <c r="C52" s="15" t="s">
        <v>2</v>
      </c>
      <c r="D52" s="15">
        <v>2023</v>
      </c>
      <c r="E52" s="15" t="s">
        <v>59</v>
      </c>
      <c r="F52" s="14"/>
      <c r="G52" s="15" t="s">
        <v>60</v>
      </c>
      <c r="H52" s="15" t="s">
        <v>2</v>
      </c>
      <c r="I52" s="13" t="s">
        <v>61</v>
      </c>
      <c r="J52" s="13" t="s">
        <v>59</v>
      </c>
    </row>
    <row r="53" spans="1:10" x14ac:dyDescent="0.25">
      <c r="A53" s="20" t="s">
        <v>58</v>
      </c>
      <c r="B53" s="20"/>
      <c r="C53" s="16">
        <f>ROUND(0.8205, 4)</f>
        <v>0.82050000000000001</v>
      </c>
      <c r="D53" s="16">
        <f>ROUND(0.8246, 4)</f>
        <v>0.8246</v>
      </c>
      <c r="E53" s="16">
        <f>ROUND(0.777, 4)</f>
        <v>0.77700000000000002</v>
      </c>
      <c r="F53" s="9"/>
      <c r="G53" s="15" t="s">
        <v>62</v>
      </c>
      <c r="H53" s="22" t="s">
        <v>63</v>
      </c>
      <c r="I53" s="24" t="s">
        <v>64</v>
      </c>
      <c r="J53" s="24" t="s">
        <v>65</v>
      </c>
    </row>
    <row r="54" spans="1:10" x14ac:dyDescent="0.25">
      <c r="A54" s="20" t="s">
        <v>66</v>
      </c>
      <c r="B54" s="20"/>
      <c r="C54" s="16">
        <f>ROUND(0.8057, 4)</f>
        <v>0.80569999999999997</v>
      </c>
      <c r="D54" s="16">
        <f>ROUND(0.8105, 4)</f>
        <v>0.8105</v>
      </c>
      <c r="E54" s="16">
        <f>ROUND(0.7608, 4)</f>
        <v>0.76080000000000003</v>
      </c>
      <c r="F54" s="9"/>
      <c r="G54" s="15" t="s">
        <v>67</v>
      </c>
      <c r="H54" s="23"/>
      <c r="I54" s="25"/>
      <c r="J54" s="25"/>
    </row>
    <row r="55" spans="1:10" x14ac:dyDescent="0.25">
      <c r="C55" s="9"/>
      <c r="D55" s="9"/>
      <c r="E55" s="9"/>
      <c r="F55" s="9"/>
      <c r="G55" s="9"/>
      <c r="H55" s="9"/>
      <c r="I55" s="10"/>
      <c r="J55" s="10"/>
    </row>
    <row r="56" spans="1:10" x14ac:dyDescent="0.25">
      <c r="C56" s="9"/>
      <c r="D56" s="9"/>
      <c r="E56" s="9"/>
      <c r="F56" s="9"/>
      <c r="G56" s="9"/>
      <c r="H56" s="9"/>
      <c r="I56" s="10"/>
      <c r="J56" s="10"/>
    </row>
    <row r="57" spans="1:10" x14ac:dyDescent="0.25">
      <c r="C57" s="9"/>
      <c r="D57" s="9"/>
      <c r="E57" s="9"/>
      <c r="F57" s="9"/>
      <c r="G57" s="9"/>
      <c r="H57" s="9"/>
      <c r="I57" s="10"/>
      <c r="J57" s="10"/>
    </row>
    <row r="58" spans="1:10" x14ac:dyDescent="0.25">
      <c r="A58" s="21" t="s">
        <v>68</v>
      </c>
      <c r="B58" s="21"/>
      <c r="C58" s="15" t="s">
        <v>2</v>
      </c>
      <c r="D58" s="15" t="s">
        <v>307</v>
      </c>
      <c r="E58" s="15" t="s">
        <v>70</v>
      </c>
      <c r="F58" s="15" t="s">
        <v>71</v>
      </c>
      <c r="G58" s="15" t="s">
        <v>72</v>
      </c>
      <c r="H58" s="14"/>
      <c r="I58" s="18"/>
      <c r="J58" s="18"/>
    </row>
    <row r="59" spans="1:10" x14ac:dyDescent="0.25">
      <c r="A59" s="20" t="s">
        <v>73</v>
      </c>
      <c r="B59" s="20"/>
      <c r="C59" s="17">
        <v>16.02</v>
      </c>
      <c r="D59" s="17">
        <v>36.81</v>
      </c>
      <c r="E59" s="17">
        <v>81.84</v>
      </c>
      <c r="F59" s="17">
        <v>48</v>
      </c>
      <c r="G59" s="17">
        <f>12/4*C59</f>
        <v>48.06</v>
      </c>
      <c r="H59" s="9"/>
      <c r="I59" s="10"/>
      <c r="J59" s="10"/>
    </row>
    <row r="60" spans="1:10" x14ac:dyDescent="0.25">
      <c r="A60" s="20" t="s">
        <v>74</v>
      </c>
      <c r="B60" s="20"/>
      <c r="C60" s="17">
        <v>21.76</v>
      </c>
      <c r="D60" s="17">
        <v>55.39</v>
      </c>
      <c r="E60" s="17">
        <v>55.63</v>
      </c>
      <c r="F60" s="17">
        <v>55.33</v>
      </c>
      <c r="G60" s="17">
        <f>12/4*C60</f>
        <v>65.28</v>
      </c>
      <c r="H60" s="9"/>
      <c r="I60" s="10"/>
      <c r="J60" s="10"/>
    </row>
    <row r="61" spans="1:10" x14ac:dyDescent="0.25">
      <c r="A61" s="20" t="s">
        <v>75</v>
      </c>
      <c r="B61" s="20"/>
      <c r="C61" s="17">
        <v>70.010000000000005</v>
      </c>
      <c r="D61" s="17">
        <v>204.11</v>
      </c>
      <c r="E61" s="17">
        <v>257.88</v>
      </c>
      <c r="F61" s="17">
        <v>242.78</v>
      </c>
      <c r="G61" s="17">
        <f>12/4*C61</f>
        <v>210.03000000000003</v>
      </c>
      <c r="H61" s="9"/>
      <c r="I61" s="10"/>
      <c r="J61" s="10"/>
    </row>
    <row r="62" spans="1:10" x14ac:dyDescent="0.25">
      <c r="A62" s="20" t="s">
        <v>76</v>
      </c>
      <c r="B62" s="20"/>
      <c r="C62" s="17">
        <v>22.09</v>
      </c>
      <c r="D62" s="17">
        <v>53.77</v>
      </c>
      <c r="E62" s="17">
        <v>103.14</v>
      </c>
      <c r="F62" s="17">
        <v>68.31</v>
      </c>
      <c r="G62" s="17">
        <f>12/4*C62</f>
        <v>66.27</v>
      </c>
      <c r="H62" s="9"/>
      <c r="I62" s="10"/>
      <c r="J62" s="10"/>
    </row>
    <row r="63" spans="1:10" x14ac:dyDescent="0.25">
      <c r="C63" s="9"/>
      <c r="D63" s="9"/>
      <c r="E63" s="9"/>
      <c r="F63" s="9"/>
      <c r="G63" s="9"/>
      <c r="H63" s="9"/>
      <c r="I63" s="10"/>
      <c r="J63" s="10"/>
    </row>
    <row r="64" spans="1:10" x14ac:dyDescent="0.25">
      <c r="C64" s="9"/>
      <c r="D64" s="9"/>
      <c r="E64" s="9"/>
      <c r="F64" s="9"/>
      <c r="G64" s="9"/>
      <c r="H64" s="9"/>
      <c r="I64" s="10"/>
      <c r="J64" s="10"/>
    </row>
    <row r="65" spans="1:10" x14ac:dyDescent="0.25">
      <c r="A65" s="19" t="s">
        <v>60</v>
      </c>
      <c r="B65" s="26"/>
      <c r="C65" s="9"/>
      <c r="D65" s="9"/>
      <c r="E65" s="9"/>
      <c r="F65" s="9"/>
      <c r="G65" s="9"/>
      <c r="H65" s="9"/>
      <c r="I65" s="10"/>
      <c r="J65" s="10"/>
    </row>
    <row r="66" spans="1:10" x14ac:dyDescent="0.25">
      <c r="A66" s="3" t="s">
        <v>77</v>
      </c>
      <c r="B66" s="1" t="s">
        <v>308</v>
      </c>
      <c r="C66" s="9"/>
      <c r="D66" s="9"/>
      <c r="E66" s="9"/>
      <c r="F66" s="9"/>
      <c r="G66" s="9"/>
      <c r="H66" s="9"/>
      <c r="I66" s="10"/>
      <c r="J66" s="10"/>
    </row>
    <row r="67" spans="1:10" x14ac:dyDescent="0.25">
      <c r="A67" s="3" t="s">
        <v>70</v>
      </c>
      <c r="B67" s="1" t="s">
        <v>79</v>
      </c>
      <c r="C67" s="9"/>
      <c r="D67" s="9"/>
      <c r="E67" s="9"/>
      <c r="F67" s="9"/>
      <c r="G67" s="9"/>
      <c r="H67" s="9"/>
      <c r="I67" s="10"/>
      <c r="J67" s="10"/>
    </row>
    <row r="68" spans="1:10" x14ac:dyDescent="0.25">
      <c r="A68" s="3" t="s">
        <v>71</v>
      </c>
      <c r="B68" s="1" t="s">
        <v>80</v>
      </c>
      <c r="C68" s="9"/>
      <c r="D68" s="9"/>
      <c r="E68" s="9"/>
      <c r="F68" s="9"/>
      <c r="G68" s="9"/>
      <c r="H68" s="9"/>
      <c r="I68" s="10"/>
      <c r="J68" s="10"/>
    </row>
    <row r="69" spans="1:10" x14ac:dyDescent="0.25">
      <c r="A69" s="3" t="s">
        <v>72</v>
      </c>
      <c r="B69" s="1" t="s">
        <v>81</v>
      </c>
      <c r="C69" s="9"/>
      <c r="D69" s="9"/>
      <c r="E69" s="9"/>
      <c r="F69" s="9"/>
      <c r="G69" s="9"/>
      <c r="H69" s="9"/>
      <c r="I69" s="10"/>
      <c r="J69" s="10"/>
    </row>
    <row r="70" spans="1:10" x14ac:dyDescent="0.25">
      <c r="C70" s="9"/>
      <c r="D70" s="9"/>
      <c r="E70" s="9"/>
      <c r="F70" s="9"/>
      <c r="G70" s="9"/>
      <c r="H70" s="9"/>
      <c r="I70" s="10"/>
      <c r="J70" s="10"/>
    </row>
    <row r="71" spans="1:10" x14ac:dyDescent="0.25">
      <c r="C71" s="9"/>
      <c r="D71" s="9"/>
      <c r="E71" s="9"/>
      <c r="F71" s="9"/>
      <c r="G71" s="9"/>
      <c r="H71" s="9"/>
      <c r="I71" s="10"/>
      <c r="J71" s="10"/>
    </row>
    <row r="72" spans="1:10" x14ac:dyDescent="0.25">
      <c r="C72" s="9"/>
      <c r="D72" s="9"/>
      <c r="E72" s="9"/>
      <c r="F72" s="9"/>
      <c r="G72" s="9"/>
      <c r="H72" s="9"/>
      <c r="I72" s="10"/>
      <c r="J72" s="10"/>
    </row>
    <row r="73" spans="1:10" x14ac:dyDescent="0.25">
      <c r="C73" s="9"/>
      <c r="D73" s="9"/>
      <c r="E73" s="9"/>
      <c r="F73" s="9"/>
      <c r="G73" s="9"/>
      <c r="H73" s="9"/>
      <c r="I73" s="10"/>
      <c r="J73" s="10"/>
    </row>
  </sheetData>
  <mergeCells count="19">
    <mergeCell ref="A60:B60"/>
    <mergeCell ref="A61:B61"/>
    <mergeCell ref="A62:B62"/>
    <mergeCell ref="A65:B65"/>
    <mergeCell ref="I53:I54"/>
    <mergeCell ref="J53:J54"/>
    <mergeCell ref="A54:B54"/>
    <mergeCell ref="A58:B58"/>
    <mergeCell ref="A59:B59"/>
    <mergeCell ref="A46:B46"/>
    <mergeCell ref="A47:B47"/>
    <mergeCell ref="A52:B52"/>
    <mergeCell ref="A53:B53"/>
    <mergeCell ref="H53:H54"/>
    <mergeCell ref="C7:G7"/>
    <mergeCell ref="A38:B38"/>
    <mergeCell ref="A39:B39"/>
    <mergeCell ref="A44:B44"/>
    <mergeCell ref="A45:B45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A2:J73"/>
  <sheetViews>
    <sheetView workbookViewId="0">
      <selection activeCell="C9" sqref="C9:J68"/>
    </sheetView>
  </sheetViews>
  <sheetFormatPr defaultRowHeight="15" x14ac:dyDescent="0.25"/>
  <cols>
    <col min="1" max="1" width="38.85546875" bestFit="1" customWidth="1"/>
    <col min="2" max="2" width="79" bestFit="1" customWidth="1"/>
    <col min="3" max="3" width="14" bestFit="1" customWidth="1"/>
    <col min="4" max="4" width="23.42578125" bestFit="1" customWidth="1"/>
    <col min="5" max="5" width="16.42578125" bestFit="1" customWidth="1"/>
    <col min="6" max="6" width="10.5703125" bestFit="1" customWidth="1"/>
    <col min="7" max="7" width="68.28515625" bestFit="1" customWidth="1"/>
    <col min="8" max="9" width="20" bestFit="1" customWidth="1"/>
    <col min="10" max="10" width="30.5703125" bestFit="1" customWidth="1"/>
  </cols>
  <sheetData>
    <row r="2" spans="1:10" ht="18.75" x14ac:dyDescent="0.3">
      <c r="A2" s="3" t="s">
        <v>0</v>
      </c>
      <c r="B2" s="4" t="s">
        <v>309</v>
      </c>
    </row>
    <row r="3" spans="1:10" x14ac:dyDescent="0.25">
      <c r="A3" s="3" t="s">
        <v>2</v>
      </c>
      <c r="B3" s="1" t="s">
        <v>3</v>
      </c>
    </row>
    <row r="4" spans="1:10" x14ac:dyDescent="0.25">
      <c r="A4" s="3" t="s">
        <v>4</v>
      </c>
      <c r="B4" s="1">
        <v>1311</v>
      </c>
    </row>
    <row r="7" spans="1:10" x14ac:dyDescent="0.25">
      <c r="C7" s="19" t="s">
        <v>5</v>
      </c>
      <c r="D7" s="20"/>
      <c r="E7" s="20"/>
      <c r="F7" s="20"/>
      <c r="G7" s="20"/>
    </row>
    <row r="8" spans="1:10" x14ac:dyDescent="0.25">
      <c r="A8" s="3" t="s">
        <v>6</v>
      </c>
      <c r="B8" s="3" t="s">
        <v>7</v>
      </c>
      <c r="C8" s="3" t="s">
        <v>8</v>
      </c>
      <c r="D8" s="3" t="s">
        <v>9</v>
      </c>
      <c r="E8" s="3" t="s">
        <v>10</v>
      </c>
      <c r="F8" s="3" t="s">
        <v>11</v>
      </c>
      <c r="G8" s="3" t="s">
        <v>12</v>
      </c>
      <c r="H8" s="3" t="s">
        <v>13</v>
      </c>
      <c r="I8" s="3" t="s">
        <v>14</v>
      </c>
      <c r="J8" s="3" t="s">
        <v>15</v>
      </c>
    </row>
    <row r="9" spans="1:10" x14ac:dyDescent="0.25">
      <c r="A9" s="1" t="s">
        <v>16</v>
      </c>
      <c r="B9" s="1" t="s">
        <v>19</v>
      </c>
      <c r="C9" s="11"/>
      <c r="D9" s="11">
        <v>30940</v>
      </c>
      <c r="E9" s="11"/>
      <c r="F9" s="11"/>
      <c r="G9" s="11">
        <f t="shared" ref="G9:G41" si="0">SUM(C9:F9)</f>
        <v>30940</v>
      </c>
      <c r="H9" s="17">
        <f t="shared" ref="H9:H41" si="1">ROUND(G9/1311,2)</f>
        <v>23.6</v>
      </c>
      <c r="I9" s="16">
        <f t="shared" ref="I9:I41" si="2">ROUND(G9/$G$42,3)</f>
        <v>0.1</v>
      </c>
      <c r="J9" s="16">
        <f>ROUND(G9/28470-1,2)</f>
        <v>0.09</v>
      </c>
    </row>
    <row r="10" spans="1:10" x14ac:dyDescent="0.25">
      <c r="A10" s="1" t="s">
        <v>16</v>
      </c>
      <c r="B10" s="1" t="s">
        <v>20</v>
      </c>
      <c r="C10" s="11"/>
      <c r="D10" s="11">
        <v>47760</v>
      </c>
      <c r="E10" s="11"/>
      <c r="F10" s="11"/>
      <c r="G10" s="11">
        <f t="shared" si="0"/>
        <v>47760</v>
      </c>
      <c r="H10" s="17">
        <f t="shared" si="1"/>
        <v>36.43</v>
      </c>
      <c r="I10" s="16">
        <f t="shared" si="2"/>
        <v>0.155</v>
      </c>
      <c r="J10" s="16">
        <f>ROUND(G10/47360-1,2)</f>
        <v>0.01</v>
      </c>
    </row>
    <row r="11" spans="1:10" x14ac:dyDescent="0.25">
      <c r="A11" s="1" t="s">
        <v>16</v>
      </c>
      <c r="B11" s="1" t="s">
        <v>23</v>
      </c>
      <c r="C11" s="11"/>
      <c r="D11" s="11"/>
      <c r="E11" s="11">
        <v>10540</v>
      </c>
      <c r="F11" s="11"/>
      <c r="G11" s="11">
        <f t="shared" si="0"/>
        <v>10540</v>
      </c>
      <c r="H11" s="17">
        <f t="shared" si="1"/>
        <v>8.0399999999999991</v>
      </c>
      <c r="I11" s="16">
        <f t="shared" si="2"/>
        <v>3.4000000000000002E-2</v>
      </c>
      <c r="J11" s="16">
        <f>ROUND(G11/8770-1,2)</f>
        <v>0.2</v>
      </c>
    </row>
    <row r="12" spans="1:10" x14ac:dyDescent="0.25">
      <c r="A12" s="1" t="s">
        <v>16</v>
      </c>
      <c r="B12" s="1" t="s">
        <v>24</v>
      </c>
      <c r="C12" s="11"/>
      <c r="D12" s="11">
        <v>36880</v>
      </c>
      <c r="E12" s="11">
        <v>8150</v>
      </c>
      <c r="F12" s="11"/>
      <c r="G12" s="11">
        <f t="shared" si="0"/>
        <v>45030</v>
      </c>
      <c r="H12" s="17">
        <f t="shared" si="1"/>
        <v>34.35</v>
      </c>
      <c r="I12" s="16">
        <f t="shared" si="2"/>
        <v>0.14599999999999999</v>
      </c>
      <c r="J12" s="16">
        <f>ROUND(G12/37250-1,2)</f>
        <v>0.21</v>
      </c>
    </row>
    <row r="13" spans="1:10" x14ac:dyDescent="0.25">
      <c r="A13" s="1" t="s">
        <v>16</v>
      </c>
      <c r="B13" s="1" t="s">
        <v>26</v>
      </c>
      <c r="C13" s="11"/>
      <c r="D13" s="11">
        <v>41540</v>
      </c>
      <c r="E13" s="11"/>
      <c r="F13" s="11"/>
      <c r="G13" s="11">
        <f t="shared" si="0"/>
        <v>41540</v>
      </c>
      <c r="H13" s="17">
        <f t="shared" si="1"/>
        <v>31.69</v>
      </c>
      <c r="I13" s="16">
        <f t="shared" si="2"/>
        <v>0.13500000000000001</v>
      </c>
      <c r="J13" s="16">
        <f>ROUND(G13/43460-1,2)</f>
        <v>-0.04</v>
      </c>
    </row>
    <row r="14" spans="1:10" x14ac:dyDescent="0.25">
      <c r="A14" s="1" t="s">
        <v>16</v>
      </c>
      <c r="B14" s="1" t="s">
        <v>35</v>
      </c>
      <c r="C14" s="11"/>
      <c r="D14" s="11"/>
      <c r="E14" s="11">
        <v>15120</v>
      </c>
      <c r="F14" s="11"/>
      <c r="G14" s="11">
        <f t="shared" si="0"/>
        <v>15120</v>
      </c>
      <c r="H14" s="17">
        <f t="shared" si="1"/>
        <v>11.53</v>
      </c>
      <c r="I14" s="16">
        <f t="shared" si="2"/>
        <v>4.9000000000000002E-2</v>
      </c>
      <c r="J14" s="16">
        <f>ROUND(G14/5610-1,2)</f>
        <v>1.7</v>
      </c>
    </row>
    <row r="15" spans="1:10" x14ac:dyDescent="0.25">
      <c r="A15" s="1" t="s">
        <v>16</v>
      </c>
      <c r="B15" s="1" t="s">
        <v>37</v>
      </c>
      <c r="C15" s="11"/>
      <c r="D15" s="11"/>
      <c r="E15" s="11">
        <v>2550</v>
      </c>
      <c r="F15" s="11"/>
      <c r="G15" s="11">
        <f t="shared" si="0"/>
        <v>2550</v>
      </c>
      <c r="H15" s="17">
        <f t="shared" si="1"/>
        <v>1.95</v>
      </c>
      <c r="I15" s="16">
        <f t="shared" si="2"/>
        <v>8.0000000000000002E-3</v>
      </c>
      <c r="J15" s="16">
        <f>ROUND(G15/3570-1,2)</f>
        <v>-0.28999999999999998</v>
      </c>
    </row>
    <row r="16" spans="1:10" x14ac:dyDescent="0.25">
      <c r="A16" s="1" t="s">
        <v>16</v>
      </c>
      <c r="B16" s="1" t="s">
        <v>18</v>
      </c>
      <c r="C16" s="11"/>
      <c r="D16" s="11"/>
      <c r="E16" s="11"/>
      <c r="F16" s="11"/>
      <c r="G16" s="11">
        <f t="shared" si="0"/>
        <v>0</v>
      </c>
      <c r="H16" s="17">
        <f t="shared" si="1"/>
        <v>0</v>
      </c>
      <c r="I16" s="16">
        <f t="shared" si="2"/>
        <v>0</v>
      </c>
      <c r="J16" s="16">
        <f>ROUND(G16/3160-1,2)</f>
        <v>-1</v>
      </c>
    </row>
    <row r="17" spans="1:10" x14ac:dyDescent="0.25">
      <c r="A17" s="1" t="s">
        <v>16</v>
      </c>
      <c r="B17" s="1" t="s">
        <v>42</v>
      </c>
      <c r="C17" s="11"/>
      <c r="D17" s="11"/>
      <c r="E17" s="11"/>
      <c r="F17" s="11"/>
      <c r="G17" s="11">
        <f t="shared" si="0"/>
        <v>0</v>
      </c>
      <c r="H17" s="17">
        <f t="shared" si="1"/>
        <v>0</v>
      </c>
      <c r="I17" s="16">
        <f t="shared" si="2"/>
        <v>0</v>
      </c>
      <c r="J17" s="16"/>
    </row>
    <row r="18" spans="1:10" x14ac:dyDescent="0.25">
      <c r="A18" s="1" t="s">
        <v>16</v>
      </c>
      <c r="B18" s="1" t="s">
        <v>22</v>
      </c>
      <c r="C18" s="11"/>
      <c r="D18" s="11"/>
      <c r="E18" s="11"/>
      <c r="F18" s="11"/>
      <c r="G18" s="11">
        <f t="shared" si="0"/>
        <v>0</v>
      </c>
      <c r="H18" s="17">
        <f t="shared" si="1"/>
        <v>0</v>
      </c>
      <c r="I18" s="16">
        <f t="shared" si="2"/>
        <v>0</v>
      </c>
      <c r="J18" s="16">
        <f>ROUND(G18/2700-1,2)</f>
        <v>-1</v>
      </c>
    </row>
    <row r="19" spans="1:10" x14ac:dyDescent="0.25">
      <c r="A19" s="1" t="s">
        <v>16</v>
      </c>
      <c r="B19" s="1" t="s">
        <v>32</v>
      </c>
      <c r="C19" s="11"/>
      <c r="D19" s="11"/>
      <c r="E19" s="11"/>
      <c r="F19" s="11"/>
      <c r="G19" s="11">
        <f t="shared" si="0"/>
        <v>0</v>
      </c>
      <c r="H19" s="17">
        <f t="shared" si="1"/>
        <v>0</v>
      </c>
      <c r="I19" s="16">
        <f t="shared" si="2"/>
        <v>0</v>
      </c>
      <c r="J19" s="16">
        <f>ROUND(G19/255-1,2)</f>
        <v>-1</v>
      </c>
    </row>
    <row r="20" spans="1:10" x14ac:dyDescent="0.25">
      <c r="A20" s="1" t="s">
        <v>16</v>
      </c>
      <c r="B20" s="1" t="s">
        <v>41</v>
      </c>
      <c r="C20" s="11"/>
      <c r="D20" s="11"/>
      <c r="E20" s="11"/>
      <c r="F20" s="11"/>
      <c r="G20" s="11">
        <f t="shared" si="0"/>
        <v>0</v>
      </c>
      <c r="H20" s="17">
        <f t="shared" si="1"/>
        <v>0</v>
      </c>
      <c r="I20" s="16">
        <f t="shared" si="2"/>
        <v>0</v>
      </c>
      <c r="J20" s="16"/>
    </row>
    <row r="21" spans="1:10" x14ac:dyDescent="0.25">
      <c r="A21" s="1" t="s">
        <v>16</v>
      </c>
      <c r="B21" s="1" t="s">
        <v>43</v>
      </c>
      <c r="C21" s="11"/>
      <c r="D21" s="11"/>
      <c r="E21" s="11"/>
      <c r="F21" s="11"/>
      <c r="G21" s="11">
        <f t="shared" si="0"/>
        <v>0</v>
      </c>
      <c r="H21" s="17">
        <f t="shared" si="1"/>
        <v>0</v>
      </c>
      <c r="I21" s="16">
        <f t="shared" si="2"/>
        <v>0</v>
      </c>
      <c r="J21" s="16">
        <f>ROUND(G21/1011-1,2)</f>
        <v>-1</v>
      </c>
    </row>
    <row r="22" spans="1:10" x14ac:dyDescent="0.25">
      <c r="A22" s="1" t="s">
        <v>16</v>
      </c>
      <c r="B22" s="1" t="s">
        <v>29</v>
      </c>
      <c r="C22" s="11"/>
      <c r="D22" s="11"/>
      <c r="E22" s="11"/>
      <c r="F22" s="11"/>
      <c r="G22" s="11">
        <f t="shared" si="0"/>
        <v>0</v>
      </c>
      <c r="H22" s="17">
        <f t="shared" si="1"/>
        <v>0</v>
      </c>
      <c r="I22" s="16">
        <f t="shared" si="2"/>
        <v>0</v>
      </c>
      <c r="J22" s="16">
        <f>ROUND(G22/90-1,2)</f>
        <v>-1</v>
      </c>
    </row>
    <row r="23" spans="1:10" x14ac:dyDescent="0.25">
      <c r="A23" s="1" t="s">
        <v>16</v>
      </c>
      <c r="B23" s="1" t="s">
        <v>36</v>
      </c>
      <c r="C23" s="11"/>
      <c r="D23" s="11"/>
      <c r="E23" s="11"/>
      <c r="F23" s="11"/>
      <c r="G23" s="11">
        <f t="shared" si="0"/>
        <v>0</v>
      </c>
      <c r="H23" s="17">
        <f t="shared" si="1"/>
        <v>0</v>
      </c>
      <c r="I23" s="16">
        <f t="shared" si="2"/>
        <v>0</v>
      </c>
      <c r="J23" s="16"/>
    </row>
    <row r="24" spans="1:10" x14ac:dyDescent="0.25">
      <c r="A24" s="1" t="s">
        <v>16</v>
      </c>
      <c r="B24" s="1" t="s">
        <v>38</v>
      </c>
      <c r="C24" s="11"/>
      <c r="D24" s="11"/>
      <c r="E24" s="11"/>
      <c r="F24" s="11"/>
      <c r="G24" s="11">
        <f t="shared" si="0"/>
        <v>0</v>
      </c>
      <c r="H24" s="17">
        <f t="shared" si="1"/>
        <v>0</v>
      </c>
      <c r="I24" s="16">
        <f t="shared" si="2"/>
        <v>0</v>
      </c>
      <c r="J24" s="16"/>
    </row>
    <row r="25" spans="1:10" x14ac:dyDescent="0.25">
      <c r="A25" s="1" t="s">
        <v>16</v>
      </c>
      <c r="B25" s="1" t="s">
        <v>40</v>
      </c>
      <c r="C25" s="11"/>
      <c r="D25" s="11"/>
      <c r="E25" s="11"/>
      <c r="F25" s="11"/>
      <c r="G25" s="11">
        <f t="shared" si="0"/>
        <v>0</v>
      </c>
      <c r="H25" s="17">
        <f t="shared" si="1"/>
        <v>0</v>
      </c>
      <c r="I25" s="16">
        <f t="shared" si="2"/>
        <v>0</v>
      </c>
      <c r="J25" s="16"/>
    </row>
    <row r="26" spans="1:10" x14ac:dyDescent="0.25">
      <c r="A26" s="1" t="s">
        <v>16</v>
      </c>
      <c r="B26" s="1" t="s">
        <v>34</v>
      </c>
      <c r="C26" s="11"/>
      <c r="D26" s="11"/>
      <c r="E26" s="11"/>
      <c r="F26" s="11"/>
      <c r="G26" s="11">
        <f t="shared" si="0"/>
        <v>0</v>
      </c>
      <c r="H26" s="17">
        <f t="shared" si="1"/>
        <v>0</v>
      </c>
      <c r="I26" s="16">
        <f t="shared" si="2"/>
        <v>0</v>
      </c>
      <c r="J26" s="16"/>
    </row>
    <row r="27" spans="1:10" x14ac:dyDescent="0.25">
      <c r="A27" s="1" t="s">
        <v>16</v>
      </c>
      <c r="B27" s="1" t="s">
        <v>242</v>
      </c>
      <c r="C27" s="11"/>
      <c r="D27" s="11"/>
      <c r="E27" s="11"/>
      <c r="F27" s="11"/>
      <c r="G27" s="11">
        <f t="shared" si="0"/>
        <v>0</v>
      </c>
      <c r="H27" s="17">
        <f t="shared" si="1"/>
        <v>0</v>
      </c>
      <c r="I27" s="16">
        <f t="shared" si="2"/>
        <v>0</v>
      </c>
      <c r="J27" s="16"/>
    </row>
    <row r="28" spans="1:10" x14ac:dyDescent="0.25">
      <c r="A28" s="1" t="s">
        <v>16</v>
      </c>
      <c r="B28" s="1" t="s">
        <v>95</v>
      </c>
      <c r="C28" s="11"/>
      <c r="D28" s="11"/>
      <c r="E28" s="11"/>
      <c r="F28" s="11"/>
      <c r="G28" s="11">
        <f t="shared" si="0"/>
        <v>0</v>
      </c>
      <c r="H28" s="17">
        <f t="shared" si="1"/>
        <v>0</v>
      </c>
      <c r="I28" s="16">
        <f t="shared" si="2"/>
        <v>0</v>
      </c>
      <c r="J28" s="16"/>
    </row>
    <row r="29" spans="1:10" x14ac:dyDescent="0.25">
      <c r="A29" s="1" t="s">
        <v>16</v>
      </c>
      <c r="B29" s="1" t="s">
        <v>114</v>
      </c>
      <c r="C29" s="11"/>
      <c r="D29" s="11"/>
      <c r="E29" s="11"/>
      <c r="F29" s="11"/>
      <c r="G29" s="11">
        <f t="shared" si="0"/>
        <v>0</v>
      </c>
      <c r="H29" s="17">
        <f t="shared" si="1"/>
        <v>0</v>
      </c>
      <c r="I29" s="16">
        <f t="shared" si="2"/>
        <v>0</v>
      </c>
      <c r="J29" s="16"/>
    </row>
    <row r="30" spans="1:10" x14ac:dyDescent="0.25">
      <c r="A30" s="1" t="s">
        <v>16</v>
      </c>
      <c r="B30" s="1" t="s">
        <v>25</v>
      </c>
      <c r="C30" s="11"/>
      <c r="D30" s="11"/>
      <c r="E30" s="11"/>
      <c r="F30" s="11"/>
      <c r="G30" s="11">
        <f t="shared" si="0"/>
        <v>0</v>
      </c>
      <c r="H30" s="17">
        <f t="shared" si="1"/>
        <v>0</v>
      </c>
      <c r="I30" s="16">
        <f t="shared" si="2"/>
        <v>0</v>
      </c>
      <c r="J30" s="16"/>
    </row>
    <row r="31" spans="1:10" x14ac:dyDescent="0.25">
      <c r="A31" s="1" t="s">
        <v>16</v>
      </c>
      <c r="B31" s="1" t="s">
        <v>39</v>
      </c>
      <c r="C31" s="11"/>
      <c r="D31" s="11"/>
      <c r="E31" s="11"/>
      <c r="F31" s="11"/>
      <c r="G31" s="11">
        <f t="shared" si="0"/>
        <v>0</v>
      </c>
      <c r="H31" s="17">
        <f t="shared" si="1"/>
        <v>0</v>
      </c>
      <c r="I31" s="16">
        <f t="shared" si="2"/>
        <v>0</v>
      </c>
      <c r="J31" s="16"/>
    </row>
    <row r="32" spans="1:10" x14ac:dyDescent="0.25">
      <c r="A32" s="1" t="s">
        <v>16</v>
      </c>
      <c r="B32" s="1" t="s">
        <v>33</v>
      </c>
      <c r="C32" s="11"/>
      <c r="D32" s="11"/>
      <c r="E32" s="11"/>
      <c r="F32" s="11"/>
      <c r="G32" s="11">
        <f t="shared" si="0"/>
        <v>0</v>
      </c>
      <c r="H32" s="17">
        <f t="shared" si="1"/>
        <v>0</v>
      </c>
      <c r="I32" s="16">
        <f t="shared" si="2"/>
        <v>0</v>
      </c>
      <c r="J32" s="16"/>
    </row>
    <row r="33" spans="1:10" x14ac:dyDescent="0.25">
      <c r="A33" s="1" t="s">
        <v>16</v>
      </c>
      <c r="B33" s="1" t="s">
        <v>21</v>
      </c>
      <c r="C33" s="11"/>
      <c r="D33" s="11"/>
      <c r="E33" s="11"/>
      <c r="F33" s="11"/>
      <c r="G33" s="11">
        <f t="shared" si="0"/>
        <v>0</v>
      </c>
      <c r="H33" s="17">
        <f t="shared" si="1"/>
        <v>0</v>
      </c>
      <c r="I33" s="16">
        <f t="shared" si="2"/>
        <v>0</v>
      </c>
      <c r="J33" s="16"/>
    </row>
    <row r="34" spans="1:10" x14ac:dyDescent="0.25">
      <c r="A34" s="1" t="s">
        <v>16</v>
      </c>
      <c r="B34" s="1" t="s">
        <v>30</v>
      </c>
      <c r="C34" s="11"/>
      <c r="D34" s="11"/>
      <c r="E34" s="11"/>
      <c r="F34" s="11"/>
      <c r="G34" s="11">
        <f t="shared" si="0"/>
        <v>0</v>
      </c>
      <c r="H34" s="17">
        <f t="shared" si="1"/>
        <v>0</v>
      </c>
      <c r="I34" s="16">
        <f t="shared" si="2"/>
        <v>0</v>
      </c>
      <c r="J34" s="16"/>
    </row>
    <row r="35" spans="1:10" x14ac:dyDescent="0.25">
      <c r="A35" s="1" t="s">
        <v>16</v>
      </c>
      <c r="B35" s="1" t="s">
        <v>31</v>
      </c>
      <c r="C35" s="11"/>
      <c r="D35" s="11"/>
      <c r="E35" s="11"/>
      <c r="F35" s="11"/>
      <c r="G35" s="11">
        <f t="shared" si="0"/>
        <v>0</v>
      </c>
      <c r="H35" s="17">
        <f t="shared" si="1"/>
        <v>0</v>
      </c>
      <c r="I35" s="16">
        <f t="shared" si="2"/>
        <v>0</v>
      </c>
      <c r="J35" s="16"/>
    </row>
    <row r="36" spans="1:10" x14ac:dyDescent="0.25">
      <c r="A36" s="1" t="s">
        <v>44</v>
      </c>
      <c r="B36" s="1" t="s">
        <v>45</v>
      </c>
      <c r="C36" s="11">
        <v>58370</v>
      </c>
      <c r="D36" s="11">
        <v>49980</v>
      </c>
      <c r="E36" s="11"/>
      <c r="F36" s="11"/>
      <c r="G36" s="11">
        <f t="shared" si="0"/>
        <v>108350</v>
      </c>
      <c r="H36" s="17">
        <f t="shared" si="1"/>
        <v>82.65</v>
      </c>
      <c r="I36" s="16">
        <f t="shared" si="2"/>
        <v>0.35099999999999998</v>
      </c>
      <c r="J36" s="16">
        <f>ROUND(G36/109360-1,2)</f>
        <v>-0.01</v>
      </c>
    </row>
    <row r="37" spans="1:10" x14ac:dyDescent="0.25">
      <c r="A37" s="1" t="s">
        <v>44</v>
      </c>
      <c r="B37" s="1" t="s">
        <v>46</v>
      </c>
      <c r="C37" s="11"/>
      <c r="D37" s="11"/>
      <c r="E37" s="11">
        <v>6480</v>
      </c>
      <c r="F37" s="11"/>
      <c r="G37" s="11">
        <f t="shared" si="0"/>
        <v>6480</v>
      </c>
      <c r="H37" s="17">
        <f t="shared" si="1"/>
        <v>4.9400000000000004</v>
      </c>
      <c r="I37" s="16">
        <f t="shared" si="2"/>
        <v>2.1000000000000001E-2</v>
      </c>
      <c r="J37" s="16">
        <f>ROUND(G37/5960-1,2)</f>
        <v>0.09</v>
      </c>
    </row>
    <row r="38" spans="1:10" x14ac:dyDescent="0.25">
      <c r="A38" s="1" t="s">
        <v>44</v>
      </c>
      <c r="B38" s="1" t="s">
        <v>47</v>
      </c>
      <c r="C38" s="11"/>
      <c r="D38" s="11"/>
      <c r="E38" s="11"/>
      <c r="F38" s="11"/>
      <c r="G38" s="11">
        <f t="shared" si="0"/>
        <v>0</v>
      </c>
      <c r="H38" s="17">
        <f t="shared" si="1"/>
        <v>0</v>
      </c>
      <c r="I38" s="16">
        <f t="shared" si="2"/>
        <v>0</v>
      </c>
      <c r="J38" s="16"/>
    </row>
    <row r="39" spans="1:10" x14ac:dyDescent="0.25">
      <c r="A39" s="1" t="s">
        <v>48</v>
      </c>
      <c r="B39" s="1" t="s">
        <v>49</v>
      </c>
      <c r="C39" s="11"/>
      <c r="D39" s="11"/>
      <c r="E39" s="11"/>
      <c r="F39" s="11"/>
      <c r="G39" s="11">
        <f t="shared" si="0"/>
        <v>0</v>
      </c>
      <c r="H39" s="17">
        <f t="shared" si="1"/>
        <v>0</v>
      </c>
      <c r="I39" s="16">
        <f t="shared" si="2"/>
        <v>0</v>
      </c>
      <c r="J39" s="16"/>
    </row>
    <row r="40" spans="1:10" x14ac:dyDescent="0.25">
      <c r="A40" s="1" t="s">
        <v>48</v>
      </c>
      <c r="B40" s="1" t="s">
        <v>50</v>
      </c>
      <c r="C40" s="11"/>
      <c r="D40" s="11"/>
      <c r="E40" s="11"/>
      <c r="F40" s="11"/>
      <c r="G40" s="11">
        <f t="shared" si="0"/>
        <v>0</v>
      </c>
      <c r="H40" s="17">
        <f t="shared" si="1"/>
        <v>0</v>
      </c>
      <c r="I40" s="16">
        <f t="shared" si="2"/>
        <v>0</v>
      </c>
      <c r="J40" s="16"/>
    </row>
    <row r="41" spans="1:10" x14ac:dyDescent="0.25">
      <c r="A41" s="1" t="s">
        <v>48</v>
      </c>
      <c r="B41" s="1" t="s">
        <v>51</v>
      </c>
      <c r="C41" s="11"/>
      <c r="D41" s="11"/>
      <c r="E41" s="11"/>
      <c r="F41" s="11"/>
      <c r="G41" s="11">
        <f t="shared" si="0"/>
        <v>0</v>
      </c>
      <c r="H41" s="17">
        <f t="shared" si="1"/>
        <v>0</v>
      </c>
      <c r="I41" s="16">
        <f t="shared" si="2"/>
        <v>0</v>
      </c>
      <c r="J41" s="16"/>
    </row>
    <row r="42" spans="1:10" x14ac:dyDescent="0.25">
      <c r="A42" s="21" t="s">
        <v>12</v>
      </c>
      <c r="B42" s="21"/>
      <c r="C42" s="12">
        <f t="shared" ref="C42:H42" si="3">SUM(C8:C41)</f>
        <v>58370</v>
      </c>
      <c r="D42" s="12">
        <f t="shared" si="3"/>
        <v>207100</v>
      </c>
      <c r="E42" s="12">
        <f t="shared" si="3"/>
        <v>42840</v>
      </c>
      <c r="F42" s="12">
        <f t="shared" si="3"/>
        <v>0</v>
      </c>
      <c r="G42" s="12">
        <f t="shared" si="3"/>
        <v>308310</v>
      </c>
      <c r="H42" s="15">
        <f t="shared" si="3"/>
        <v>235.17999999999998</v>
      </c>
      <c r="I42" s="18"/>
      <c r="J42" s="18"/>
    </row>
    <row r="43" spans="1:10" x14ac:dyDescent="0.25">
      <c r="A43" s="21" t="s">
        <v>14</v>
      </c>
      <c r="B43" s="21"/>
      <c r="C43" s="13">
        <f>ROUND(C42/G42,2)</f>
        <v>0.19</v>
      </c>
      <c r="D43" s="13">
        <f>ROUND(D42/G42,2)</f>
        <v>0.67</v>
      </c>
      <c r="E43" s="13">
        <f>ROUND(E42/G42,2)</f>
        <v>0.14000000000000001</v>
      </c>
      <c r="F43" s="13">
        <f>ROUND(F42/G42,2)</f>
        <v>0</v>
      </c>
      <c r="G43" s="14"/>
      <c r="H43" s="14"/>
      <c r="I43" s="18"/>
      <c r="J43" s="18"/>
    </row>
    <row r="44" spans="1:10" x14ac:dyDescent="0.25">
      <c r="A44" s="2" t="s">
        <v>52</v>
      </c>
      <c r="B44" s="2"/>
      <c r="C44" s="14"/>
      <c r="D44" s="14"/>
      <c r="E44" s="14"/>
      <c r="F44" s="14"/>
      <c r="G44" s="14"/>
      <c r="H44" s="14"/>
      <c r="I44" s="18"/>
      <c r="J44" s="18"/>
    </row>
    <row r="45" spans="1:10" x14ac:dyDescent="0.25">
      <c r="C45" s="9"/>
      <c r="D45" s="9"/>
      <c r="E45" s="9"/>
      <c r="F45" s="9"/>
      <c r="G45" s="9"/>
      <c r="H45" s="9"/>
      <c r="I45" s="10"/>
      <c r="J45" s="10"/>
    </row>
    <row r="46" spans="1:10" x14ac:dyDescent="0.25">
      <c r="C46" s="9"/>
      <c r="D46" s="9"/>
      <c r="E46" s="9"/>
      <c r="F46" s="9"/>
      <c r="G46" s="9"/>
      <c r="H46" s="9"/>
      <c r="I46" s="10"/>
      <c r="J46" s="10"/>
    </row>
    <row r="47" spans="1:10" x14ac:dyDescent="0.25">
      <c r="C47" s="9"/>
      <c r="D47" s="9"/>
      <c r="E47" s="9"/>
      <c r="F47" s="9"/>
      <c r="G47" s="9"/>
      <c r="H47" s="9"/>
      <c r="I47" s="10"/>
      <c r="J47" s="10"/>
    </row>
    <row r="48" spans="1:10" x14ac:dyDescent="0.25">
      <c r="A48" s="21" t="s">
        <v>53</v>
      </c>
      <c r="B48" s="21"/>
      <c r="C48" s="12" t="s">
        <v>8</v>
      </c>
      <c r="D48" s="12" t="s">
        <v>9</v>
      </c>
      <c r="E48" s="12" t="s">
        <v>10</v>
      </c>
      <c r="F48" s="12" t="s">
        <v>11</v>
      </c>
      <c r="G48" s="12" t="s">
        <v>12</v>
      </c>
      <c r="H48" s="15" t="s">
        <v>13</v>
      </c>
      <c r="I48" s="18"/>
      <c r="J48" s="18"/>
    </row>
    <row r="49" spans="1:10" x14ac:dyDescent="0.25">
      <c r="A49" s="20" t="s">
        <v>54</v>
      </c>
      <c r="B49" s="20"/>
      <c r="C49" s="11">
        <v>0</v>
      </c>
      <c r="D49" s="11">
        <v>157120</v>
      </c>
      <c r="E49" s="11">
        <v>36360</v>
      </c>
      <c r="F49" s="11">
        <v>0</v>
      </c>
      <c r="G49" s="11">
        <f>SUM(C49:F49)</f>
        <v>193480</v>
      </c>
      <c r="H49" s="17">
        <f>ROUND(G49/1311,2)</f>
        <v>147.58000000000001</v>
      </c>
      <c r="I49" s="10"/>
      <c r="J49" s="10"/>
    </row>
    <row r="50" spans="1:10" x14ac:dyDescent="0.25">
      <c r="A50" s="20" t="s">
        <v>55</v>
      </c>
      <c r="B50" s="20"/>
      <c r="C50" s="11">
        <v>58370</v>
      </c>
      <c r="D50" s="11">
        <v>49980</v>
      </c>
      <c r="E50" s="11">
        <v>6480</v>
      </c>
      <c r="F50" s="11">
        <v>0</v>
      </c>
      <c r="G50" s="11">
        <f>SUM(C50:F50)</f>
        <v>114830</v>
      </c>
      <c r="H50" s="17">
        <f>ROUND(G50/1311,2)</f>
        <v>87.59</v>
      </c>
      <c r="I50" s="10"/>
      <c r="J50" s="10"/>
    </row>
    <row r="51" spans="1:10" x14ac:dyDescent="0.25">
      <c r="A51" s="20" t="s">
        <v>56</v>
      </c>
      <c r="B51" s="20"/>
      <c r="C51" s="11">
        <v>0</v>
      </c>
      <c r="D51" s="11">
        <v>0</v>
      </c>
      <c r="E51" s="11">
        <v>0</v>
      </c>
      <c r="F51" s="11">
        <v>0</v>
      </c>
      <c r="G51" s="11">
        <f>SUM(C51:F51)</f>
        <v>0</v>
      </c>
      <c r="H51" s="17">
        <f>ROUND(G51/1311,2)</f>
        <v>0</v>
      </c>
      <c r="I51" s="10"/>
      <c r="J51" s="10"/>
    </row>
    <row r="52" spans="1:10" x14ac:dyDescent="0.25">
      <c r="C52" s="9"/>
      <c r="D52" s="9"/>
      <c r="E52" s="9"/>
      <c r="F52" s="9"/>
      <c r="G52" s="9"/>
      <c r="H52" s="9"/>
      <c r="I52" s="10"/>
      <c r="J52" s="10"/>
    </row>
    <row r="53" spans="1:10" x14ac:dyDescent="0.25">
      <c r="C53" s="9"/>
      <c r="D53" s="9"/>
      <c r="E53" s="9"/>
      <c r="F53" s="9"/>
      <c r="G53" s="9"/>
      <c r="H53" s="9"/>
      <c r="I53" s="10"/>
      <c r="J53" s="10"/>
    </row>
    <row r="54" spans="1:10" x14ac:dyDescent="0.25">
      <c r="C54" s="9"/>
      <c r="D54" s="9"/>
      <c r="E54" s="9"/>
      <c r="F54" s="9"/>
      <c r="G54" s="9"/>
      <c r="H54" s="9"/>
      <c r="I54" s="10"/>
      <c r="J54" s="10"/>
    </row>
    <row r="55" spans="1:10" x14ac:dyDescent="0.25">
      <c r="C55" s="9"/>
      <c r="D55" s="9"/>
      <c r="E55" s="9"/>
      <c r="F55" s="9"/>
      <c r="G55" s="9"/>
      <c r="H55" s="9"/>
      <c r="I55" s="10"/>
      <c r="J55" s="10"/>
    </row>
    <row r="56" spans="1:10" x14ac:dyDescent="0.25">
      <c r="A56" s="21" t="s">
        <v>57</v>
      </c>
      <c r="B56" s="21"/>
      <c r="C56" s="15" t="s">
        <v>2</v>
      </c>
      <c r="D56" s="15">
        <v>2023</v>
      </c>
      <c r="E56" s="15" t="s">
        <v>59</v>
      </c>
      <c r="F56" s="14"/>
      <c r="G56" s="15" t="s">
        <v>60</v>
      </c>
      <c r="H56" s="15" t="s">
        <v>2</v>
      </c>
      <c r="I56" s="13" t="s">
        <v>61</v>
      </c>
      <c r="J56" s="13" t="s">
        <v>59</v>
      </c>
    </row>
    <row r="57" spans="1:10" x14ac:dyDescent="0.25">
      <c r="A57" s="20" t="s">
        <v>58</v>
      </c>
      <c r="B57" s="20"/>
      <c r="C57" s="16">
        <f>ROUND(0.6338, 4)</f>
        <v>0.63380000000000003</v>
      </c>
      <c r="D57" s="16">
        <f>ROUND(0.6459, 4)</f>
        <v>0.64590000000000003</v>
      </c>
      <c r="E57" s="16">
        <f>ROUND(0.777, 4)</f>
        <v>0.77700000000000002</v>
      </c>
      <c r="F57" s="9"/>
      <c r="G57" s="15" t="s">
        <v>62</v>
      </c>
      <c r="H57" s="22" t="s">
        <v>63</v>
      </c>
      <c r="I57" s="24" t="s">
        <v>64</v>
      </c>
      <c r="J57" s="24" t="s">
        <v>65</v>
      </c>
    </row>
    <row r="58" spans="1:10" x14ac:dyDescent="0.25">
      <c r="A58" s="20" t="s">
        <v>66</v>
      </c>
      <c r="B58" s="20"/>
      <c r="C58" s="16">
        <f>ROUND(0.5952, 4)</f>
        <v>0.59519999999999995</v>
      </c>
      <c r="D58" s="16">
        <f>ROUND(0.6087, 4)</f>
        <v>0.60870000000000002</v>
      </c>
      <c r="E58" s="16">
        <f>ROUND(0.7608, 4)</f>
        <v>0.76080000000000003</v>
      </c>
      <c r="F58" s="9"/>
      <c r="G58" s="15" t="s">
        <v>67</v>
      </c>
      <c r="H58" s="23"/>
      <c r="I58" s="25"/>
      <c r="J58" s="25"/>
    </row>
    <row r="59" spans="1:10" x14ac:dyDescent="0.25">
      <c r="C59" s="9"/>
      <c r="D59" s="9"/>
      <c r="E59" s="9"/>
      <c r="F59" s="9"/>
      <c r="G59" s="9"/>
      <c r="H59" s="9"/>
      <c r="I59" s="10"/>
      <c r="J59" s="10"/>
    </row>
    <row r="60" spans="1:10" x14ac:dyDescent="0.25">
      <c r="C60" s="9"/>
      <c r="D60" s="9"/>
      <c r="E60" s="9"/>
      <c r="F60" s="9"/>
      <c r="G60" s="9"/>
      <c r="H60" s="9"/>
      <c r="I60" s="10"/>
      <c r="J60" s="10"/>
    </row>
    <row r="61" spans="1:10" x14ac:dyDescent="0.25">
      <c r="C61" s="9"/>
      <c r="D61" s="9"/>
      <c r="E61" s="9"/>
      <c r="F61" s="9"/>
      <c r="G61" s="9"/>
      <c r="H61" s="9"/>
      <c r="I61" s="10"/>
      <c r="J61" s="10"/>
    </row>
    <row r="62" spans="1:10" x14ac:dyDescent="0.25">
      <c r="A62" s="21" t="s">
        <v>68</v>
      </c>
      <c r="B62" s="21"/>
      <c r="C62" s="15" t="s">
        <v>2</v>
      </c>
      <c r="D62" s="15" t="s">
        <v>310</v>
      </c>
      <c r="E62" s="15" t="s">
        <v>70</v>
      </c>
      <c r="F62" s="15" t="s">
        <v>71</v>
      </c>
      <c r="G62" s="15" t="s">
        <v>72</v>
      </c>
      <c r="H62" s="14"/>
      <c r="I62" s="18"/>
      <c r="J62" s="18"/>
    </row>
    <row r="63" spans="1:10" x14ac:dyDescent="0.25">
      <c r="A63" s="20" t="s">
        <v>73</v>
      </c>
      <c r="B63" s="20"/>
      <c r="C63" s="17">
        <v>82.65</v>
      </c>
      <c r="D63" s="17">
        <v>217.95</v>
      </c>
      <c r="E63" s="17">
        <v>81.84</v>
      </c>
      <c r="F63" s="17">
        <v>48</v>
      </c>
      <c r="G63" s="17">
        <f>12/4*C63</f>
        <v>247.95000000000002</v>
      </c>
      <c r="H63" s="9"/>
      <c r="I63" s="10"/>
      <c r="J63" s="10"/>
    </row>
    <row r="64" spans="1:10" x14ac:dyDescent="0.25">
      <c r="A64" s="20" t="s">
        <v>74</v>
      </c>
      <c r="B64" s="20"/>
      <c r="C64" s="17">
        <v>31.69</v>
      </c>
      <c r="D64" s="17">
        <v>82.71</v>
      </c>
      <c r="E64" s="17">
        <v>55.63</v>
      </c>
      <c r="F64" s="17">
        <v>55.33</v>
      </c>
      <c r="G64" s="17">
        <f>12/4*C64</f>
        <v>95.070000000000007</v>
      </c>
      <c r="H64" s="9"/>
      <c r="I64" s="10"/>
      <c r="J64" s="10"/>
    </row>
    <row r="65" spans="1:10" x14ac:dyDescent="0.25">
      <c r="A65" s="20" t="s">
        <v>75</v>
      </c>
      <c r="B65" s="20"/>
      <c r="C65" s="17">
        <v>147.58000000000001</v>
      </c>
      <c r="D65" s="17">
        <v>432.72</v>
      </c>
      <c r="E65" s="17">
        <v>257.88</v>
      </c>
      <c r="F65" s="17">
        <v>242.78</v>
      </c>
      <c r="G65" s="17">
        <f>12/4*C65</f>
        <v>442.74</v>
      </c>
      <c r="H65" s="9"/>
      <c r="I65" s="10"/>
      <c r="J65" s="10"/>
    </row>
    <row r="66" spans="1:10" x14ac:dyDescent="0.25">
      <c r="A66" s="20" t="s">
        <v>76</v>
      </c>
      <c r="B66" s="20"/>
      <c r="C66" s="17">
        <v>87.59</v>
      </c>
      <c r="D66" s="17">
        <v>242.46</v>
      </c>
      <c r="E66" s="17">
        <v>103.14</v>
      </c>
      <c r="F66" s="17">
        <v>68.31</v>
      </c>
      <c r="G66" s="17">
        <f>12/4*C66</f>
        <v>262.77</v>
      </c>
      <c r="H66" s="9"/>
      <c r="I66" s="10"/>
      <c r="J66" s="10"/>
    </row>
    <row r="67" spans="1:10" x14ac:dyDescent="0.25">
      <c r="C67" s="9"/>
      <c r="D67" s="9"/>
      <c r="E67" s="9"/>
      <c r="F67" s="9"/>
      <c r="G67" s="9"/>
      <c r="H67" s="9"/>
      <c r="I67" s="10"/>
      <c r="J67" s="10"/>
    </row>
    <row r="68" spans="1:10" x14ac:dyDescent="0.25">
      <c r="C68" s="9"/>
      <c r="D68" s="9"/>
      <c r="E68" s="9"/>
      <c r="F68" s="9"/>
      <c r="G68" s="9"/>
      <c r="H68" s="9"/>
      <c r="I68" s="10"/>
      <c r="J68" s="10"/>
    </row>
    <row r="69" spans="1:10" x14ac:dyDescent="0.25">
      <c r="A69" s="19" t="s">
        <v>60</v>
      </c>
      <c r="B69" s="26"/>
    </row>
    <row r="70" spans="1:10" x14ac:dyDescent="0.25">
      <c r="A70" s="3" t="s">
        <v>77</v>
      </c>
      <c r="B70" s="1" t="s">
        <v>311</v>
      </c>
    </row>
    <row r="71" spans="1:10" x14ac:dyDescent="0.25">
      <c r="A71" s="3" t="s">
        <v>70</v>
      </c>
      <c r="B71" s="1" t="s">
        <v>79</v>
      </c>
    </row>
    <row r="72" spans="1:10" x14ac:dyDescent="0.25">
      <c r="A72" s="3" t="s">
        <v>71</v>
      </c>
      <c r="B72" s="1" t="s">
        <v>80</v>
      </c>
    </row>
    <row r="73" spans="1:10" x14ac:dyDescent="0.25">
      <c r="A73" s="3" t="s">
        <v>72</v>
      </c>
      <c r="B73" s="1" t="s">
        <v>81</v>
      </c>
    </row>
  </sheetData>
  <mergeCells count="19">
    <mergeCell ref="A64:B64"/>
    <mergeCell ref="A65:B65"/>
    <mergeCell ref="A66:B66"/>
    <mergeCell ref="A69:B69"/>
    <mergeCell ref="I57:I58"/>
    <mergeCell ref="J57:J58"/>
    <mergeCell ref="A58:B58"/>
    <mergeCell ref="A62:B62"/>
    <mergeCell ref="A63:B63"/>
    <mergeCell ref="A50:B50"/>
    <mergeCell ref="A51:B51"/>
    <mergeCell ref="A56:B56"/>
    <mergeCell ref="A57:B57"/>
    <mergeCell ref="H57:H58"/>
    <mergeCell ref="C7:G7"/>
    <mergeCell ref="A42:B42"/>
    <mergeCell ref="A43:B43"/>
    <mergeCell ref="A48:B48"/>
    <mergeCell ref="A49:B49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dimension ref="A2:J76"/>
  <sheetViews>
    <sheetView workbookViewId="0">
      <selection activeCell="C9" sqref="C9:J76"/>
    </sheetView>
  </sheetViews>
  <sheetFormatPr defaultRowHeight="15" x14ac:dyDescent="0.25"/>
  <cols>
    <col min="1" max="1" width="38.85546875" bestFit="1" customWidth="1"/>
    <col min="2" max="2" width="79" bestFit="1" customWidth="1"/>
    <col min="3" max="3" width="14" bestFit="1" customWidth="1"/>
    <col min="4" max="4" width="22.28515625" bestFit="1" customWidth="1"/>
    <col min="5" max="5" width="16.42578125" bestFit="1" customWidth="1"/>
    <col min="6" max="6" width="10.5703125" bestFit="1" customWidth="1"/>
    <col min="7" max="7" width="68.28515625" bestFit="1" customWidth="1"/>
    <col min="8" max="9" width="20" bestFit="1" customWidth="1"/>
    <col min="10" max="10" width="30.5703125" bestFit="1" customWidth="1"/>
  </cols>
  <sheetData>
    <row r="2" spans="1:10" ht="18.75" x14ac:dyDescent="0.3">
      <c r="A2" s="3" t="s">
        <v>0</v>
      </c>
      <c r="B2" s="4" t="s">
        <v>312</v>
      </c>
    </row>
    <row r="3" spans="1:10" x14ac:dyDescent="0.25">
      <c r="A3" s="3" t="s">
        <v>2</v>
      </c>
      <c r="B3" s="1" t="s">
        <v>3</v>
      </c>
    </row>
    <row r="4" spans="1:10" x14ac:dyDescent="0.25">
      <c r="A4" s="3" t="s">
        <v>4</v>
      </c>
      <c r="B4" s="1">
        <v>392</v>
      </c>
    </row>
    <row r="7" spans="1:10" x14ac:dyDescent="0.25">
      <c r="C7" s="19" t="s">
        <v>5</v>
      </c>
      <c r="D7" s="20"/>
      <c r="E7" s="20"/>
      <c r="F7" s="20"/>
      <c r="G7" s="20"/>
    </row>
    <row r="8" spans="1:10" x14ac:dyDescent="0.25">
      <c r="A8" s="3" t="s">
        <v>6</v>
      </c>
      <c r="B8" s="3" t="s">
        <v>7</v>
      </c>
      <c r="C8" s="3" t="s">
        <v>8</v>
      </c>
      <c r="D8" s="3" t="s">
        <v>9</v>
      </c>
      <c r="E8" s="3" t="s">
        <v>10</v>
      </c>
      <c r="F8" s="3" t="s">
        <v>11</v>
      </c>
      <c r="G8" s="3" t="s">
        <v>12</v>
      </c>
      <c r="H8" s="3" t="s">
        <v>13</v>
      </c>
      <c r="I8" s="3" t="s">
        <v>14</v>
      </c>
      <c r="J8" s="3" t="s">
        <v>15</v>
      </c>
    </row>
    <row r="9" spans="1:10" x14ac:dyDescent="0.25">
      <c r="A9" s="1" t="s">
        <v>16</v>
      </c>
      <c r="B9" s="1" t="s">
        <v>19</v>
      </c>
      <c r="C9" s="11">
        <v>7060</v>
      </c>
      <c r="D9" s="11"/>
      <c r="E9" s="11"/>
      <c r="F9" s="11"/>
      <c r="G9" s="11">
        <f t="shared" ref="G9:G36" si="0">SUM(C9:F9)</f>
        <v>7060</v>
      </c>
      <c r="H9" s="17">
        <f t="shared" ref="H9:H36" si="1">ROUND(G9/392,2)</f>
        <v>18.010000000000002</v>
      </c>
      <c r="I9" s="16">
        <f t="shared" ref="I9:I36" si="2">ROUND(G9/$G$37,3)</f>
        <v>0.124</v>
      </c>
      <c r="J9" s="16">
        <f>ROUND(G9/8260-1,2)</f>
        <v>-0.15</v>
      </c>
    </row>
    <row r="10" spans="1:10" x14ac:dyDescent="0.25">
      <c r="A10" s="1" t="s">
        <v>16</v>
      </c>
      <c r="B10" s="1" t="s">
        <v>20</v>
      </c>
      <c r="C10" s="11">
        <v>12665</v>
      </c>
      <c r="D10" s="11"/>
      <c r="E10" s="11"/>
      <c r="F10" s="11"/>
      <c r="G10" s="11">
        <f t="shared" si="0"/>
        <v>12665</v>
      </c>
      <c r="H10" s="17">
        <f t="shared" si="1"/>
        <v>32.31</v>
      </c>
      <c r="I10" s="16">
        <f t="shared" si="2"/>
        <v>0.222</v>
      </c>
      <c r="J10" s="16">
        <f>ROUND(G10/13960-1,2)</f>
        <v>-0.09</v>
      </c>
    </row>
    <row r="11" spans="1:10" x14ac:dyDescent="0.25">
      <c r="A11" s="1" t="s">
        <v>16</v>
      </c>
      <c r="B11" s="1" t="s">
        <v>24</v>
      </c>
      <c r="C11" s="11">
        <v>9420</v>
      </c>
      <c r="D11" s="11"/>
      <c r="E11" s="11"/>
      <c r="F11" s="11"/>
      <c r="G11" s="11">
        <f t="shared" si="0"/>
        <v>9420</v>
      </c>
      <c r="H11" s="17">
        <f t="shared" si="1"/>
        <v>24.03</v>
      </c>
      <c r="I11" s="16">
        <f t="shared" si="2"/>
        <v>0.16500000000000001</v>
      </c>
      <c r="J11" s="16">
        <f>ROUND(G11/9710-1,2)</f>
        <v>-0.03</v>
      </c>
    </row>
    <row r="12" spans="1:10" x14ac:dyDescent="0.25">
      <c r="A12" s="1" t="s">
        <v>16</v>
      </c>
      <c r="B12" s="1" t="s">
        <v>26</v>
      </c>
      <c r="C12" s="11">
        <v>7560</v>
      </c>
      <c r="D12" s="11"/>
      <c r="E12" s="11"/>
      <c r="F12" s="11"/>
      <c r="G12" s="11">
        <f t="shared" si="0"/>
        <v>7560</v>
      </c>
      <c r="H12" s="17">
        <f t="shared" si="1"/>
        <v>19.29</v>
      </c>
      <c r="I12" s="16">
        <f t="shared" si="2"/>
        <v>0.13300000000000001</v>
      </c>
      <c r="J12" s="16">
        <f>ROUND(G12/12390-1,2)</f>
        <v>-0.39</v>
      </c>
    </row>
    <row r="13" spans="1:10" x14ac:dyDescent="0.25">
      <c r="A13" s="1" t="s">
        <v>16</v>
      </c>
      <c r="B13" s="1" t="s">
        <v>39</v>
      </c>
      <c r="C13" s="11"/>
      <c r="D13" s="11"/>
      <c r="E13" s="11"/>
      <c r="F13" s="11"/>
      <c r="G13" s="11">
        <f t="shared" si="0"/>
        <v>0</v>
      </c>
      <c r="H13" s="17">
        <f t="shared" si="1"/>
        <v>0</v>
      </c>
      <c r="I13" s="16">
        <f t="shared" si="2"/>
        <v>0</v>
      </c>
      <c r="J13" s="16"/>
    </row>
    <row r="14" spans="1:10" x14ac:dyDescent="0.25">
      <c r="A14" s="1" t="s">
        <v>16</v>
      </c>
      <c r="B14" s="1" t="s">
        <v>40</v>
      </c>
      <c r="C14" s="11"/>
      <c r="D14" s="11"/>
      <c r="E14" s="11"/>
      <c r="F14" s="11"/>
      <c r="G14" s="11">
        <f t="shared" si="0"/>
        <v>0</v>
      </c>
      <c r="H14" s="17">
        <f t="shared" si="1"/>
        <v>0</v>
      </c>
      <c r="I14" s="16">
        <f t="shared" si="2"/>
        <v>0</v>
      </c>
      <c r="J14" s="16">
        <f>ROUND(G14/1060-1,2)</f>
        <v>-1</v>
      </c>
    </row>
    <row r="15" spans="1:10" x14ac:dyDescent="0.25">
      <c r="A15" s="1" t="s">
        <v>16</v>
      </c>
      <c r="B15" s="1" t="s">
        <v>42</v>
      </c>
      <c r="C15" s="11"/>
      <c r="D15" s="11"/>
      <c r="E15" s="11"/>
      <c r="F15" s="11"/>
      <c r="G15" s="11">
        <f t="shared" si="0"/>
        <v>0</v>
      </c>
      <c r="H15" s="17">
        <f t="shared" si="1"/>
        <v>0</v>
      </c>
      <c r="I15" s="16">
        <f t="shared" si="2"/>
        <v>0</v>
      </c>
      <c r="J15" s="16">
        <f>ROUND(G15/980-1,2)</f>
        <v>-1</v>
      </c>
    </row>
    <row r="16" spans="1:10" x14ac:dyDescent="0.25">
      <c r="A16" s="1" t="s">
        <v>16</v>
      </c>
      <c r="B16" s="1" t="s">
        <v>35</v>
      </c>
      <c r="C16" s="11"/>
      <c r="D16" s="11"/>
      <c r="E16" s="11"/>
      <c r="F16" s="11"/>
      <c r="G16" s="11">
        <f t="shared" si="0"/>
        <v>0</v>
      </c>
      <c r="H16" s="17">
        <f t="shared" si="1"/>
        <v>0</v>
      </c>
      <c r="I16" s="16">
        <f t="shared" si="2"/>
        <v>0</v>
      </c>
      <c r="J16" s="16">
        <f>ROUND(G16/5475-1,2)</f>
        <v>-1</v>
      </c>
    </row>
    <row r="17" spans="1:10" x14ac:dyDescent="0.25">
      <c r="A17" s="1" t="s">
        <v>16</v>
      </c>
      <c r="B17" s="1" t="s">
        <v>43</v>
      </c>
      <c r="C17" s="11"/>
      <c r="D17" s="11"/>
      <c r="E17" s="11"/>
      <c r="F17" s="11"/>
      <c r="G17" s="11">
        <f t="shared" si="0"/>
        <v>0</v>
      </c>
      <c r="H17" s="17">
        <f t="shared" si="1"/>
        <v>0</v>
      </c>
      <c r="I17" s="16">
        <f t="shared" si="2"/>
        <v>0</v>
      </c>
      <c r="J17" s="16"/>
    </row>
    <row r="18" spans="1:10" x14ac:dyDescent="0.25">
      <c r="A18" s="1" t="s">
        <v>16</v>
      </c>
      <c r="B18" s="1" t="s">
        <v>37</v>
      </c>
      <c r="C18" s="11"/>
      <c r="D18" s="11"/>
      <c r="E18" s="11"/>
      <c r="F18" s="11"/>
      <c r="G18" s="11">
        <f t="shared" si="0"/>
        <v>0</v>
      </c>
      <c r="H18" s="17">
        <f t="shared" si="1"/>
        <v>0</v>
      </c>
      <c r="I18" s="16">
        <f t="shared" si="2"/>
        <v>0</v>
      </c>
      <c r="J18" s="16">
        <f>ROUND(G18/1870-1,2)</f>
        <v>-1</v>
      </c>
    </row>
    <row r="19" spans="1:10" x14ac:dyDescent="0.25">
      <c r="A19" s="1" t="s">
        <v>16</v>
      </c>
      <c r="B19" s="1" t="s">
        <v>23</v>
      </c>
      <c r="C19" s="11"/>
      <c r="D19" s="11"/>
      <c r="E19" s="11"/>
      <c r="F19" s="11"/>
      <c r="G19" s="11">
        <f t="shared" si="0"/>
        <v>0</v>
      </c>
      <c r="H19" s="17">
        <f t="shared" si="1"/>
        <v>0</v>
      </c>
      <c r="I19" s="16">
        <f t="shared" si="2"/>
        <v>0</v>
      </c>
      <c r="J19" s="16"/>
    </row>
    <row r="20" spans="1:10" x14ac:dyDescent="0.25">
      <c r="A20" s="1" t="s">
        <v>16</v>
      </c>
      <c r="B20" s="1" t="s">
        <v>29</v>
      </c>
      <c r="C20" s="11"/>
      <c r="D20" s="11"/>
      <c r="E20" s="11"/>
      <c r="F20" s="11"/>
      <c r="G20" s="11">
        <f t="shared" si="0"/>
        <v>0</v>
      </c>
      <c r="H20" s="17">
        <f t="shared" si="1"/>
        <v>0</v>
      </c>
      <c r="I20" s="16">
        <f t="shared" si="2"/>
        <v>0</v>
      </c>
      <c r="J20" s="16"/>
    </row>
    <row r="21" spans="1:10" x14ac:dyDescent="0.25">
      <c r="A21" s="1" t="s">
        <v>16</v>
      </c>
      <c r="B21" s="1" t="s">
        <v>38</v>
      </c>
      <c r="C21" s="11"/>
      <c r="D21" s="11"/>
      <c r="E21" s="11"/>
      <c r="F21" s="11"/>
      <c r="G21" s="11">
        <f t="shared" si="0"/>
        <v>0</v>
      </c>
      <c r="H21" s="17">
        <f t="shared" si="1"/>
        <v>0</v>
      </c>
      <c r="I21" s="16">
        <f t="shared" si="2"/>
        <v>0</v>
      </c>
      <c r="J21" s="16">
        <f>ROUND(G21/1460-1,2)</f>
        <v>-1</v>
      </c>
    </row>
    <row r="22" spans="1:10" x14ac:dyDescent="0.25">
      <c r="A22" s="1" t="s">
        <v>16</v>
      </c>
      <c r="B22" s="1" t="s">
        <v>95</v>
      </c>
      <c r="C22" s="11"/>
      <c r="D22" s="11"/>
      <c r="E22" s="11"/>
      <c r="F22" s="11"/>
      <c r="G22" s="11">
        <f t="shared" si="0"/>
        <v>0</v>
      </c>
      <c r="H22" s="17">
        <f t="shared" si="1"/>
        <v>0</v>
      </c>
      <c r="I22" s="16">
        <f t="shared" si="2"/>
        <v>0</v>
      </c>
      <c r="J22" s="16"/>
    </row>
    <row r="23" spans="1:10" x14ac:dyDescent="0.25">
      <c r="A23" s="1" t="s">
        <v>16</v>
      </c>
      <c r="B23" s="1" t="s">
        <v>41</v>
      </c>
      <c r="C23" s="11"/>
      <c r="D23" s="11"/>
      <c r="E23" s="11"/>
      <c r="F23" s="11"/>
      <c r="G23" s="11">
        <f t="shared" si="0"/>
        <v>0</v>
      </c>
      <c r="H23" s="17">
        <f t="shared" si="1"/>
        <v>0</v>
      </c>
      <c r="I23" s="16">
        <f t="shared" si="2"/>
        <v>0</v>
      </c>
      <c r="J23" s="16"/>
    </row>
    <row r="24" spans="1:10" x14ac:dyDescent="0.25">
      <c r="A24" s="1" t="s">
        <v>16</v>
      </c>
      <c r="B24" s="1" t="s">
        <v>25</v>
      </c>
      <c r="C24" s="11"/>
      <c r="D24" s="11"/>
      <c r="E24" s="11"/>
      <c r="F24" s="11"/>
      <c r="G24" s="11">
        <f t="shared" si="0"/>
        <v>0</v>
      </c>
      <c r="H24" s="17">
        <f t="shared" si="1"/>
        <v>0</v>
      </c>
      <c r="I24" s="16">
        <f t="shared" si="2"/>
        <v>0</v>
      </c>
      <c r="J24" s="16"/>
    </row>
    <row r="25" spans="1:10" x14ac:dyDescent="0.25">
      <c r="A25" s="1" t="s">
        <v>16</v>
      </c>
      <c r="B25" s="1" t="s">
        <v>21</v>
      </c>
      <c r="C25" s="11"/>
      <c r="D25" s="11"/>
      <c r="E25" s="11"/>
      <c r="F25" s="11"/>
      <c r="G25" s="11">
        <f t="shared" si="0"/>
        <v>0</v>
      </c>
      <c r="H25" s="17">
        <f t="shared" si="1"/>
        <v>0</v>
      </c>
      <c r="I25" s="16">
        <f t="shared" si="2"/>
        <v>0</v>
      </c>
      <c r="J25" s="16"/>
    </row>
    <row r="26" spans="1:10" x14ac:dyDescent="0.25">
      <c r="A26" s="1" t="s">
        <v>16</v>
      </c>
      <c r="B26" s="1" t="s">
        <v>31</v>
      </c>
      <c r="C26" s="11"/>
      <c r="D26" s="11"/>
      <c r="E26" s="11"/>
      <c r="F26" s="11"/>
      <c r="G26" s="11">
        <f t="shared" si="0"/>
        <v>0</v>
      </c>
      <c r="H26" s="17">
        <f t="shared" si="1"/>
        <v>0</v>
      </c>
      <c r="I26" s="16">
        <f t="shared" si="2"/>
        <v>0</v>
      </c>
      <c r="J26" s="16"/>
    </row>
    <row r="27" spans="1:10" x14ac:dyDescent="0.25">
      <c r="A27" s="1" t="s">
        <v>16</v>
      </c>
      <c r="B27" s="1" t="s">
        <v>118</v>
      </c>
      <c r="C27" s="11"/>
      <c r="D27" s="11"/>
      <c r="E27" s="11"/>
      <c r="F27" s="11"/>
      <c r="G27" s="11">
        <f t="shared" si="0"/>
        <v>0</v>
      </c>
      <c r="H27" s="17">
        <f t="shared" si="1"/>
        <v>0</v>
      </c>
      <c r="I27" s="16">
        <f t="shared" si="2"/>
        <v>0</v>
      </c>
      <c r="J27" s="16"/>
    </row>
    <row r="28" spans="1:10" x14ac:dyDescent="0.25">
      <c r="A28" s="1" t="s">
        <v>16</v>
      </c>
      <c r="B28" s="1" t="s">
        <v>22</v>
      </c>
      <c r="C28" s="11"/>
      <c r="D28" s="11"/>
      <c r="E28" s="11"/>
      <c r="F28" s="11"/>
      <c r="G28" s="11">
        <f t="shared" si="0"/>
        <v>0</v>
      </c>
      <c r="H28" s="17">
        <f t="shared" si="1"/>
        <v>0</v>
      </c>
      <c r="I28" s="16">
        <f t="shared" si="2"/>
        <v>0</v>
      </c>
      <c r="J28" s="16"/>
    </row>
    <row r="29" spans="1:10" x14ac:dyDescent="0.25">
      <c r="A29" s="1" t="s">
        <v>16</v>
      </c>
      <c r="B29" s="1" t="s">
        <v>30</v>
      </c>
      <c r="C29" s="11"/>
      <c r="D29" s="11"/>
      <c r="E29" s="11"/>
      <c r="F29" s="11"/>
      <c r="G29" s="11">
        <f t="shared" si="0"/>
        <v>0</v>
      </c>
      <c r="H29" s="17">
        <f t="shared" si="1"/>
        <v>0</v>
      </c>
      <c r="I29" s="16">
        <f t="shared" si="2"/>
        <v>0</v>
      </c>
      <c r="J29" s="16"/>
    </row>
    <row r="30" spans="1:10" x14ac:dyDescent="0.25">
      <c r="A30" s="1" t="s">
        <v>16</v>
      </c>
      <c r="B30" s="1" t="s">
        <v>32</v>
      </c>
      <c r="C30" s="11"/>
      <c r="D30" s="11"/>
      <c r="E30" s="11"/>
      <c r="F30" s="11"/>
      <c r="G30" s="11">
        <f t="shared" si="0"/>
        <v>0</v>
      </c>
      <c r="H30" s="17">
        <f t="shared" si="1"/>
        <v>0</v>
      </c>
      <c r="I30" s="16">
        <f t="shared" si="2"/>
        <v>0</v>
      </c>
      <c r="J30" s="16"/>
    </row>
    <row r="31" spans="1:10" x14ac:dyDescent="0.25">
      <c r="A31" s="1" t="s">
        <v>16</v>
      </c>
      <c r="B31" s="1" t="s">
        <v>34</v>
      </c>
      <c r="C31" s="11"/>
      <c r="D31" s="11"/>
      <c r="E31" s="11"/>
      <c r="F31" s="11"/>
      <c r="G31" s="11">
        <f t="shared" si="0"/>
        <v>0</v>
      </c>
      <c r="H31" s="17">
        <f t="shared" si="1"/>
        <v>0</v>
      </c>
      <c r="I31" s="16">
        <f t="shared" si="2"/>
        <v>0</v>
      </c>
      <c r="J31" s="16"/>
    </row>
    <row r="32" spans="1:10" x14ac:dyDescent="0.25">
      <c r="A32" s="1" t="s">
        <v>16</v>
      </c>
      <c r="B32" s="1" t="s">
        <v>36</v>
      </c>
      <c r="C32" s="11"/>
      <c r="D32" s="11"/>
      <c r="E32" s="11"/>
      <c r="F32" s="11"/>
      <c r="G32" s="11">
        <f t="shared" si="0"/>
        <v>0</v>
      </c>
      <c r="H32" s="17">
        <f t="shared" si="1"/>
        <v>0</v>
      </c>
      <c r="I32" s="16">
        <f t="shared" si="2"/>
        <v>0</v>
      </c>
      <c r="J32" s="16"/>
    </row>
    <row r="33" spans="1:10" x14ac:dyDescent="0.25">
      <c r="A33" s="1" t="s">
        <v>44</v>
      </c>
      <c r="B33" s="1" t="s">
        <v>45</v>
      </c>
      <c r="C33" s="11">
        <v>16840</v>
      </c>
      <c r="D33" s="11"/>
      <c r="E33" s="11"/>
      <c r="F33" s="11"/>
      <c r="G33" s="11">
        <f t="shared" si="0"/>
        <v>16840</v>
      </c>
      <c r="H33" s="17">
        <f t="shared" si="1"/>
        <v>42.96</v>
      </c>
      <c r="I33" s="16">
        <f t="shared" si="2"/>
        <v>0.29499999999999998</v>
      </c>
      <c r="J33" s="16">
        <f>ROUND(G33/26820-1,2)</f>
        <v>-0.37</v>
      </c>
    </row>
    <row r="34" spans="1:10" x14ac:dyDescent="0.25">
      <c r="A34" s="1" t="s">
        <v>44</v>
      </c>
      <c r="B34" s="1" t="s">
        <v>46</v>
      </c>
      <c r="C34" s="11"/>
      <c r="D34" s="11"/>
      <c r="E34" s="11">
        <v>3500</v>
      </c>
      <c r="F34" s="11"/>
      <c r="G34" s="11">
        <f t="shared" si="0"/>
        <v>3500</v>
      </c>
      <c r="H34" s="17">
        <f t="shared" si="1"/>
        <v>8.93</v>
      </c>
      <c r="I34" s="16">
        <f t="shared" si="2"/>
        <v>6.0999999999999999E-2</v>
      </c>
      <c r="J34" s="16">
        <f>ROUND(G34/2300-1,2)</f>
        <v>0.52</v>
      </c>
    </row>
    <row r="35" spans="1:10" x14ac:dyDescent="0.25">
      <c r="A35" s="1" t="s">
        <v>44</v>
      </c>
      <c r="B35" s="1" t="s">
        <v>47</v>
      </c>
      <c r="C35" s="11"/>
      <c r="D35" s="11"/>
      <c r="E35" s="11"/>
      <c r="F35" s="11"/>
      <c r="G35" s="11">
        <f t="shared" si="0"/>
        <v>0</v>
      </c>
      <c r="H35" s="17">
        <f t="shared" si="1"/>
        <v>0</v>
      </c>
      <c r="I35" s="16">
        <f t="shared" si="2"/>
        <v>0</v>
      </c>
      <c r="J35" s="16"/>
    </row>
    <row r="36" spans="1:10" x14ac:dyDescent="0.25">
      <c r="A36" s="1" t="s">
        <v>48</v>
      </c>
      <c r="B36" s="1" t="s">
        <v>51</v>
      </c>
      <c r="C36" s="11"/>
      <c r="D36" s="11"/>
      <c r="E36" s="11"/>
      <c r="F36" s="11"/>
      <c r="G36" s="11">
        <f t="shared" si="0"/>
        <v>0</v>
      </c>
      <c r="H36" s="17">
        <f t="shared" si="1"/>
        <v>0</v>
      </c>
      <c r="I36" s="16">
        <f t="shared" si="2"/>
        <v>0</v>
      </c>
      <c r="J36" s="16"/>
    </row>
    <row r="37" spans="1:10" x14ac:dyDescent="0.25">
      <c r="A37" s="21" t="s">
        <v>12</v>
      </c>
      <c r="B37" s="21"/>
      <c r="C37" s="12">
        <f t="shared" ref="C37:H37" si="3">SUM(C8:C36)</f>
        <v>53545</v>
      </c>
      <c r="D37" s="12">
        <f t="shared" si="3"/>
        <v>0</v>
      </c>
      <c r="E37" s="12">
        <f t="shared" si="3"/>
        <v>3500</v>
      </c>
      <c r="F37" s="12">
        <f t="shared" si="3"/>
        <v>0</v>
      </c>
      <c r="G37" s="12">
        <f t="shared" si="3"/>
        <v>57045</v>
      </c>
      <c r="H37" s="15">
        <f t="shared" si="3"/>
        <v>145.53000000000003</v>
      </c>
      <c r="I37" s="18"/>
      <c r="J37" s="18"/>
    </row>
    <row r="38" spans="1:10" x14ac:dyDescent="0.25">
      <c r="A38" s="21" t="s">
        <v>14</v>
      </c>
      <c r="B38" s="21"/>
      <c r="C38" s="13">
        <f>ROUND(C37/G37,2)</f>
        <v>0.94</v>
      </c>
      <c r="D38" s="13">
        <f>ROUND(D37/G37,2)</f>
        <v>0</v>
      </c>
      <c r="E38" s="13">
        <f>ROUND(E37/G37,2)</f>
        <v>0.06</v>
      </c>
      <c r="F38" s="13">
        <f>ROUND(F37/G37,2)</f>
        <v>0</v>
      </c>
      <c r="G38" s="14"/>
      <c r="H38" s="14"/>
      <c r="I38" s="18"/>
      <c r="J38" s="18"/>
    </row>
    <row r="39" spans="1:10" x14ac:dyDescent="0.25">
      <c r="A39" s="2" t="s">
        <v>52</v>
      </c>
      <c r="B39" s="2"/>
      <c r="C39" s="14"/>
      <c r="D39" s="14"/>
      <c r="E39" s="14"/>
      <c r="F39" s="14"/>
      <c r="G39" s="14"/>
      <c r="H39" s="14"/>
      <c r="I39" s="18"/>
      <c r="J39" s="18"/>
    </row>
    <row r="40" spans="1:10" x14ac:dyDescent="0.25">
      <c r="C40" s="9"/>
      <c r="D40" s="9"/>
      <c r="E40" s="9"/>
      <c r="F40" s="9"/>
      <c r="G40" s="9"/>
      <c r="H40" s="9"/>
      <c r="I40" s="10"/>
      <c r="J40" s="10"/>
    </row>
    <row r="41" spans="1:10" x14ac:dyDescent="0.25">
      <c r="C41" s="9"/>
      <c r="D41" s="9"/>
      <c r="E41" s="9"/>
      <c r="F41" s="9"/>
      <c r="G41" s="9"/>
      <c r="H41" s="9"/>
      <c r="I41" s="10"/>
      <c r="J41" s="10"/>
    </row>
    <row r="42" spans="1:10" x14ac:dyDescent="0.25">
      <c r="C42" s="9"/>
      <c r="D42" s="9"/>
      <c r="E42" s="9"/>
      <c r="F42" s="9"/>
      <c r="G42" s="9"/>
      <c r="H42" s="9"/>
      <c r="I42" s="10"/>
      <c r="J42" s="10"/>
    </row>
    <row r="43" spans="1:10" x14ac:dyDescent="0.25">
      <c r="A43" s="21" t="s">
        <v>53</v>
      </c>
      <c r="B43" s="21"/>
      <c r="C43" s="12" t="s">
        <v>8</v>
      </c>
      <c r="D43" s="12" t="s">
        <v>9</v>
      </c>
      <c r="E43" s="12" t="s">
        <v>10</v>
      </c>
      <c r="F43" s="12" t="s">
        <v>11</v>
      </c>
      <c r="G43" s="12" t="s">
        <v>12</v>
      </c>
      <c r="H43" s="15" t="s">
        <v>13</v>
      </c>
      <c r="I43" s="18"/>
      <c r="J43" s="18"/>
    </row>
    <row r="44" spans="1:10" x14ac:dyDescent="0.25">
      <c r="A44" s="20" t="s">
        <v>54</v>
      </c>
      <c r="B44" s="20"/>
      <c r="C44" s="11">
        <v>36705</v>
      </c>
      <c r="D44" s="11">
        <v>0</v>
      </c>
      <c r="E44" s="11">
        <v>0</v>
      </c>
      <c r="F44" s="11">
        <v>0</v>
      </c>
      <c r="G44" s="11">
        <f>SUM(C44:F44)</f>
        <v>36705</v>
      </c>
      <c r="H44" s="17">
        <f>ROUND(G44/392,2)</f>
        <v>93.64</v>
      </c>
      <c r="I44" s="10"/>
      <c r="J44" s="10"/>
    </row>
    <row r="45" spans="1:10" x14ac:dyDescent="0.25">
      <c r="A45" s="20" t="s">
        <v>55</v>
      </c>
      <c r="B45" s="20"/>
      <c r="C45" s="11">
        <v>16840</v>
      </c>
      <c r="D45" s="11">
        <v>0</v>
      </c>
      <c r="E45" s="11">
        <v>3500</v>
      </c>
      <c r="F45" s="11">
        <v>0</v>
      </c>
      <c r="G45" s="11">
        <f>SUM(C45:F45)</f>
        <v>20340</v>
      </c>
      <c r="H45" s="17">
        <f>ROUND(G45/392,2)</f>
        <v>51.89</v>
      </c>
      <c r="I45" s="10"/>
      <c r="J45" s="10"/>
    </row>
    <row r="46" spans="1:10" x14ac:dyDescent="0.25">
      <c r="A46" s="20" t="s">
        <v>56</v>
      </c>
      <c r="B46" s="20"/>
      <c r="C46" s="11">
        <v>0</v>
      </c>
      <c r="D46" s="11">
        <v>0</v>
      </c>
      <c r="E46" s="11">
        <v>0</v>
      </c>
      <c r="F46" s="11">
        <v>0</v>
      </c>
      <c r="G46" s="11">
        <f>SUM(C46:F46)</f>
        <v>0</v>
      </c>
      <c r="H46" s="17">
        <f>ROUND(G46/392,2)</f>
        <v>0</v>
      </c>
      <c r="I46" s="10"/>
      <c r="J46" s="10"/>
    </row>
    <row r="47" spans="1:10" x14ac:dyDescent="0.25">
      <c r="C47" s="9"/>
      <c r="D47" s="9"/>
      <c r="E47" s="9"/>
      <c r="F47" s="9"/>
      <c r="G47" s="9"/>
      <c r="H47" s="9"/>
      <c r="I47" s="10"/>
      <c r="J47" s="10"/>
    </row>
    <row r="48" spans="1:10" x14ac:dyDescent="0.25">
      <c r="C48" s="9"/>
      <c r="D48" s="9"/>
      <c r="E48" s="9"/>
      <c r="F48" s="9"/>
      <c r="G48" s="9"/>
      <c r="H48" s="9"/>
      <c r="I48" s="10"/>
      <c r="J48" s="10"/>
    </row>
    <row r="49" spans="1:10" x14ac:dyDescent="0.25">
      <c r="C49" s="9"/>
      <c r="D49" s="9"/>
      <c r="E49" s="9"/>
      <c r="F49" s="9"/>
      <c r="G49" s="9"/>
      <c r="H49" s="9"/>
      <c r="I49" s="10"/>
      <c r="J49" s="10"/>
    </row>
    <row r="50" spans="1:10" x14ac:dyDescent="0.25">
      <c r="C50" s="9"/>
      <c r="D50" s="9"/>
      <c r="E50" s="9"/>
      <c r="F50" s="9"/>
      <c r="G50" s="9"/>
      <c r="H50" s="9"/>
      <c r="I50" s="10"/>
      <c r="J50" s="10"/>
    </row>
    <row r="51" spans="1:10" x14ac:dyDescent="0.25">
      <c r="A51" s="21" t="s">
        <v>57</v>
      </c>
      <c r="B51" s="21"/>
      <c r="C51" s="15" t="s">
        <v>2</v>
      </c>
      <c r="D51" s="15">
        <v>2023</v>
      </c>
      <c r="E51" s="15" t="s">
        <v>59</v>
      </c>
      <c r="F51" s="14"/>
      <c r="G51" s="15" t="s">
        <v>60</v>
      </c>
      <c r="H51" s="15" t="s">
        <v>2</v>
      </c>
      <c r="I51" s="13" t="s">
        <v>61</v>
      </c>
      <c r="J51" s="13" t="s">
        <v>59</v>
      </c>
    </row>
    <row r="52" spans="1:10" x14ac:dyDescent="0.25">
      <c r="A52" s="20" t="s">
        <v>58</v>
      </c>
      <c r="B52" s="20"/>
      <c r="C52" s="16">
        <f>ROUND(0.6982, 4)</f>
        <v>0.69820000000000004</v>
      </c>
      <c r="D52" s="16">
        <f>ROUND(0.7232, 4)</f>
        <v>0.72319999999999995</v>
      </c>
      <c r="E52" s="16">
        <f>ROUND(0.777, 4)</f>
        <v>0.77700000000000002</v>
      </c>
      <c r="F52" s="9"/>
      <c r="G52" s="15" t="s">
        <v>62</v>
      </c>
      <c r="H52" s="22" t="s">
        <v>63</v>
      </c>
      <c r="I52" s="24" t="s">
        <v>64</v>
      </c>
      <c r="J52" s="24" t="s">
        <v>65</v>
      </c>
    </row>
    <row r="53" spans="1:10" x14ac:dyDescent="0.25">
      <c r="A53" s="20" t="s">
        <v>66</v>
      </c>
      <c r="B53" s="20"/>
      <c r="C53" s="16">
        <f>ROUND(0.6522, 4)</f>
        <v>0.6522</v>
      </c>
      <c r="D53" s="16">
        <f>ROUND(0.6889, 4)</f>
        <v>0.68889999999999996</v>
      </c>
      <c r="E53" s="16">
        <f>ROUND(0.7608, 4)</f>
        <v>0.76080000000000003</v>
      </c>
      <c r="F53" s="9"/>
      <c r="G53" s="15" t="s">
        <v>67</v>
      </c>
      <c r="H53" s="23"/>
      <c r="I53" s="25"/>
      <c r="J53" s="25"/>
    </row>
    <row r="54" spans="1:10" x14ac:dyDescent="0.25">
      <c r="C54" s="9"/>
      <c r="D54" s="9"/>
      <c r="E54" s="9"/>
      <c r="F54" s="9"/>
      <c r="G54" s="9"/>
      <c r="H54" s="9"/>
      <c r="I54" s="10"/>
      <c r="J54" s="10"/>
    </row>
    <row r="55" spans="1:10" x14ac:dyDescent="0.25">
      <c r="C55" s="9"/>
      <c r="D55" s="9"/>
      <c r="E55" s="9"/>
      <c r="F55" s="9"/>
      <c r="G55" s="9"/>
      <c r="H55" s="9"/>
      <c r="I55" s="10"/>
      <c r="J55" s="10"/>
    </row>
    <row r="56" spans="1:10" x14ac:dyDescent="0.25">
      <c r="C56" s="9"/>
      <c r="D56" s="9"/>
      <c r="E56" s="9"/>
      <c r="F56" s="9"/>
      <c r="G56" s="9"/>
      <c r="H56" s="9"/>
      <c r="I56" s="10"/>
      <c r="J56" s="10"/>
    </row>
    <row r="57" spans="1:10" x14ac:dyDescent="0.25">
      <c r="A57" s="21" t="s">
        <v>68</v>
      </c>
      <c r="B57" s="21"/>
      <c r="C57" s="15" t="s">
        <v>2</v>
      </c>
      <c r="D57" s="15" t="s">
        <v>313</v>
      </c>
      <c r="E57" s="15" t="s">
        <v>70</v>
      </c>
      <c r="F57" s="15" t="s">
        <v>71</v>
      </c>
      <c r="G57" s="15" t="s">
        <v>72</v>
      </c>
      <c r="H57" s="14"/>
      <c r="I57" s="18"/>
      <c r="J57" s="18"/>
    </row>
    <row r="58" spans="1:10" x14ac:dyDescent="0.25">
      <c r="A58" s="20" t="s">
        <v>73</v>
      </c>
      <c r="B58" s="20"/>
      <c r="C58" s="17">
        <v>42.96</v>
      </c>
      <c r="D58" s="17">
        <v>162.63</v>
      </c>
      <c r="E58" s="17">
        <v>81.84</v>
      </c>
      <c r="F58" s="17">
        <v>48</v>
      </c>
      <c r="G58" s="17">
        <f>12/4*C58</f>
        <v>128.88</v>
      </c>
      <c r="H58" s="9"/>
      <c r="I58" s="10"/>
      <c r="J58" s="10"/>
    </row>
    <row r="59" spans="1:10" x14ac:dyDescent="0.25">
      <c r="A59" s="20" t="s">
        <v>74</v>
      </c>
      <c r="B59" s="20"/>
      <c r="C59" s="17">
        <v>19.29</v>
      </c>
      <c r="D59" s="17">
        <v>84.43</v>
      </c>
      <c r="E59" s="17">
        <v>55.63</v>
      </c>
      <c r="F59" s="17">
        <v>55.33</v>
      </c>
      <c r="G59" s="17">
        <f>12/4*C59</f>
        <v>57.87</v>
      </c>
      <c r="H59" s="9"/>
      <c r="I59" s="10"/>
      <c r="J59" s="10"/>
    </row>
    <row r="60" spans="1:10" x14ac:dyDescent="0.25">
      <c r="A60" s="20" t="s">
        <v>75</v>
      </c>
      <c r="B60" s="20"/>
      <c r="C60" s="17">
        <v>93.64</v>
      </c>
      <c r="D60" s="17">
        <v>428.44</v>
      </c>
      <c r="E60" s="17">
        <v>257.88</v>
      </c>
      <c r="F60" s="17">
        <v>242.78</v>
      </c>
      <c r="G60" s="17">
        <f>12/4*C60</f>
        <v>280.92</v>
      </c>
      <c r="H60" s="9"/>
      <c r="I60" s="10"/>
      <c r="J60" s="10"/>
    </row>
    <row r="61" spans="1:10" x14ac:dyDescent="0.25">
      <c r="A61" s="20" t="s">
        <v>76</v>
      </c>
      <c r="B61" s="20"/>
      <c r="C61" s="17">
        <v>51.89</v>
      </c>
      <c r="D61" s="17">
        <v>217.41</v>
      </c>
      <c r="E61" s="17">
        <v>103.14</v>
      </c>
      <c r="F61" s="17">
        <v>68.31</v>
      </c>
      <c r="G61" s="17">
        <f>12/4*C61</f>
        <v>155.67000000000002</v>
      </c>
      <c r="H61" s="9"/>
      <c r="I61" s="10"/>
      <c r="J61" s="10"/>
    </row>
    <row r="62" spans="1:10" x14ac:dyDescent="0.25">
      <c r="C62" s="9"/>
      <c r="D62" s="9"/>
      <c r="E62" s="9"/>
      <c r="F62" s="9"/>
      <c r="G62" s="9"/>
      <c r="H62" s="9"/>
      <c r="I62" s="10"/>
      <c r="J62" s="10"/>
    </row>
    <row r="63" spans="1:10" x14ac:dyDescent="0.25">
      <c r="C63" s="9"/>
      <c r="D63" s="9"/>
      <c r="E63" s="9"/>
      <c r="F63" s="9"/>
      <c r="G63" s="9"/>
      <c r="H63" s="9"/>
      <c r="I63" s="10"/>
      <c r="J63" s="10"/>
    </row>
    <row r="64" spans="1:10" x14ac:dyDescent="0.25">
      <c r="A64" s="19" t="s">
        <v>60</v>
      </c>
      <c r="B64" s="26"/>
      <c r="C64" s="9"/>
      <c r="D64" s="9"/>
      <c r="E64" s="9"/>
      <c r="F64" s="9"/>
      <c r="G64" s="9"/>
      <c r="H64" s="9"/>
      <c r="I64" s="10"/>
      <c r="J64" s="10"/>
    </row>
    <row r="65" spans="1:10" x14ac:dyDescent="0.25">
      <c r="A65" s="3" t="s">
        <v>77</v>
      </c>
      <c r="B65" s="1" t="s">
        <v>314</v>
      </c>
      <c r="C65" s="9"/>
      <c r="D65" s="9"/>
      <c r="E65" s="9"/>
      <c r="F65" s="9"/>
      <c r="G65" s="9"/>
      <c r="H65" s="9"/>
      <c r="I65" s="10"/>
      <c r="J65" s="10"/>
    </row>
    <row r="66" spans="1:10" x14ac:dyDescent="0.25">
      <c r="A66" s="3" t="s">
        <v>70</v>
      </c>
      <c r="B66" s="1" t="s">
        <v>79</v>
      </c>
      <c r="C66" s="9"/>
      <c r="D66" s="9"/>
      <c r="E66" s="9"/>
      <c r="F66" s="9"/>
      <c r="G66" s="9"/>
      <c r="H66" s="9"/>
      <c r="I66" s="10"/>
      <c r="J66" s="10"/>
    </row>
    <row r="67" spans="1:10" x14ac:dyDescent="0.25">
      <c r="A67" s="3" t="s">
        <v>71</v>
      </c>
      <c r="B67" s="1" t="s">
        <v>80</v>
      </c>
      <c r="C67" s="9"/>
      <c r="D67" s="9"/>
      <c r="E67" s="9"/>
      <c r="F67" s="9"/>
      <c r="G67" s="9"/>
      <c r="H67" s="9"/>
      <c r="I67" s="10"/>
      <c r="J67" s="10"/>
    </row>
    <row r="68" spans="1:10" x14ac:dyDescent="0.25">
      <c r="A68" s="3" t="s">
        <v>72</v>
      </c>
      <c r="B68" s="1" t="s">
        <v>81</v>
      </c>
      <c r="C68" s="9"/>
      <c r="D68" s="9"/>
      <c r="E68" s="9"/>
      <c r="F68" s="9"/>
      <c r="G68" s="9"/>
      <c r="H68" s="9"/>
      <c r="I68" s="10"/>
      <c r="J68" s="10"/>
    </row>
    <row r="69" spans="1:10" x14ac:dyDescent="0.25">
      <c r="C69" s="9"/>
      <c r="D69" s="9"/>
      <c r="E69" s="9"/>
      <c r="F69" s="9"/>
      <c r="G69" s="9"/>
      <c r="H69" s="9"/>
      <c r="I69" s="10"/>
      <c r="J69" s="10"/>
    </row>
    <row r="70" spans="1:10" x14ac:dyDescent="0.25">
      <c r="C70" s="9"/>
      <c r="D70" s="9"/>
      <c r="E70" s="9"/>
      <c r="F70" s="9"/>
      <c r="G70" s="9"/>
      <c r="H70" s="9"/>
      <c r="I70" s="10"/>
      <c r="J70" s="10"/>
    </row>
    <row r="71" spans="1:10" x14ac:dyDescent="0.25">
      <c r="C71" s="9"/>
      <c r="D71" s="9"/>
      <c r="E71" s="9"/>
      <c r="F71" s="9"/>
      <c r="G71" s="9"/>
      <c r="H71" s="9"/>
      <c r="I71" s="10"/>
      <c r="J71" s="10"/>
    </row>
    <row r="72" spans="1:10" x14ac:dyDescent="0.25">
      <c r="C72" s="9"/>
      <c r="D72" s="9"/>
      <c r="E72" s="9"/>
      <c r="F72" s="9"/>
      <c r="G72" s="9"/>
      <c r="H72" s="9"/>
      <c r="I72" s="10"/>
      <c r="J72" s="10"/>
    </row>
    <row r="73" spans="1:10" x14ac:dyDescent="0.25">
      <c r="C73" s="9"/>
      <c r="D73" s="9"/>
      <c r="E73" s="9"/>
      <c r="F73" s="9"/>
      <c r="G73" s="9"/>
      <c r="H73" s="9"/>
      <c r="I73" s="10"/>
      <c r="J73" s="10"/>
    </row>
    <row r="74" spans="1:10" x14ac:dyDescent="0.25">
      <c r="C74" s="9"/>
      <c r="D74" s="9"/>
      <c r="E74" s="9"/>
      <c r="F74" s="9"/>
      <c r="G74" s="9"/>
      <c r="H74" s="9"/>
      <c r="I74" s="10"/>
      <c r="J74" s="10"/>
    </row>
    <row r="75" spans="1:10" x14ac:dyDescent="0.25">
      <c r="C75" s="9"/>
      <c r="D75" s="9"/>
      <c r="E75" s="9"/>
      <c r="F75" s="9"/>
      <c r="G75" s="9"/>
      <c r="H75" s="9"/>
      <c r="I75" s="10"/>
      <c r="J75" s="10"/>
    </row>
    <row r="76" spans="1:10" x14ac:dyDescent="0.25">
      <c r="C76" s="9"/>
      <c r="D76" s="9"/>
      <c r="E76" s="9"/>
      <c r="F76" s="9"/>
      <c r="G76" s="9"/>
      <c r="H76" s="9"/>
      <c r="I76" s="10"/>
      <c r="J76" s="10"/>
    </row>
  </sheetData>
  <mergeCells count="19">
    <mergeCell ref="A59:B59"/>
    <mergeCell ref="A60:B60"/>
    <mergeCell ref="A61:B61"/>
    <mergeCell ref="A64:B64"/>
    <mergeCell ref="I52:I53"/>
    <mergeCell ref="J52:J53"/>
    <mergeCell ref="A53:B53"/>
    <mergeCell ref="A57:B57"/>
    <mergeCell ref="A58:B58"/>
    <mergeCell ref="A45:B45"/>
    <mergeCell ref="A46:B46"/>
    <mergeCell ref="A51:B51"/>
    <mergeCell ref="A52:B52"/>
    <mergeCell ref="H52:H53"/>
    <mergeCell ref="C7:G7"/>
    <mergeCell ref="A37:B37"/>
    <mergeCell ref="A38:B38"/>
    <mergeCell ref="A43:B43"/>
    <mergeCell ref="A44:B44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A2:J76"/>
  <sheetViews>
    <sheetView workbookViewId="0">
      <selection activeCell="C9" sqref="C9:J68"/>
    </sheetView>
  </sheetViews>
  <sheetFormatPr defaultRowHeight="15" x14ac:dyDescent="0.25"/>
  <cols>
    <col min="1" max="1" width="38.85546875" bestFit="1" customWidth="1"/>
    <col min="2" max="2" width="79" bestFit="1" customWidth="1"/>
    <col min="3" max="3" width="14" bestFit="1" customWidth="1"/>
    <col min="4" max="4" width="27" bestFit="1" customWidth="1"/>
    <col min="5" max="5" width="16.42578125" bestFit="1" customWidth="1"/>
    <col min="6" max="6" width="10.5703125" bestFit="1" customWidth="1"/>
    <col min="7" max="7" width="68.28515625" bestFit="1" customWidth="1"/>
    <col min="8" max="9" width="20" bestFit="1" customWidth="1"/>
    <col min="10" max="10" width="30.5703125" bestFit="1" customWidth="1"/>
  </cols>
  <sheetData>
    <row r="2" spans="1:10" ht="18.75" x14ac:dyDescent="0.3">
      <c r="A2" s="3" t="s">
        <v>0</v>
      </c>
      <c r="B2" s="4" t="s">
        <v>315</v>
      </c>
    </row>
    <row r="3" spans="1:10" x14ac:dyDescent="0.25">
      <c r="A3" s="3" t="s">
        <v>2</v>
      </c>
      <c r="B3" s="1" t="s">
        <v>3</v>
      </c>
    </row>
    <row r="4" spans="1:10" x14ac:dyDescent="0.25">
      <c r="A4" s="3" t="s">
        <v>4</v>
      </c>
      <c r="B4" s="1">
        <v>3688</v>
      </c>
    </row>
    <row r="7" spans="1:10" x14ac:dyDescent="0.25">
      <c r="C7" s="19" t="s">
        <v>5</v>
      </c>
      <c r="D7" s="20"/>
      <c r="E7" s="20"/>
      <c r="F7" s="20"/>
      <c r="G7" s="20"/>
    </row>
    <row r="8" spans="1:10" x14ac:dyDescent="0.25">
      <c r="A8" s="3" t="s">
        <v>6</v>
      </c>
      <c r="B8" s="3" t="s">
        <v>7</v>
      </c>
      <c r="C8" s="3" t="s">
        <v>8</v>
      </c>
      <c r="D8" s="3" t="s">
        <v>9</v>
      </c>
      <c r="E8" s="3" t="s">
        <v>10</v>
      </c>
      <c r="F8" s="3" t="s">
        <v>11</v>
      </c>
      <c r="G8" s="3" t="s">
        <v>12</v>
      </c>
      <c r="H8" s="3" t="s">
        <v>13</v>
      </c>
      <c r="I8" s="3" t="s">
        <v>14</v>
      </c>
      <c r="J8" s="3" t="s">
        <v>15</v>
      </c>
    </row>
    <row r="9" spans="1:10" x14ac:dyDescent="0.25">
      <c r="A9" s="1" t="s">
        <v>16</v>
      </c>
      <c r="B9" s="1" t="s">
        <v>19</v>
      </c>
      <c r="C9" s="11">
        <v>44400</v>
      </c>
      <c r="D9" s="11"/>
      <c r="E9" s="11">
        <v>1060</v>
      </c>
      <c r="F9" s="11"/>
      <c r="G9" s="11">
        <f t="shared" ref="G9:G44" si="0">SUM(C9:F9)</f>
        <v>45460</v>
      </c>
      <c r="H9" s="17">
        <f t="shared" ref="H9:H44" si="1">ROUND(G9/3688,2)</f>
        <v>12.33</v>
      </c>
      <c r="I9" s="16">
        <f t="shared" ref="I9:I44" si="2">ROUND(G9/$G$45,3)</f>
        <v>0.126</v>
      </c>
      <c r="J9" s="16">
        <f>ROUND(G9/42460-1,2)</f>
        <v>7.0000000000000007E-2</v>
      </c>
    </row>
    <row r="10" spans="1:10" x14ac:dyDescent="0.25">
      <c r="A10" s="1" t="s">
        <v>16</v>
      </c>
      <c r="B10" s="1" t="s">
        <v>20</v>
      </c>
      <c r="C10" s="11">
        <v>44370</v>
      </c>
      <c r="D10" s="11"/>
      <c r="E10" s="11"/>
      <c r="F10" s="11"/>
      <c r="G10" s="11">
        <f t="shared" si="0"/>
        <v>44370</v>
      </c>
      <c r="H10" s="17">
        <f t="shared" si="1"/>
        <v>12.03</v>
      </c>
      <c r="I10" s="16">
        <f t="shared" si="2"/>
        <v>0.123</v>
      </c>
      <c r="J10" s="16">
        <f>ROUND(G10/40680-1,2)</f>
        <v>0.09</v>
      </c>
    </row>
    <row r="11" spans="1:10" x14ac:dyDescent="0.25">
      <c r="A11" s="1" t="s">
        <v>16</v>
      </c>
      <c r="B11" s="1" t="s">
        <v>21</v>
      </c>
      <c r="C11" s="11"/>
      <c r="D11" s="11"/>
      <c r="E11" s="11">
        <v>60</v>
      </c>
      <c r="F11" s="11"/>
      <c r="G11" s="11">
        <f t="shared" si="0"/>
        <v>60</v>
      </c>
      <c r="H11" s="17">
        <f t="shared" si="1"/>
        <v>0.02</v>
      </c>
      <c r="I11" s="16">
        <f t="shared" si="2"/>
        <v>0</v>
      </c>
      <c r="J11" s="16"/>
    </row>
    <row r="12" spans="1:10" x14ac:dyDescent="0.25">
      <c r="A12" s="1" t="s">
        <v>16</v>
      </c>
      <c r="B12" s="1" t="s">
        <v>23</v>
      </c>
      <c r="C12" s="11"/>
      <c r="D12" s="11"/>
      <c r="E12" s="11">
        <v>15200</v>
      </c>
      <c r="F12" s="11"/>
      <c r="G12" s="11">
        <f t="shared" si="0"/>
        <v>15200</v>
      </c>
      <c r="H12" s="17">
        <f t="shared" si="1"/>
        <v>4.12</v>
      </c>
      <c r="I12" s="16">
        <f t="shared" si="2"/>
        <v>4.2000000000000003E-2</v>
      </c>
      <c r="J12" s="16">
        <f>ROUND(G12/17300-1,2)</f>
        <v>-0.12</v>
      </c>
    </row>
    <row r="13" spans="1:10" x14ac:dyDescent="0.25">
      <c r="A13" s="1" t="s">
        <v>16</v>
      </c>
      <c r="B13" s="1" t="s">
        <v>24</v>
      </c>
      <c r="C13" s="11">
        <v>50220</v>
      </c>
      <c r="D13" s="11"/>
      <c r="E13" s="11">
        <v>3380</v>
      </c>
      <c r="F13" s="11"/>
      <c r="G13" s="11">
        <f t="shared" si="0"/>
        <v>53600</v>
      </c>
      <c r="H13" s="17">
        <f t="shared" si="1"/>
        <v>14.53</v>
      </c>
      <c r="I13" s="16">
        <f t="shared" si="2"/>
        <v>0.14899999999999999</v>
      </c>
      <c r="J13" s="16">
        <f>ROUND(G13/61290-1,2)</f>
        <v>-0.13</v>
      </c>
    </row>
    <row r="14" spans="1:10" x14ac:dyDescent="0.25">
      <c r="A14" s="1" t="s">
        <v>16</v>
      </c>
      <c r="B14" s="1" t="s">
        <v>25</v>
      </c>
      <c r="C14" s="11"/>
      <c r="D14" s="11"/>
      <c r="E14" s="11">
        <v>930</v>
      </c>
      <c r="F14" s="11"/>
      <c r="G14" s="11">
        <f t="shared" si="0"/>
        <v>930</v>
      </c>
      <c r="H14" s="17">
        <f t="shared" si="1"/>
        <v>0.25</v>
      </c>
      <c r="I14" s="16">
        <f t="shared" si="2"/>
        <v>3.0000000000000001E-3</v>
      </c>
      <c r="J14" s="16">
        <f>ROUND(G14/390-1,2)</f>
        <v>1.38</v>
      </c>
    </row>
    <row r="15" spans="1:10" x14ac:dyDescent="0.25">
      <c r="A15" s="1" t="s">
        <v>16</v>
      </c>
      <c r="B15" s="1" t="s">
        <v>26</v>
      </c>
      <c r="C15" s="11">
        <v>59700</v>
      </c>
      <c r="D15" s="11"/>
      <c r="E15" s="11"/>
      <c r="F15" s="11"/>
      <c r="G15" s="11">
        <f t="shared" si="0"/>
        <v>59700</v>
      </c>
      <c r="H15" s="17">
        <f t="shared" si="1"/>
        <v>16.190000000000001</v>
      </c>
      <c r="I15" s="16">
        <f t="shared" si="2"/>
        <v>0.16600000000000001</v>
      </c>
      <c r="J15" s="16">
        <f>ROUND(G15/58820-1,2)</f>
        <v>0.01</v>
      </c>
    </row>
    <row r="16" spans="1:10" x14ac:dyDescent="0.25">
      <c r="A16" s="1" t="s">
        <v>16</v>
      </c>
      <c r="B16" s="1" t="s">
        <v>27</v>
      </c>
      <c r="C16" s="11"/>
      <c r="D16" s="11"/>
      <c r="E16" s="11">
        <v>85</v>
      </c>
      <c r="F16" s="11"/>
      <c r="G16" s="11">
        <f t="shared" si="0"/>
        <v>85</v>
      </c>
      <c r="H16" s="17">
        <f t="shared" si="1"/>
        <v>0.02</v>
      </c>
      <c r="I16" s="16">
        <f t="shared" si="2"/>
        <v>0</v>
      </c>
      <c r="J16" s="16">
        <f>ROUND(G16/544-1,2)</f>
        <v>-0.84</v>
      </c>
    </row>
    <row r="17" spans="1:10" x14ac:dyDescent="0.25">
      <c r="A17" s="1" t="s">
        <v>16</v>
      </c>
      <c r="B17" s="1" t="s">
        <v>28</v>
      </c>
      <c r="C17" s="11"/>
      <c r="D17" s="11"/>
      <c r="E17" s="11">
        <v>62</v>
      </c>
      <c r="F17" s="11"/>
      <c r="G17" s="11">
        <f t="shared" si="0"/>
        <v>62</v>
      </c>
      <c r="H17" s="17">
        <f t="shared" si="1"/>
        <v>0.02</v>
      </c>
      <c r="I17" s="16">
        <f t="shared" si="2"/>
        <v>0</v>
      </c>
      <c r="J17" s="16">
        <f>ROUND(G17/61-1,2)</f>
        <v>0.02</v>
      </c>
    </row>
    <row r="18" spans="1:10" x14ac:dyDescent="0.25">
      <c r="A18" s="1" t="s">
        <v>16</v>
      </c>
      <c r="B18" s="1" t="s">
        <v>29</v>
      </c>
      <c r="C18" s="11"/>
      <c r="D18" s="11"/>
      <c r="E18" s="11">
        <v>350</v>
      </c>
      <c r="F18" s="11"/>
      <c r="G18" s="11">
        <f t="shared" si="0"/>
        <v>350</v>
      </c>
      <c r="H18" s="17">
        <f t="shared" si="1"/>
        <v>0.09</v>
      </c>
      <c r="I18" s="16">
        <f t="shared" si="2"/>
        <v>1E-3</v>
      </c>
      <c r="J18" s="16">
        <f>ROUND(G18/360-1,2)</f>
        <v>-0.03</v>
      </c>
    </row>
    <row r="19" spans="1:10" x14ac:dyDescent="0.25">
      <c r="A19" s="1" t="s">
        <v>16</v>
      </c>
      <c r="B19" s="1" t="s">
        <v>30</v>
      </c>
      <c r="C19" s="11"/>
      <c r="D19" s="11"/>
      <c r="E19" s="11">
        <v>250</v>
      </c>
      <c r="F19" s="11"/>
      <c r="G19" s="11">
        <f t="shared" si="0"/>
        <v>250</v>
      </c>
      <c r="H19" s="17">
        <f t="shared" si="1"/>
        <v>7.0000000000000007E-2</v>
      </c>
      <c r="I19" s="16">
        <f t="shared" si="2"/>
        <v>1E-3</v>
      </c>
      <c r="J19" s="16">
        <f>ROUND(G19/150-1,2)</f>
        <v>0.67</v>
      </c>
    </row>
    <row r="20" spans="1:10" x14ac:dyDescent="0.25">
      <c r="A20" s="1" t="s">
        <v>16</v>
      </c>
      <c r="B20" s="1" t="s">
        <v>31</v>
      </c>
      <c r="C20" s="11"/>
      <c r="D20" s="11"/>
      <c r="E20" s="11">
        <v>930</v>
      </c>
      <c r="F20" s="11"/>
      <c r="G20" s="11">
        <f t="shared" si="0"/>
        <v>930</v>
      </c>
      <c r="H20" s="17">
        <f t="shared" si="1"/>
        <v>0.25</v>
      </c>
      <c r="I20" s="16">
        <f t="shared" si="2"/>
        <v>3.0000000000000001E-3</v>
      </c>
      <c r="J20" s="16">
        <f>ROUND(G20/975-1,2)</f>
        <v>-0.05</v>
      </c>
    </row>
    <row r="21" spans="1:10" x14ac:dyDescent="0.25">
      <c r="A21" s="1" t="s">
        <v>16</v>
      </c>
      <c r="B21" s="1" t="s">
        <v>32</v>
      </c>
      <c r="C21" s="11"/>
      <c r="D21" s="11">
        <v>142</v>
      </c>
      <c r="E21" s="11"/>
      <c r="F21" s="11"/>
      <c r="G21" s="11">
        <f t="shared" si="0"/>
        <v>142</v>
      </c>
      <c r="H21" s="17">
        <f t="shared" si="1"/>
        <v>0.04</v>
      </c>
      <c r="I21" s="16">
        <f t="shared" si="2"/>
        <v>0</v>
      </c>
      <c r="J21" s="16">
        <f>ROUND(G21/109-1,2)</f>
        <v>0.3</v>
      </c>
    </row>
    <row r="22" spans="1:10" x14ac:dyDescent="0.25">
      <c r="A22" s="1" t="s">
        <v>16</v>
      </c>
      <c r="B22" s="1" t="s">
        <v>33</v>
      </c>
      <c r="C22" s="11"/>
      <c r="D22" s="11"/>
      <c r="E22" s="11">
        <v>860</v>
      </c>
      <c r="F22" s="11"/>
      <c r="G22" s="11">
        <f t="shared" si="0"/>
        <v>860</v>
      </c>
      <c r="H22" s="17">
        <f t="shared" si="1"/>
        <v>0.23</v>
      </c>
      <c r="I22" s="16">
        <f t="shared" si="2"/>
        <v>2E-3</v>
      </c>
      <c r="J22" s="16"/>
    </row>
    <row r="23" spans="1:10" x14ac:dyDescent="0.25">
      <c r="A23" s="1" t="s">
        <v>16</v>
      </c>
      <c r="B23" s="1" t="s">
        <v>35</v>
      </c>
      <c r="C23" s="11"/>
      <c r="D23" s="11"/>
      <c r="E23" s="11">
        <v>24010</v>
      </c>
      <c r="F23" s="11"/>
      <c r="G23" s="11">
        <f t="shared" si="0"/>
        <v>24010</v>
      </c>
      <c r="H23" s="17">
        <f t="shared" si="1"/>
        <v>6.51</v>
      </c>
      <c r="I23" s="16">
        <f t="shared" si="2"/>
        <v>6.7000000000000004E-2</v>
      </c>
      <c r="J23" s="16">
        <f>ROUND(G23/17440-1,2)</f>
        <v>0.38</v>
      </c>
    </row>
    <row r="24" spans="1:10" x14ac:dyDescent="0.25">
      <c r="A24" s="1" t="s">
        <v>16</v>
      </c>
      <c r="B24" s="1" t="s">
        <v>36</v>
      </c>
      <c r="C24" s="11"/>
      <c r="D24" s="11"/>
      <c r="E24" s="11">
        <v>2810</v>
      </c>
      <c r="F24" s="11"/>
      <c r="G24" s="11">
        <f t="shared" si="0"/>
        <v>2810</v>
      </c>
      <c r="H24" s="17">
        <f t="shared" si="1"/>
        <v>0.76</v>
      </c>
      <c r="I24" s="16">
        <f t="shared" si="2"/>
        <v>8.0000000000000002E-3</v>
      </c>
      <c r="J24" s="16">
        <f>ROUND(G24/1390-1,2)</f>
        <v>1.02</v>
      </c>
    </row>
    <row r="25" spans="1:10" x14ac:dyDescent="0.25">
      <c r="A25" s="1" t="s">
        <v>16</v>
      </c>
      <c r="B25" s="1" t="s">
        <v>37</v>
      </c>
      <c r="C25" s="11"/>
      <c r="D25" s="11"/>
      <c r="E25" s="11">
        <v>9470</v>
      </c>
      <c r="F25" s="11"/>
      <c r="G25" s="11">
        <f t="shared" si="0"/>
        <v>9470</v>
      </c>
      <c r="H25" s="17">
        <f t="shared" si="1"/>
        <v>2.57</v>
      </c>
      <c r="I25" s="16">
        <f t="shared" si="2"/>
        <v>2.5999999999999999E-2</v>
      </c>
      <c r="J25" s="16">
        <f>ROUND(G25/7750-1,2)</f>
        <v>0.22</v>
      </c>
    </row>
    <row r="26" spans="1:10" x14ac:dyDescent="0.25">
      <c r="A26" s="1" t="s">
        <v>16</v>
      </c>
      <c r="B26" s="1" t="s">
        <v>38</v>
      </c>
      <c r="C26" s="11"/>
      <c r="D26" s="11"/>
      <c r="E26" s="11">
        <v>10460</v>
      </c>
      <c r="F26" s="11"/>
      <c r="G26" s="11">
        <f t="shared" si="0"/>
        <v>10460</v>
      </c>
      <c r="H26" s="17">
        <f t="shared" si="1"/>
        <v>2.84</v>
      </c>
      <c r="I26" s="16">
        <f t="shared" si="2"/>
        <v>2.9000000000000001E-2</v>
      </c>
      <c r="J26" s="16">
        <f>ROUND(G26/3420-1,2)</f>
        <v>2.06</v>
      </c>
    </row>
    <row r="27" spans="1:10" x14ac:dyDescent="0.25">
      <c r="A27" s="1" t="s">
        <v>16</v>
      </c>
      <c r="B27" s="1" t="s">
        <v>95</v>
      </c>
      <c r="C27" s="11"/>
      <c r="D27" s="11"/>
      <c r="E27" s="11"/>
      <c r="F27" s="11"/>
      <c r="G27" s="11">
        <f t="shared" si="0"/>
        <v>0</v>
      </c>
      <c r="H27" s="17">
        <f t="shared" si="1"/>
        <v>0</v>
      </c>
      <c r="I27" s="16">
        <f t="shared" si="2"/>
        <v>0</v>
      </c>
      <c r="J27" s="16">
        <f>ROUND(G27/125-1,2)</f>
        <v>-1</v>
      </c>
    </row>
    <row r="28" spans="1:10" x14ac:dyDescent="0.25">
      <c r="A28" s="1" t="s">
        <v>16</v>
      </c>
      <c r="B28" s="1" t="s">
        <v>40</v>
      </c>
      <c r="C28" s="11"/>
      <c r="D28" s="11"/>
      <c r="E28" s="11"/>
      <c r="F28" s="11"/>
      <c r="G28" s="11">
        <f t="shared" si="0"/>
        <v>0</v>
      </c>
      <c r="H28" s="17">
        <f t="shared" si="1"/>
        <v>0</v>
      </c>
      <c r="I28" s="16">
        <f t="shared" si="2"/>
        <v>0</v>
      </c>
      <c r="J28" s="16">
        <f>ROUND(G28/1280-1,2)</f>
        <v>-1</v>
      </c>
    </row>
    <row r="29" spans="1:10" x14ac:dyDescent="0.25">
      <c r="A29" s="1" t="s">
        <v>16</v>
      </c>
      <c r="B29" s="1" t="s">
        <v>34</v>
      </c>
      <c r="C29" s="11"/>
      <c r="D29" s="11"/>
      <c r="E29" s="11"/>
      <c r="F29" s="11"/>
      <c r="G29" s="11">
        <f t="shared" si="0"/>
        <v>0</v>
      </c>
      <c r="H29" s="17">
        <f t="shared" si="1"/>
        <v>0</v>
      </c>
      <c r="I29" s="16">
        <f t="shared" si="2"/>
        <v>0</v>
      </c>
      <c r="J29" s="16"/>
    </row>
    <row r="30" spans="1:10" x14ac:dyDescent="0.25">
      <c r="A30" s="1" t="s">
        <v>16</v>
      </c>
      <c r="B30" s="1" t="s">
        <v>41</v>
      </c>
      <c r="C30" s="11"/>
      <c r="D30" s="11"/>
      <c r="E30" s="11"/>
      <c r="F30" s="11"/>
      <c r="G30" s="11">
        <f t="shared" si="0"/>
        <v>0</v>
      </c>
      <c r="H30" s="17">
        <f t="shared" si="1"/>
        <v>0</v>
      </c>
      <c r="I30" s="16">
        <f t="shared" si="2"/>
        <v>0</v>
      </c>
      <c r="J30" s="16">
        <f>ROUND(G30/823-1,2)</f>
        <v>-1</v>
      </c>
    </row>
    <row r="31" spans="1:10" x14ac:dyDescent="0.25">
      <c r="A31" s="1" t="s">
        <v>16</v>
      </c>
      <c r="B31" s="1" t="s">
        <v>42</v>
      </c>
      <c r="C31" s="11"/>
      <c r="D31" s="11"/>
      <c r="E31" s="11"/>
      <c r="F31" s="11"/>
      <c r="G31" s="11">
        <f t="shared" si="0"/>
        <v>0</v>
      </c>
      <c r="H31" s="17">
        <f t="shared" si="1"/>
        <v>0</v>
      </c>
      <c r="I31" s="16">
        <f t="shared" si="2"/>
        <v>0</v>
      </c>
      <c r="J31" s="16">
        <f>ROUND(G31/3914-1,2)</f>
        <v>-1</v>
      </c>
    </row>
    <row r="32" spans="1:10" x14ac:dyDescent="0.25">
      <c r="A32" s="1" t="s">
        <v>16</v>
      </c>
      <c r="B32" s="1" t="s">
        <v>43</v>
      </c>
      <c r="C32" s="11"/>
      <c r="D32" s="11"/>
      <c r="E32" s="11"/>
      <c r="F32" s="11"/>
      <c r="G32" s="11">
        <f t="shared" si="0"/>
        <v>0</v>
      </c>
      <c r="H32" s="17">
        <f t="shared" si="1"/>
        <v>0</v>
      </c>
      <c r="I32" s="16">
        <f t="shared" si="2"/>
        <v>0</v>
      </c>
      <c r="J32" s="16">
        <f>ROUND(G32/1884-1,2)</f>
        <v>-1</v>
      </c>
    </row>
    <row r="33" spans="1:10" x14ac:dyDescent="0.25">
      <c r="A33" s="1" t="s">
        <v>16</v>
      </c>
      <c r="B33" s="1" t="s">
        <v>94</v>
      </c>
      <c r="C33" s="11"/>
      <c r="D33" s="11"/>
      <c r="E33" s="11"/>
      <c r="F33" s="11"/>
      <c r="G33" s="11">
        <f t="shared" si="0"/>
        <v>0</v>
      </c>
      <c r="H33" s="17">
        <f t="shared" si="1"/>
        <v>0</v>
      </c>
      <c r="I33" s="16">
        <f t="shared" si="2"/>
        <v>0</v>
      </c>
      <c r="J33" s="16">
        <f>ROUND(G33/48-1,2)</f>
        <v>-1</v>
      </c>
    </row>
    <row r="34" spans="1:10" x14ac:dyDescent="0.25">
      <c r="A34" s="1" t="s">
        <v>16</v>
      </c>
      <c r="B34" s="1" t="s">
        <v>22</v>
      </c>
      <c r="C34" s="11"/>
      <c r="D34" s="11"/>
      <c r="E34" s="11"/>
      <c r="F34" s="11"/>
      <c r="G34" s="11">
        <f t="shared" si="0"/>
        <v>0</v>
      </c>
      <c r="H34" s="17">
        <f t="shared" si="1"/>
        <v>0</v>
      </c>
      <c r="I34" s="16">
        <f t="shared" si="2"/>
        <v>0</v>
      </c>
      <c r="J34" s="16"/>
    </row>
    <row r="35" spans="1:10" x14ac:dyDescent="0.25">
      <c r="A35" s="1" t="s">
        <v>16</v>
      </c>
      <c r="B35" s="1" t="s">
        <v>217</v>
      </c>
      <c r="C35" s="11"/>
      <c r="D35" s="11"/>
      <c r="E35" s="11"/>
      <c r="F35" s="11"/>
      <c r="G35" s="11">
        <f t="shared" si="0"/>
        <v>0</v>
      </c>
      <c r="H35" s="17">
        <f t="shared" si="1"/>
        <v>0</v>
      </c>
      <c r="I35" s="16">
        <f t="shared" si="2"/>
        <v>0</v>
      </c>
      <c r="J35" s="16"/>
    </row>
    <row r="36" spans="1:10" x14ac:dyDescent="0.25">
      <c r="A36" s="1" t="s">
        <v>16</v>
      </c>
      <c r="B36" s="1" t="s">
        <v>39</v>
      </c>
      <c r="C36" s="11"/>
      <c r="D36" s="11"/>
      <c r="E36" s="11"/>
      <c r="F36" s="11"/>
      <c r="G36" s="11">
        <f t="shared" si="0"/>
        <v>0</v>
      </c>
      <c r="H36" s="17">
        <f t="shared" si="1"/>
        <v>0</v>
      </c>
      <c r="I36" s="16">
        <f t="shared" si="2"/>
        <v>0</v>
      </c>
      <c r="J36" s="16">
        <f>ROUND(G36/157-1,2)</f>
        <v>-1</v>
      </c>
    </row>
    <row r="37" spans="1:10" x14ac:dyDescent="0.25">
      <c r="A37" s="1" t="s">
        <v>16</v>
      </c>
      <c r="B37" s="1" t="s">
        <v>17</v>
      </c>
      <c r="C37" s="11"/>
      <c r="D37" s="11"/>
      <c r="E37" s="11"/>
      <c r="F37" s="11"/>
      <c r="G37" s="11">
        <f t="shared" si="0"/>
        <v>0</v>
      </c>
      <c r="H37" s="17">
        <f t="shared" si="1"/>
        <v>0</v>
      </c>
      <c r="I37" s="16">
        <f t="shared" si="2"/>
        <v>0</v>
      </c>
      <c r="J37" s="16">
        <f>ROUND(G37/30-1,2)</f>
        <v>-1</v>
      </c>
    </row>
    <row r="38" spans="1:10" x14ac:dyDescent="0.25">
      <c r="A38" s="1" t="s">
        <v>16</v>
      </c>
      <c r="B38" s="1" t="s">
        <v>96</v>
      </c>
      <c r="C38" s="11"/>
      <c r="D38" s="11"/>
      <c r="E38" s="11"/>
      <c r="F38" s="11"/>
      <c r="G38" s="11">
        <f t="shared" si="0"/>
        <v>0</v>
      </c>
      <c r="H38" s="17">
        <f t="shared" si="1"/>
        <v>0</v>
      </c>
      <c r="I38" s="16">
        <f t="shared" si="2"/>
        <v>0</v>
      </c>
      <c r="J38" s="16"/>
    </row>
    <row r="39" spans="1:10" x14ac:dyDescent="0.25">
      <c r="A39" s="1" t="s">
        <v>16</v>
      </c>
      <c r="B39" s="1" t="s">
        <v>143</v>
      </c>
      <c r="C39" s="11"/>
      <c r="D39" s="11"/>
      <c r="E39" s="11"/>
      <c r="F39" s="11"/>
      <c r="G39" s="11">
        <f t="shared" si="0"/>
        <v>0</v>
      </c>
      <c r="H39" s="17">
        <f t="shared" si="1"/>
        <v>0</v>
      </c>
      <c r="I39" s="16">
        <f t="shared" si="2"/>
        <v>0</v>
      </c>
      <c r="J39" s="16"/>
    </row>
    <row r="40" spans="1:10" x14ac:dyDescent="0.25">
      <c r="A40" s="1" t="s">
        <v>44</v>
      </c>
      <c r="B40" s="1" t="s">
        <v>45</v>
      </c>
      <c r="C40" s="11">
        <v>55200</v>
      </c>
      <c r="D40" s="11"/>
      <c r="E40" s="11"/>
      <c r="F40" s="11"/>
      <c r="G40" s="11">
        <f t="shared" si="0"/>
        <v>55200</v>
      </c>
      <c r="H40" s="17">
        <f t="shared" si="1"/>
        <v>14.97</v>
      </c>
      <c r="I40" s="16">
        <f t="shared" si="2"/>
        <v>0.153</v>
      </c>
      <c r="J40" s="16">
        <f>ROUND(G40/53320-1,2)</f>
        <v>0.04</v>
      </c>
    </row>
    <row r="41" spans="1:10" x14ac:dyDescent="0.25">
      <c r="A41" s="1" t="s">
        <v>44</v>
      </c>
      <c r="B41" s="1" t="s">
        <v>47</v>
      </c>
      <c r="C41" s="11"/>
      <c r="D41" s="11"/>
      <c r="E41" s="11"/>
      <c r="F41" s="11">
        <v>8520</v>
      </c>
      <c r="G41" s="11">
        <f t="shared" si="0"/>
        <v>8520</v>
      </c>
      <c r="H41" s="17">
        <f t="shared" si="1"/>
        <v>2.31</v>
      </c>
      <c r="I41" s="16">
        <f t="shared" si="2"/>
        <v>2.4E-2</v>
      </c>
      <c r="J41" s="16">
        <f>ROUND(G41/5430-1,2)</f>
        <v>0.56999999999999995</v>
      </c>
    </row>
    <row r="42" spans="1:10" x14ac:dyDescent="0.25">
      <c r="A42" s="1" t="s">
        <v>44</v>
      </c>
      <c r="B42" s="1" t="s">
        <v>46</v>
      </c>
      <c r="C42" s="11"/>
      <c r="D42" s="11"/>
      <c r="E42" s="11">
        <v>28140</v>
      </c>
      <c r="F42" s="11"/>
      <c r="G42" s="11">
        <f t="shared" si="0"/>
        <v>28140</v>
      </c>
      <c r="H42" s="17">
        <f t="shared" si="1"/>
        <v>7.63</v>
      </c>
      <c r="I42" s="16">
        <f t="shared" si="2"/>
        <v>7.8E-2</v>
      </c>
      <c r="J42" s="16">
        <f>ROUND(G42/27760-1,2)</f>
        <v>0.01</v>
      </c>
    </row>
    <row r="43" spans="1:10" x14ac:dyDescent="0.25">
      <c r="A43" s="1" t="s">
        <v>48</v>
      </c>
      <c r="B43" s="1" t="s">
        <v>50</v>
      </c>
      <c r="C43" s="11"/>
      <c r="D43" s="11"/>
      <c r="E43" s="11"/>
      <c r="F43" s="11"/>
      <c r="G43" s="11">
        <f t="shared" si="0"/>
        <v>0</v>
      </c>
      <c r="H43" s="17">
        <f t="shared" si="1"/>
        <v>0</v>
      </c>
      <c r="I43" s="16">
        <f t="shared" si="2"/>
        <v>0</v>
      </c>
      <c r="J43" s="16">
        <f>ROUND(G43/505-1,2)</f>
        <v>-1</v>
      </c>
    </row>
    <row r="44" spans="1:10" x14ac:dyDescent="0.25">
      <c r="A44" s="1" t="s">
        <v>48</v>
      </c>
      <c r="B44" s="1" t="s">
        <v>51</v>
      </c>
      <c r="C44" s="11"/>
      <c r="D44" s="11"/>
      <c r="E44" s="11"/>
      <c r="F44" s="11"/>
      <c r="G44" s="11">
        <f t="shared" si="0"/>
        <v>0</v>
      </c>
      <c r="H44" s="17">
        <f t="shared" si="1"/>
        <v>0</v>
      </c>
      <c r="I44" s="16">
        <f t="shared" si="2"/>
        <v>0</v>
      </c>
      <c r="J44" s="16"/>
    </row>
    <row r="45" spans="1:10" x14ac:dyDescent="0.25">
      <c r="A45" s="21" t="s">
        <v>12</v>
      </c>
      <c r="B45" s="21"/>
      <c r="C45" s="12">
        <f t="shared" ref="C45:H45" si="3">SUM(C8:C44)</f>
        <v>253890</v>
      </c>
      <c r="D45" s="12">
        <f t="shared" si="3"/>
        <v>142</v>
      </c>
      <c r="E45" s="12">
        <f t="shared" si="3"/>
        <v>98057</v>
      </c>
      <c r="F45" s="12">
        <f t="shared" si="3"/>
        <v>8520</v>
      </c>
      <c r="G45" s="12">
        <f t="shared" si="3"/>
        <v>360609</v>
      </c>
      <c r="H45" s="15">
        <f t="shared" si="3"/>
        <v>97.78</v>
      </c>
      <c r="I45" s="18"/>
      <c r="J45" s="18"/>
    </row>
    <row r="46" spans="1:10" x14ac:dyDescent="0.25">
      <c r="A46" s="21" t="s">
        <v>14</v>
      </c>
      <c r="B46" s="21"/>
      <c r="C46" s="13">
        <f>ROUND(C45/G45,2)</f>
        <v>0.7</v>
      </c>
      <c r="D46" s="13">
        <f>ROUND(D45/G45,2)</f>
        <v>0</v>
      </c>
      <c r="E46" s="13">
        <f>ROUND(E45/G45,2)</f>
        <v>0.27</v>
      </c>
      <c r="F46" s="13">
        <f>ROUND(F45/G45,2)</f>
        <v>0.02</v>
      </c>
      <c r="G46" s="14"/>
      <c r="H46" s="14"/>
      <c r="I46" s="18"/>
      <c r="J46" s="18"/>
    </row>
    <row r="47" spans="1:10" x14ac:dyDescent="0.25">
      <c r="A47" s="2" t="s">
        <v>52</v>
      </c>
      <c r="B47" s="2"/>
      <c r="C47" s="14"/>
      <c r="D47" s="14"/>
      <c r="E47" s="14"/>
      <c r="F47" s="14"/>
      <c r="G47" s="14"/>
      <c r="H47" s="14"/>
      <c r="I47" s="18"/>
      <c r="J47" s="18"/>
    </row>
    <row r="48" spans="1:10" x14ac:dyDescent="0.25">
      <c r="C48" s="9"/>
      <c r="D48" s="9"/>
      <c r="E48" s="9"/>
      <c r="F48" s="9"/>
      <c r="G48" s="9"/>
      <c r="H48" s="9"/>
      <c r="I48" s="10"/>
      <c r="J48" s="10"/>
    </row>
    <row r="49" spans="1:10" x14ac:dyDescent="0.25">
      <c r="C49" s="9"/>
      <c r="D49" s="9"/>
      <c r="E49" s="9"/>
      <c r="F49" s="9"/>
      <c r="G49" s="9"/>
      <c r="H49" s="9"/>
      <c r="I49" s="10"/>
      <c r="J49" s="10"/>
    </row>
    <row r="50" spans="1:10" x14ac:dyDescent="0.25">
      <c r="C50" s="9"/>
      <c r="D50" s="9"/>
      <c r="E50" s="9"/>
      <c r="F50" s="9"/>
      <c r="G50" s="9"/>
      <c r="H50" s="9"/>
      <c r="I50" s="10"/>
      <c r="J50" s="10"/>
    </row>
    <row r="51" spans="1:10" x14ac:dyDescent="0.25">
      <c r="A51" s="21" t="s">
        <v>53</v>
      </c>
      <c r="B51" s="21"/>
      <c r="C51" s="12" t="s">
        <v>8</v>
      </c>
      <c r="D51" s="12" t="s">
        <v>9</v>
      </c>
      <c r="E51" s="12" t="s">
        <v>10</v>
      </c>
      <c r="F51" s="12" t="s">
        <v>11</v>
      </c>
      <c r="G51" s="12" t="s">
        <v>12</v>
      </c>
      <c r="H51" s="15" t="s">
        <v>13</v>
      </c>
      <c r="I51" s="18"/>
      <c r="J51" s="18"/>
    </row>
    <row r="52" spans="1:10" x14ac:dyDescent="0.25">
      <c r="A52" s="20" t="s">
        <v>54</v>
      </c>
      <c r="B52" s="20"/>
      <c r="C52" s="11">
        <v>198690</v>
      </c>
      <c r="D52" s="11">
        <v>142</v>
      </c>
      <c r="E52" s="11">
        <v>69917</v>
      </c>
      <c r="F52" s="11">
        <v>0</v>
      </c>
      <c r="G52" s="11">
        <f>SUM(C52:F52)</f>
        <v>268749</v>
      </c>
      <c r="H52" s="17">
        <f>ROUND(G52/3688,2)</f>
        <v>72.87</v>
      </c>
      <c r="I52" s="10"/>
      <c r="J52" s="10"/>
    </row>
    <row r="53" spans="1:10" x14ac:dyDescent="0.25">
      <c r="A53" s="20" t="s">
        <v>55</v>
      </c>
      <c r="B53" s="20"/>
      <c r="C53" s="11">
        <v>55200</v>
      </c>
      <c r="D53" s="11">
        <v>0</v>
      </c>
      <c r="E53" s="11">
        <v>28140</v>
      </c>
      <c r="F53" s="11">
        <v>8520</v>
      </c>
      <c r="G53" s="11">
        <f>SUM(C53:F53)</f>
        <v>91860</v>
      </c>
      <c r="H53" s="17">
        <f>ROUND(G53/3688,2)</f>
        <v>24.91</v>
      </c>
      <c r="I53" s="10"/>
      <c r="J53" s="10"/>
    </row>
    <row r="54" spans="1:10" x14ac:dyDescent="0.25">
      <c r="A54" s="20" t="s">
        <v>56</v>
      </c>
      <c r="B54" s="20"/>
      <c r="C54" s="11">
        <v>0</v>
      </c>
      <c r="D54" s="11">
        <v>0</v>
      </c>
      <c r="E54" s="11">
        <v>0</v>
      </c>
      <c r="F54" s="11">
        <v>0</v>
      </c>
      <c r="G54" s="11">
        <f>SUM(C54:F54)</f>
        <v>0</v>
      </c>
      <c r="H54" s="17">
        <f>ROUND(G54/3688,2)</f>
        <v>0</v>
      </c>
      <c r="I54" s="10"/>
      <c r="J54" s="10"/>
    </row>
    <row r="55" spans="1:10" x14ac:dyDescent="0.25">
      <c r="C55" s="9"/>
      <c r="D55" s="9"/>
      <c r="E55" s="9"/>
      <c r="F55" s="9"/>
      <c r="G55" s="9"/>
      <c r="H55" s="9"/>
      <c r="I55" s="10"/>
      <c r="J55" s="10"/>
    </row>
    <row r="56" spans="1:10" x14ac:dyDescent="0.25">
      <c r="C56" s="9"/>
      <c r="D56" s="9"/>
      <c r="E56" s="9"/>
      <c r="F56" s="9"/>
      <c r="G56" s="9"/>
      <c r="H56" s="9"/>
      <c r="I56" s="10"/>
      <c r="J56" s="10"/>
    </row>
    <row r="57" spans="1:10" x14ac:dyDescent="0.25">
      <c r="C57" s="9"/>
      <c r="D57" s="9"/>
      <c r="E57" s="9"/>
      <c r="F57" s="9"/>
      <c r="G57" s="9"/>
      <c r="H57" s="9"/>
      <c r="I57" s="10"/>
      <c r="J57" s="10"/>
    </row>
    <row r="58" spans="1:10" x14ac:dyDescent="0.25">
      <c r="C58" s="9"/>
      <c r="D58" s="9"/>
      <c r="E58" s="9"/>
      <c r="F58" s="9"/>
      <c r="G58" s="9"/>
      <c r="H58" s="9"/>
      <c r="I58" s="10"/>
      <c r="J58" s="10"/>
    </row>
    <row r="59" spans="1:10" x14ac:dyDescent="0.25">
      <c r="A59" s="21" t="s">
        <v>57</v>
      </c>
      <c r="B59" s="21"/>
      <c r="C59" s="15" t="s">
        <v>2</v>
      </c>
      <c r="D59" s="15">
        <v>2023</v>
      </c>
      <c r="E59" s="15" t="s">
        <v>59</v>
      </c>
      <c r="F59" s="14"/>
      <c r="G59" s="15" t="s">
        <v>60</v>
      </c>
      <c r="H59" s="15" t="s">
        <v>2</v>
      </c>
      <c r="I59" s="13" t="s">
        <v>61</v>
      </c>
      <c r="J59" s="13" t="s">
        <v>59</v>
      </c>
    </row>
    <row r="60" spans="1:10" x14ac:dyDescent="0.25">
      <c r="A60" s="20" t="s">
        <v>58</v>
      </c>
      <c r="B60" s="20"/>
      <c r="C60" s="16">
        <f>ROUND(0.83, 4)</f>
        <v>0.83</v>
      </c>
      <c r="D60" s="16">
        <f>ROUND(0.8281, 4)</f>
        <v>0.82809999999999995</v>
      </c>
      <c r="E60" s="16">
        <f>ROUND(0.777, 4)</f>
        <v>0.77700000000000002</v>
      </c>
      <c r="F60" s="9"/>
      <c r="G60" s="15" t="s">
        <v>62</v>
      </c>
      <c r="H60" s="22" t="s">
        <v>63</v>
      </c>
      <c r="I60" s="24" t="s">
        <v>64</v>
      </c>
      <c r="J60" s="24" t="s">
        <v>65</v>
      </c>
    </row>
    <row r="61" spans="1:10" x14ac:dyDescent="0.25">
      <c r="A61" s="20" t="s">
        <v>66</v>
      </c>
      <c r="B61" s="20"/>
      <c r="C61" s="16">
        <f>ROUND(0.813, 4)</f>
        <v>0.81299999999999994</v>
      </c>
      <c r="D61" s="16">
        <f>ROUND(0.8133, 4)</f>
        <v>0.81330000000000002</v>
      </c>
      <c r="E61" s="16">
        <f>ROUND(0.7608, 4)</f>
        <v>0.76080000000000003</v>
      </c>
      <c r="F61" s="9"/>
      <c r="G61" s="15" t="s">
        <v>67</v>
      </c>
      <c r="H61" s="23"/>
      <c r="I61" s="25"/>
      <c r="J61" s="25"/>
    </row>
    <row r="62" spans="1:10" x14ac:dyDescent="0.25">
      <c r="C62" s="9"/>
      <c r="D62" s="9"/>
      <c r="E62" s="9"/>
      <c r="F62" s="9"/>
      <c r="G62" s="9"/>
      <c r="H62" s="9"/>
      <c r="I62" s="10"/>
      <c r="J62" s="10"/>
    </row>
    <row r="63" spans="1:10" x14ac:dyDescent="0.25">
      <c r="C63" s="9"/>
      <c r="D63" s="9"/>
      <c r="E63" s="9"/>
      <c r="F63" s="9"/>
      <c r="G63" s="9"/>
      <c r="H63" s="9"/>
      <c r="I63" s="10"/>
      <c r="J63" s="10"/>
    </row>
    <row r="64" spans="1:10" x14ac:dyDescent="0.25">
      <c r="C64" s="9"/>
      <c r="D64" s="9"/>
      <c r="E64" s="9"/>
      <c r="F64" s="9"/>
      <c r="G64" s="9"/>
      <c r="H64" s="9"/>
      <c r="I64" s="10"/>
      <c r="J64" s="10"/>
    </row>
    <row r="65" spans="1:10" x14ac:dyDescent="0.25">
      <c r="A65" s="21" t="s">
        <v>68</v>
      </c>
      <c r="B65" s="21"/>
      <c r="C65" s="15" t="s">
        <v>2</v>
      </c>
      <c r="D65" s="15" t="s">
        <v>316</v>
      </c>
      <c r="E65" s="15" t="s">
        <v>70</v>
      </c>
      <c r="F65" s="15" t="s">
        <v>71</v>
      </c>
      <c r="G65" s="15" t="s">
        <v>72</v>
      </c>
      <c r="H65" s="14"/>
      <c r="I65" s="18"/>
      <c r="J65" s="18"/>
    </row>
    <row r="66" spans="1:10" x14ac:dyDescent="0.25">
      <c r="A66" s="20" t="s">
        <v>73</v>
      </c>
      <c r="B66" s="20"/>
      <c r="C66" s="17">
        <v>14.97</v>
      </c>
      <c r="D66" s="17">
        <v>59.45</v>
      </c>
      <c r="E66" s="17">
        <v>81.84</v>
      </c>
      <c r="F66" s="17">
        <v>48</v>
      </c>
      <c r="G66" s="17">
        <f>12/4*C66</f>
        <v>44.910000000000004</v>
      </c>
      <c r="H66" s="9"/>
      <c r="I66" s="10"/>
      <c r="J66" s="10"/>
    </row>
    <row r="67" spans="1:10" x14ac:dyDescent="0.25">
      <c r="A67" s="20" t="s">
        <v>74</v>
      </c>
      <c r="B67" s="20"/>
      <c r="C67" s="17">
        <v>16.190000000000001</v>
      </c>
      <c r="D67" s="17">
        <v>42.5</v>
      </c>
      <c r="E67" s="17">
        <v>55.63</v>
      </c>
      <c r="F67" s="17">
        <v>55.33</v>
      </c>
      <c r="G67" s="17">
        <f>12/4*C67</f>
        <v>48.570000000000007</v>
      </c>
      <c r="H67" s="9"/>
      <c r="I67" s="10"/>
      <c r="J67" s="10"/>
    </row>
    <row r="68" spans="1:10" x14ac:dyDescent="0.25">
      <c r="A68" s="20" t="s">
        <v>75</v>
      </c>
      <c r="B68" s="20"/>
      <c r="C68" s="17">
        <v>72.87</v>
      </c>
      <c r="D68" s="17">
        <v>214.35</v>
      </c>
      <c r="E68" s="17">
        <v>257.88</v>
      </c>
      <c r="F68" s="17">
        <v>242.78</v>
      </c>
      <c r="G68" s="17">
        <f>12/4*C68</f>
        <v>218.61</v>
      </c>
      <c r="H68" s="9"/>
      <c r="I68" s="10"/>
      <c r="J68" s="10"/>
    </row>
    <row r="69" spans="1:10" x14ac:dyDescent="0.25">
      <c r="A69" s="20" t="s">
        <v>76</v>
      </c>
      <c r="B69" s="20"/>
      <c r="C69" s="1">
        <v>24.91</v>
      </c>
      <c r="D69" s="1">
        <v>83.55</v>
      </c>
      <c r="E69" s="1">
        <v>103.14</v>
      </c>
      <c r="F69" s="1">
        <v>68.31</v>
      </c>
      <c r="G69" s="1">
        <f>12/4*C69</f>
        <v>74.73</v>
      </c>
    </row>
    <row r="72" spans="1:10" x14ac:dyDescent="0.25">
      <c r="A72" s="19" t="s">
        <v>60</v>
      </c>
      <c r="B72" s="26"/>
    </row>
    <row r="73" spans="1:10" x14ac:dyDescent="0.25">
      <c r="A73" s="3" t="s">
        <v>77</v>
      </c>
      <c r="B73" s="1" t="s">
        <v>317</v>
      </c>
    </row>
    <row r="74" spans="1:10" x14ac:dyDescent="0.25">
      <c r="A74" s="3" t="s">
        <v>70</v>
      </c>
      <c r="B74" s="1" t="s">
        <v>79</v>
      </c>
    </row>
    <row r="75" spans="1:10" x14ac:dyDescent="0.25">
      <c r="A75" s="3" t="s">
        <v>71</v>
      </c>
      <c r="B75" s="1" t="s">
        <v>80</v>
      </c>
    </row>
    <row r="76" spans="1:10" x14ac:dyDescent="0.25">
      <c r="A76" s="3" t="s">
        <v>72</v>
      </c>
      <c r="B76" s="1" t="s">
        <v>81</v>
      </c>
    </row>
  </sheetData>
  <mergeCells count="19">
    <mergeCell ref="A67:B67"/>
    <mergeCell ref="A68:B68"/>
    <mergeCell ref="A69:B69"/>
    <mergeCell ref="A72:B72"/>
    <mergeCell ref="I60:I61"/>
    <mergeCell ref="J60:J61"/>
    <mergeCell ref="A61:B61"/>
    <mergeCell ref="A65:B65"/>
    <mergeCell ref="A66:B66"/>
    <mergeCell ref="A53:B53"/>
    <mergeCell ref="A54:B54"/>
    <mergeCell ref="A59:B59"/>
    <mergeCell ref="A60:B60"/>
    <mergeCell ref="H60:H61"/>
    <mergeCell ref="C7:G7"/>
    <mergeCell ref="A45:B45"/>
    <mergeCell ref="A46:B46"/>
    <mergeCell ref="A51:B51"/>
    <mergeCell ref="A52:B52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A2:J76"/>
  <sheetViews>
    <sheetView workbookViewId="0">
      <selection activeCell="C9" sqref="C9:J76"/>
    </sheetView>
  </sheetViews>
  <sheetFormatPr defaultRowHeight="15" x14ac:dyDescent="0.25"/>
  <cols>
    <col min="1" max="1" width="38.85546875" bestFit="1" customWidth="1"/>
    <col min="2" max="2" width="79" bestFit="1" customWidth="1"/>
    <col min="3" max="3" width="14" bestFit="1" customWidth="1"/>
    <col min="4" max="4" width="25.85546875" bestFit="1" customWidth="1"/>
    <col min="5" max="5" width="16.42578125" bestFit="1" customWidth="1"/>
    <col min="6" max="6" width="10.5703125" bestFit="1" customWidth="1"/>
    <col min="7" max="7" width="68.28515625" bestFit="1" customWidth="1"/>
    <col min="8" max="9" width="20" bestFit="1" customWidth="1"/>
    <col min="10" max="10" width="30.5703125" bestFit="1" customWidth="1"/>
  </cols>
  <sheetData>
    <row r="2" spans="1:10" ht="18.75" x14ac:dyDescent="0.3">
      <c r="A2" s="3" t="s">
        <v>0</v>
      </c>
      <c r="B2" s="4" t="s">
        <v>318</v>
      </c>
    </row>
    <row r="3" spans="1:10" x14ac:dyDescent="0.25">
      <c r="A3" s="3" t="s">
        <v>2</v>
      </c>
      <c r="B3" s="1" t="s">
        <v>3</v>
      </c>
    </row>
    <row r="4" spans="1:10" x14ac:dyDescent="0.25">
      <c r="A4" s="3" t="s">
        <v>4</v>
      </c>
      <c r="B4" s="1">
        <v>872</v>
      </c>
    </row>
    <row r="7" spans="1:10" x14ac:dyDescent="0.25">
      <c r="C7" s="19" t="s">
        <v>5</v>
      </c>
      <c r="D7" s="20"/>
      <c r="E7" s="20"/>
      <c r="F7" s="20"/>
      <c r="G7" s="20"/>
    </row>
    <row r="8" spans="1:10" x14ac:dyDescent="0.25">
      <c r="A8" s="3" t="s">
        <v>6</v>
      </c>
      <c r="B8" s="3" t="s">
        <v>7</v>
      </c>
      <c r="C8" s="3" t="s">
        <v>8</v>
      </c>
      <c r="D8" s="3" t="s">
        <v>9</v>
      </c>
      <c r="E8" s="3" t="s">
        <v>10</v>
      </c>
      <c r="F8" s="3" t="s">
        <v>11</v>
      </c>
      <c r="G8" s="3" t="s">
        <v>12</v>
      </c>
      <c r="H8" s="3" t="s">
        <v>13</v>
      </c>
      <c r="I8" s="3" t="s">
        <v>14</v>
      </c>
      <c r="J8" s="3" t="s">
        <v>15</v>
      </c>
    </row>
    <row r="9" spans="1:10" x14ac:dyDescent="0.25">
      <c r="A9" s="1" t="s">
        <v>16</v>
      </c>
      <c r="B9" s="1" t="s">
        <v>17</v>
      </c>
      <c r="C9" s="11"/>
      <c r="D9" s="11"/>
      <c r="E9" s="11">
        <v>1</v>
      </c>
      <c r="F9" s="11"/>
      <c r="G9" s="11">
        <f t="shared" ref="G9:G36" si="0">SUM(C9:F9)</f>
        <v>1</v>
      </c>
      <c r="H9" s="17">
        <f t="shared" ref="H9:H36" si="1">ROUND(G9/872,2)</f>
        <v>0</v>
      </c>
      <c r="I9" s="16">
        <f t="shared" ref="I9:I36" si="2">ROUND(G9/$G$37,3)</f>
        <v>0</v>
      </c>
      <c r="J9" s="16"/>
    </row>
    <row r="10" spans="1:10" x14ac:dyDescent="0.25">
      <c r="A10" s="1" t="s">
        <v>16</v>
      </c>
      <c r="B10" s="1" t="s">
        <v>19</v>
      </c>
      <c r="C10" s="11">
        <v>7750</v>
      </c>
      <c r="D10" s="11"/>
      <c r="E10" s="11">
        <v>1469</v>
      </c>
      <c r="F10" s="11"/>
      <c r="G10" s="11">
        <f t="shared" si="0"/>
        <v>9219</v>
      </c>
      <c r="H10" s="17">
        <f t="shared" si="1"/>
        <v>10.57</v>
      </c>
      <c r="I10" s="16">
        <f t="shared" si="2"/>
        <v>9.5000000000000001E-2</v>
      </c>
      <c r="J10" s="16">
        <f>ROUND(G10/9233.78-1,2)</f>
        <v>0</v>
      </c>
    </row>
    <row r="11" spans="1:10" x14ac:dyDescent="0.25">
      <c r="A11" s="1" t="s">
        <v>16</v>
      </c>
      <c r="B11" s="1" t="s">
        <v>20</v>
      </c>
      <c r="C11" s="11">
        <v>9630</v>
      </c>
      <c r="D11" s="11"/>
      <c r="E11" s="11"/>
      <c r="F11" s="11"/>
      <c r="G11" s="11">
        <f t="shared" si="0"/>
        <v>9630</v>
      </c>
      <c r="H11" s="17">
        <f t="shared" si="1"/>
        <v>11.04</v>
      </c>
      <c r="I11" s="16">
        <f t="shared" si="2"/>
        <v>0.1</v>
      </c>
      <c r="J11" s="16">
        <f>ROUND(G11/12640-1,2)</f>
        <v>-0.24</v>
      </c>
    </row>
    <row r="12" spans="1:10" x14ac:dyDescent="0.25">
      <c r="A12" s="1" t="s">
        <v>16</v>
      </c>
      <c r="B12" s="1" t="s">
        <v>21</v>
      </c>
      <c r="C12" s="11"/>
      <c r="D12" s="11"/>
      <c r="E12" s="11">
        <v>42</v>
      </c>
      <c r="F12" s="11"/>
      <c r="G12" s="11">
        <f t="shared" si="0"/>
        <v>42</v>
      </c>
      <c r="H12" s="17">
        <f t="shared" si="1"/>
        <v>0.05</v>
      </c>
      <c r="I12" s="16">
        <f t="shared" si="2"/>
        <v>0</v>
      </c>
      <c r="J12" s="16"/>
    </row>
    <row r="13" spans="1:10" x14ac:dyDescent="0.25">
      <c r="A13" s="1" t="s">
        <v>16</v>
      </c>
      <c r="B13" s="1" t="s">
        <v>22</v>
      </c>
      <c r="C13" s="11"/>
      <c r="D13" s="11"/>
      <c r="E13" s="11">
        <v>425</v>
      </c>
      <c r="F13" s="11"/>
      <c r="G13" s="11">
        <f t="shared" si="0"/>
        <v>425</v>
      </c>
      <c r="H13" s="17">
        <f t="shared" si="1"/>
        <v>0.49</v>
      </c>
      <c r="I13" s="16">
        <f t="shared" si="2"/>
        <v>4.0000000000000001E-3</v>
      </c>
      <c r="J13" s="16"/>
    </row>
    <row r="14" spans="1:10" x14ac:dyDescent="0.25">
      <c r="A14" s="1" t="s">
        <v>16</v>
      </c>
      <c r="B14" s="1" t="s">
        <v>23</v>
      </c>
      <c r="C14" s="11"/>
      <c r="D14" s="11"/>
      <c r="E14" s="11">
        <v>6822</v>
      </c>
      <c r="F14" s="11"/>
      <c r="G14" s="11">
        <f t="shared" si="0"/>
        <v>6822</v>
      </c>
      <c r="H14" s="17">
        <f t="shared" si="1"/>
        <v>7.82</v>
      </c>
      <c r="I14" s="16">
        <f t="shared" si="2"/>
        <v>7.0999999999999994E-2</v>
      </c>
      <c r="J14" s="16">
        <f>ROUND(G14/2104.97-1,2)</f>
        <v>2.2400000000000002</v>
      </c>
    </row>
    <row r="15" spans="1:10" x14ac:dyDescent="0.25">
      <c r="A15" s="1" t="s">
        <v>16</v>
      </c>
      <c r="B15" s="1" t="s">
        <v>24</v>
      </c>
      <c r="C15" s="11">
        <v>8290</v>
      </c>
      <c r="D15" s="11"/>
      <c r="E15" s="11">
        <v>3532</v>
      </c>
      <c r="F15" s="11"/>
      <c r="G15" s="11">
        <f t="shared" si="0"/>
        <v>11822</v>
      </c>
      <c r="H15" s="17">
        <f t="shared" si="1"/>
        <v>13.56</v>
      </c>
      <c r="I15" s="16">
        <f t="shared" si="2"/>
        <v>0.122</v>
      </c>
      <c r="J15" s="16">
        <f>ROUND(G15/8785.89-1,2)</f>
        <v>0.35</v>
      </c>
    </row>
    <row r="16" spans="1:10" x14ac:dyDescent="0.25">
      <c r="A16" s="1" t="s">
        <v>16</v>
      </c>
      <c r="B16" s="1" t="s">
        <v>25</v>
      </c>
      <c r="C16" s="11"/>
      <c r="D16" s="11"/>
      <c r="E16" s="11">
        <v>705</v>
      </c>
      <c r="F16" s="11"/>
      <c r="G16" s="11">
        <f t="shared" si="0"/>
        <v>705</v>
      </c>
      <c r="H16" s="17">
        <f t="shared" si="1"/>
        <v>0.81</v>
      </c>
      <c r="I16" s="16">
        <f t="shared" si="2"/>
        <v>7.0000000000000001E-3</v>
      </c>
      <c r="J16" s="16"/>
    </row>
    <row r="17" spans="1:10" x14ac:dyDescent="0.25">
      <c r="A17" s="1" t="s">
        <v>16</v>
      </c>
      <c r="B17" s="1" t="s">
        <v>26</v>
      </c>
      <c r="C17" s="11">
        <v>12740</v>
      </c>
      <c r="D17" s="11"/>
      <c r="E17" s="11"/>
      <c r="F17" s="11"/>
      <c r="G17" s="11">
        <f t="shared" si="0"/>
        <v>12740</v>
      </c>
      <c r="H17" s="17">
        <f t="shared" si="1"/>
        <v>14.61</v>
      </c>
      <c r="I17" s="16">
        <f t="shared" si="2"/>
        <v>0.13200000000000001</v>
      </c>
      <c r="J17" s="16">
        <f>ROUND(G17/12860-1,2)</f>
        <v>-0.01</v>
      </c>
    </row>
    <row r="18" spans="1:10" x14ac:dyDescent="0.25">
      <c r="A18" s="1" t="s">
        <v>16</v>
      </c>
      <c r="B18" s="1" t="s">
        <v>27</v>
      </c>
      <c r="C18" s="11"/>
      <c r="D18" s="11"/>
      <c r="E18" s="11">
        <v>72</v>
      </c>
      <c r="F18" s="11"/>
      <c r="G18" s="11">
        <f t="shared" si="0"/>
        <v>72</v>
      </c>
      <c r="H18" s="17">
        <f t="shared" si="1"/>
        <v>0.08</v>
      </c>
      <c r="I18" s="16">
        <f t="shared" si="2"/>
        <v>1E-3</v>
      </c>
      <c r="J18" s="16"/>
    </row>
    <row r="19" spans="1:10" x14ac:dyDescent="0.25">
      <c r="A19" s="1" t="s">
        <v>16</v>
      </c>
      <c r="B19" s="1" t="s">
        <v>28</v>
      </c>
      <c r="C19" s="11"/>
      <c r="D19" s="11"/>
      <c r="E19" s="11">
        <v>47</v>
      </c>
      <c r="F19" s="11"/>
      <c r="G19" s="11">
        <f t="shared" si="0"/>
        <v>47</v>
      </c>
      <c r="H19" s="17">
        <f t="shared" si="1"/>
        <v>0.05</v>
      </c>
      <c r="I19" s="16">
        <f t="shared" si="2"/>
        <v>0</v>
      </c>
      <c r="J19" s="16"/>
    </row>
    <row r="20" spans="1:10" x14ac:dyDescent="0.25">
      <c r="A20" s="1" t="s">
        <v>16</v>
      </c>
      <c r="B20" s="1" t="s">
        <v>29</v>
      </c>
      <c r="C20" s="11"/>
      <c r="D20" s="11"/>
      <c r="E20" s="11">
        <v>62</v>
      </c>
      <c r="F20" s="11"/>
      <c r="G20" s="11">
        <f t="shared" si="0"/>
        <v>62</v>
      </c>
      <c r="H20" s="17">
        <f t="shared" si="1"/>
        <v>7.0000000000000007E-2</v>
      </c>
      <c r="I20" s="16">
        <f t="shared" si="2"/>
        <v>1E-3</v>
      </c>
      <c r="J20" s="16">
        <f>ROUND(G20/77.09-1,2)</f>
        <v>-0.2</v>
      </c>
    </row>
    <row r="21" spans="1:10" x14ac:dyDescent="0.25">
      <c r="A21" s="1" t="s">
        <v>16</v>
      </c>
      <c r="B21" s="1" t="s">
        <v>31</v>
      </c>
      <c r="C21" s="11"/>
      <c r="D21" s="11"/>
      <c r="E21" s="11">
        <v>224</v>
      </c>
      <c r="F21" s="11"/>
      <c r="G21" s="11">
        <f t="shared" si="0"/>
        <v>224</v>
      </c>
      <c r="H21" s="17">
        <f t="shared" si="1"/>
        <v>0.26</v>
      </c>
      <c r="I21" s="16">
        <f t="shared" si="2"/>
        <v>2E-3</v>
      </c>
      <c r="J21" s="16"/>
    </row>
    <row r="22" spans="1:10" x14ac:dyDescent="0.25">
      <c r="A22" s="1" t="s">
        <v>16</v>
      </c>
      <c r="B22" s="1" t="s">
        <v>32</v>
      </c>
      <c r="C22" s="11"/>
      <c r="D22" s="11"/>
      <c r="E22" s="11">
        <v>32</v>
      </c>
      <c r="F22" s="11"/>
      <c r="G22" s="11">
        <f t="shared" si="0"/>
        <v>32</v>
      </c>
      <c r="H22" s="17">
        <f t="shared" si="1"/>
        <v>0.04</v>
      </c>
      <c r="I22" s="16">
        <f t="shared" si="2"/>
        <v>0</v>
      </c>
      <c r="J22" s="16"/>
    </row>
    <row r="23" spans="1:10" x14ac:dyDescent="0.25">
      <c r="A23" s="1" t="s">
        <v>16</v>
      </c>
      <c r="B23" s="1" t="s">
        <v>35</v>
      </c>
      <c r="C23" s="11"/>
      <c r="D23" s="11"/>
      <c r="E23" s="11">
        <v>9710</v>
      </c>
      <c r="F23" s="11"/>
      <c r="G23" s="11">
        <f t="shared" si="0"/>
        <v>9710</v>
      </c>
      <c r="H23" s="17">
        <f t="shared" si="1"/>
        <v>11.14</v>
      </c>
      <c r="I23" s="16">
        <f t="shared" si="2"/>
        <v>0.1</v>
      </c>
      <c r="J23" s="16">
        <f>ROUND(G23/5163.87-1,2)</f>
        <v>0.88</v>
      </c>
    </row>
    <row r="24" spans="1:10" x14ac:dyDescent="0.25">
      <c r="A24" s="1" t="s">
        <v>16</v>
      </c>
      <c r="B24" s="1" t="s">
        <v>37</v>
      </c>
      <c r="C24" s="11"/>
      <c r="D24" s="11"/>
      <c r="E24" s="11">
        <v>3028</v>
      </c>
      <c r="F24" s="11"/>
      <c r="G24" s="11">
        <f t="shared" si="0"/>
        <v>3028</v>
      </c>
      <c r="H24" s="17">
        <f t="shared" si="1"/>
        <v>3.47</v>
      </c>
      <c r="I24" s="16">
        <f t="shared" si="2"/>
        <v>3.1E-2</v>
      </c>
      <c r="J24" s="16">
        <f>ROUND(G24/2641.95-1,2)</f>
        <v>0.15</v>
      </c>
    </row>
    <row r="25" spans="1:10" x14ac:dyDescent="0.25">
      <c r="A25" s="1" t="s">
        <v>16</v>
      </c>
      <c r="B25" s="1" t="s">
        <v>38</v>
      </c>
      <c r="C25" s="11"/>
      <c r="D25" s="11"/>
      <c r="E25" s="11">
        <v>4281</v>
      </c>
      <c r="F25" s="11"/>
      <c r="G25" s="11">
        <f t="shared" si="0"/>
        <v>4281</v>
      </c>
      <c r="H25" s="17">
        <f t="shared" si="1"/>
        <v>4.91</v>
      </c>
      <c r="I25" s="16">
        <f t="shared" si="2"/>
        <v>4.3999999999999997E-2</v>
      </c>
      <c r="J25" s="16">
        <f>ROUND(G25/329.41-1,2)</f>
        <v>12</v>
      </c>
    </row>
    <row r="26" spans="1:10" x14ac:dyDescent="0.25">
      <c r="A26" s="1" t="s">
        <v>16</v>
      </c>
      <c r="B26" s="1" t="s">
        <v>40</v>
      </c>
      <c r="C26" s="11"/>
      <c r="D26" s="11"/>
      <c r="E26" s="11"/>
      <c r="F26" s="11"/>
      <c r="G26" s="11">
        <f t="shared" si="0"/>
        <v>0</v>
      </c>
      <c r="H26" s="17">
        <f t="shared" si="1"/>
        <v>0</v>
      </c>
      <c r="I26" s="16">
        <f t="shared" si="2"/>
        <v>0</v>
      </c>
      <c r="J26" s="16">
        <f>ROUND(G26/506.25-1,2)</f>
        <v>-1</v>
      </c>
    </row>
    <row r="27" spans="1:10" x14ac:dyDescent="0.25">
      <c r="A27" s="1" t="s">
        <v>16</v>
      </c>
      <c r="B27" s="1" t="s">
        <v>42</v>
      </c>
      <c r="C27" s="11"/>
      <c r="D27" s="11"/>
      <c r="E27" s="11"/>
      <c r="F27" s="11"/>
      <c r="G27" s="11">
        <f t="shared" si="0"/>
        <v>0</v>
      </c>
      <c r="H27" s="17">
        <f t="shared" si="1"/>
        <v>0</v>
      </c>
      <c r="I27" s="16">
        <f t="shared" si="2"/>
        <v>0</v>
      </c>
      <c r="J27" s="16">
        <f>ROUND(G27/220.47-1,2)</f>
        <v>-1</v>
      </c>
    </row>
    <row r="28" spans="1:10" x14ac:dyDescent="0.25">
      <c r="A28" s="1" t="s">
        <v>16</v>
      </c>
      <c r="B28" s="1" t="s">
        <v>30</v>
      </c>
      <c r="C28" s="11"/>
      <c r="D28" s="11"/>
      <c r="E28" s="11"/>
      <c r="F28" s="11"/>
      <c r="G28" s="11">
        <f t="shared" si="0"/>
        <v>0</v>
      </c>
      <c r="H28" s="17">
        <f t="shared" si="1"/>
        <v>0</v>
      </c>
      <c r="I28" s="16">
        <f t="shared" si="2"/>
        <v>0</v>
      </c>
      <c r="J28" s="16">
        <f>ROUND(G28/30-1,2)</f>
        <v>-1</v>
      </c>
    </row>
    <row r="29" spans="1:10" x14ac:dyDescent="0.25">
      <c r="A29" s="1" t="s">
        <v>16</v>
      </c>
      <c r="B29" s="1" t="s">
        <v>41</v>
      </c>
      <c r="C29" s="11"/>
      <c r="D29" s="11"/>
      <c r="E29" s="11"/>
      <c r="F29" s="11"/>
      <c r="G29" s="11">
        <f t="shared" si="0"/>
        <v>0</v>
      </c>
      <c r="H29" s="17">
        <f t="shared" si="1"/>
        <v>0</v>
      </c>
      <c r="I29" s="16">
        <f t="shared" si="2"/>
        <v>0</v>
      </c>
      <c r="J29" s="16"/>
    </row>
    <row r="30" spans="1:10" x14ac:dyDescent="0.25">
      <c r="A30" s="1" t="s">
        <v>16</v>
      </c>
      <c r="B30" s="1" t="s">
        <v>39</v>
      </c>
      <c r="C30" s="11"/>
      <c r="D30" s="11"/>
      <c r="E30" s="11"/>
      <c r="F30" s="11"/>
      <c r="G30" s="11">
        <f t="shared" si="0"/>
        <v>0</v>
      </c>
      <c r="H30" s="17">
        <f t="shared" si="1"/>
        <v>0</v>
      </c>
      <c r="I30" s="16">
        <f t="shared" si="2"/>
        <v>0</v>
      </c>
      <c r="J30" s="16"/>
    </row>
    <row r="31" spans="1:10" x14ac:dyDescent="0.25">
      <c r="A31" s="1" t="s">
        <v>16</v>
      </c>
      <c r="B31" s="1" t="s">
        <v>34</v>
      </c>
      <c r="C31" s="11"/>
      <c r="D31" s="11"/>
      <c r="E31" s="11"/>
      <c r="F31" s="11"/>
      <c r="G31" s="11">
        <f t="shared" si="0"/>
        <v>0</v>
      </c>
      <c r="H31" s="17">
        <f t="shared" si="1"/>
        <v>0</v>
      </c>
      <c r="I31" s="16">
        <f t="shared" si="2"/>
        <v>0</v>
      </c>
      <c r="J31" s="16"/>
    </row>
    <row r="32" spans="1:10" x14ac:dyDescent="0.25">
      <c r="A32" s="1" t="s">
        <v>16</v>
      </c>
      <c r="B32" s="1" t="s">
        <v>36</v>
      </c>
      <c r="C32" s="11"/>
      <c r="D32" s="11"/>
      <c r="E32" s="11"/>
      <c r="F32" s="11"/>
      <c r="G32" s="11">
        <f t="shared" si="0"/>
        <v>0</v>
      </c>
      <c r="H32" s="17">
        <f t="shared" si="1"/>
        <v>0</v>
      </c>
      <c r="I32" s="16">
        <f t="shared" si="2"/>
        <v>0</v>
      </c>
      <c r="J32" s="16"/>
    </row>
    <row r="33" spans="1:10" x14ac:dyDescent="0.25">
      <c r="A33" s="1" t="s">
        <v>44</v>
      </c>
      <c r="B33" s="1" t="s">
        <v>45</v>
      </c>
      <c r="C33" s="11">
        <v>22080</v>
      </c>
      <c r="D33" s="11"/>
      <c r="E33" s="11"/>
      <c r="F33" s="11"/>
      <c r="G33" s="11">
        <f t="shared" si="0"/>
        <v>22080</v>
      </c>
      <c r="H33" s="17">
        <f t="shared" si="1"/>
        <v>25.32</v>
      </c>
      <c r="I33" s="16">
        <f t="shared" si="2"/>
        <v>0.22800000000000001</v>
      </c>
      <c r="J33" s="16">
        <f>ROUND(G33/25500-1,2)</f>
        <v>-0.13</v>
      </c>
    </row>
    <row r="34" spans="1:10" x14ac:dyDescent="0.25">
      <c r="A34" s="1" t="s">
        <v>44</v>
      </c>
      <c r="B34" s="1" t="s">
        <v>46</v>
      </c>
      <c r="C34" s="11"/>
      <c r="D34" s="11"/>
      <c r="E34" s="11">
        <v>5731</v>
      </c>
      <c r="F34" s="11"/>
      <c r="G34" s="11">
        <f t="shared" si="0"/>
        <v>5731</v>
      </c>
      <c r="H34" s="17">
        <f t="shared" si="1"/>
        <v>6.57</v>
      </c>
      <c r="I34" s="16">
        <f t="shared" si="2"/>
        <v>5.8999999999999997E-2</v>
      </c>
      <c r="J34" s="16">
        <f>ROUND(G34/2489.83-1,2)</f>
        <v>1.3</v>
      </c>
    </row>
    <row r="35" spans="1:10" x14ac:dyDescent="0.25">
      <c r="A35" s="1" t="s">
        <v>44</v>
      </c>
      <c r="B35" s="1" t="s">
        <v>47</v>
      </c>
      <c r="C35" s="11"/>
      <c r="D35" s="11"/>
      <c r="E35" s="11"/>
      <c r="F35" s="11"/>
      <c r="G35" s="11">
        <f t="shared" si="0"/>
        <v>0</v>
      </c>
      <c r="H35" s="17">
        <f t="shared" si="1"/>
        <v>0</v>
      </c>
      <c r="I35" s="16">
        <f t="shared" si="2"/>
        <v>0</v>
      </c>
      <c r="J35" s="16"/>
    </row>
    <row r="36" spans="1:10" x14ac:dyDescent="0.25">
      <c r="A36" s="1" t="s">
        <v>48</v>
      </c>
      <c r="B36" s="1" t="s">
        <v>51</v>
      </c>
      <c r="C36" s="11"/>
      <c r="D36" s="11"/>
      <c r="E36" s="11"/>
      <c r="F36" s="11"/>
      <c r="G36" s="11">
        <f t="shared" si="0"/>
        <v>0</v>
      </c>
      <c r="H36" s="17">
        <f t="shared" si="1"/>
        <v>0</v>
      </c>
      <c r="I36" s="16">
        <f t="shared" si="2"/>
        <v>0</v>
      </c>
      <c r="J36" s="16"/>
    </row>
    <row r="37" spans="1:10" x14ac:dyDescent="0.25">
      <c r="A37" s="21" t="s">
        <v>12</v>
      </c>
      <c r="B37" s="21"/>
      <c r="C37" s="12">
        <f t="shared" ref="C37:H37" si="3">SUM(C8:C36)</f>
        <v>60490</v>
      </c>
      <c r="D37" s="12">
        <f t="shared" si="3"/>
        <v>0</v>
      </c>
      <c r="E37" s="12">
        <f t="shared" si="3"/>
        <v>36183</v>
      </c>
      <c r="F37" s="12">
        <f t="shared" si="3"/>
        <v>0</v>
      </c>
      <c r="G37" s="12">
        <f t="shared" si="3"/>
        <v>96673</v>
      </c>
      <c r="H37" s="15">
        <f t="shared" si="3"/>
        <v>110.85999999999999</v>
      </c>
      <c r="I37" s="18"/>
      <c r="J37" s="18"/>
    </row>
    <row r="38" spans="1:10" x14ac:dyDescent="0.25">
      <c r="A38" s="21" t="s">
        <v>14</v>
      </c>
      <c r="B38" s="21"/>
      <c r="C38" s="13">
        <f>ROUND(C37/G37,2)</f>
        <v>0.63</v>
      </c>
      <c r="D38" s="13">
        <f>ROUND(D37/G37,2)</f>
        <v>0</v>
      </c>
      <c r="E38" s="13">
        <f>ROUND(E37/G37,2)</f>
        <v>0.37</v>
      </c>
      <c r="F38" s="13">
        <f>ROUND(F37/G37,2)</f>
        <v>0</v>
      </c>
      <c r="G38" s="14"/>
      <c r="H38" s="14"/>
      <c r="I38" s="18"/>
      <c r="J38" s="18"/>
    </row>
    <row r="39" spans="1:10" x14ac:dyDescent="0.25">
      <c r="A39" s="2" t="s">
        <v>52</v>
      </c>
      <c r="B39" s="2"/>
      <c r="C39" s="14"/>
      <c r="D39" s="14"/>
      <c r="E39" s="14"/>
      <c r="F39" s="14"/>
      <c r="G39" s="14"/>
      <c r="H39" s="14"/>
      <c r="I39" s="18"/>
      <c r="J39" s="18"/>
    </row>
    <row r="40" spans="1:10" x14ac:dyDescent="0.25">
      <c r="C40" s="9"/>
      <c r="D40" s="9"/>
      <c r="E40" s="9"/>
      <c r="F40" s="9"/>
      <c r="G40" s="9"/>
      <c r="H40" s="9"/>
      <c r="I40" s="10"/>
      <c r="J40" s="10"/>
    </row>
    <row r="41" spans="1:10" x14ac:dyDescent="0.25">
      <c r="C41" s="9"/>
      <c r="D41" s="9"/>
      <c r="E41" s="9"/>
      <c r="F41" s="9"/>
      <c r="G41" s="9"/>
      <c r="H41" s="9"/>
      <c r="I41" s="10"/>
      <c r="J41" s="10"/>
    </row>
    <row r="42" spans="1:10" x14ac:dyDescent="0.25">
      <c r="C42" s="9"/>
      <c r="D42" s="9"/>
      <c r="E42" s="9"/>
      <c r="F42" s="9"/>
      <c r="G42" s="9"/>
      <c r="H42" s="9"/>
      <c r="I42" s="10"/>
      <c r="J42" s="10"/>
    </row>
    <row r="43" spans="1:10" x14ac:dyDescent="0.25">
      <c r="A43" s="21" t="s">
        <v>53</v>
      </c>
      <c r="B43" s="21"/>
      <c r="C43" s="12" t="s">
        <v>8</v>
      </c>
      <c r="D43" s="12" t="s">
        <v>9</v>
      </c>
      <c r="E43" s="12" t="s">
        <v>10</v>
      </c>
      <c r="F43" s="12" t="s">
        <v>11</v>
      </c>
      <c r="G43" s="12" t="s">
        <v>12</v>
      </c>
      <c r="H43" s="15" t="s">
        <v>13</v>
      </c>
      <c r="I43" s="18"/>
      <c r="J43" s="18"/>
    </row>
    <row r="44" spans="1:10" x14ac:dyDescent="0.25">
      <c r="A44" s="20" t="s">
        <v>54</v>
      </c>
      <c r="B44" s="20"/>
      <c r="C44" s="11">
        <v>38410</v>
      </c>
      <c r="D44" s="11">
        <v>0</v>
      </c>
      <c r="E44" s="11">
        <v>30452</v>
      </c>
      <c r="F44" s="11">
        <v>0</v>
      </c>
      <c r="G44" s="11">
        <f>SUM(C44:F44)</f>
        <v>68862</v>
      </c>
      <c r="H44" s="17">
        <f>ROUND(G44/872,2)</f>
        <v>78.97</v>
      </c>
      <c r="I44" s="10"/>
      <c r="J44" s="10"/>
    </row>
    <row r="45" spans="1:10" x14ac:dyDescent="0.25">
      <c r="A45" s="20" t="s">
        <v>55</v>
      </c>
      <c r="B45" s="20"/>
      <c r="C45" s="11">
        <v>22080</v>
      </c>
      <c r="D45" s="11">
        <v>0</v>
      </c>
      <c r="E45" s="11">
        <v>5731</v>
      </c>
      <c r="F45" s="11">
        <v>0</v>
      </c>
      <c r="G45" s="11">
        <f>SUM(C45:F45)</f>
        <v>27811</v>
      </c>
      <c r="H45" s="17">
        <f>ROUND(G45/872,2)</f>
        <v>31.89</v>
      </c>
      <c r="I45" s="10"/>
      <c r="J45" s="10"/>
    </row>
    <row r="46" spans="1:10" x14ac:dyDescent="0.25">
      <c r="A46" s="20" t="s">
        <v>56</v>
      </c>
      <c r="B46" s="20"/>
      <c r="C46" s="11">
        <v>0</v>
      </c>
      <c r="D46" s="11">
        <v>0</v>
      </c>
      <c r="E46" s="11">
        <v>0</v>
      </c>
      <c r="F46" s="11">
        <v>0</v>
      </c>
      <c r="G46" s="11">
        <f>SUM(C46:F46)</f>
        <v>0</v>
      </c>
      <c r="H46" s="17">
        <f>ROUND(G46/872,2)</f>
        <v>0</v>
      </c>
      <c r="I46" s="10"/>
      <c r="J46" s="10"/>
    </row>
    <row r="47" spans="1:10" x14ac:dyDescent="0.25">
      <c r="C47" s="9"/>
      <c r="D47" s="9"/>
      <c r="E47" s="9"/>
      <c r="F47" s="9"/>
      <c r="G47" s="9"/>
      <c r="H47" s="9"/>
      <c r="I47" s="10"/>
      <c r="J47" s="10"/>
    </row>
    <row r="48" spans="1:10" x14ac:dyDescent="0.25">
      <c r="C48" s="9"/>
      <c r="D48" s="9"/>
      <c r="E48" s="9"/>
      <c r="F48" s="9"/>
      <c r="G48" s="9"/>
      <c r="H48" s="9"/>
      <c r="I48" s="10"/>
      <c r="J48" s="10"/>
    </row>
    <row r="49" spans="1:10" x14ac:dyDescent="0.25">
      <c r="C49" s="9"/>
      <c r="D49" s="9"/>
      <c r="E49" s="9"/>
      <c r="F49" s="9"/>
      <c r="G49" s="9"/>
      <c r="H49" s="9"/>
      <c r="I49" s="10"/>
      <c r="J49" s="10"/>
    </row>
    <row r="50" spans="1:10" x14ac:dyDescent="0.25">
      <c r="C50" s="9"/>
      <c r="D50" s="9"/>
      <c r="E50" s="9"/>
      <c r="F50" s="9"/>
      <c r="G50" s="9"/>
      <c r="H50" s="9"/>
      <c r="I50" s="10"/>
      <c r="J50" s="10"/>
    </row>
    <row r="51" spans="1:10" x14ac:dyDescent="0.25">
      <c r="A51" s="21" t="s">
        <v>57</v>
      </c>
      <c r="B51" s="21"/>
      <c r="C51" s="15" t="s">
        <v>2</v>
      </c>
      <c r="D51" s="15">
        <v>2023</v>
      </c>
      <c r="E51" s="15" t="s">
        <v>59</v>
      </c>
      <c r="F51" s="14"/>
      <c r="G51" s="15" t="s">
        <v>60</v>
      </c>
      <c r="H51" s="15" t="s">
        <v>2</v>
      </c>
      <c r="I51" s="13" t="s">
        <v>61</v>
      </c>
      <c r="J51" s="13" t="s">
        <v>59</v>
      </c>
    </row>
    <row r="52" spans="1:10" x14ac:dyDescent="0.25">
      <c r="A52" s="20" t="s">
        <v>58</v>
      </c>
      <c r="B52" s="20"/>
      <c r="C52" s="16">
        <f>ROUND(0.7531, 4)</f>
        <v>0.75309999999999999</v>
      </c>
      <c r="D52" s="16">
        <f>ROUND(0.6403, 4)</f>
        <v>0.64029999999999998</v>
      </c>
      <c r="E52" s="16">
        <f>ROUND(0.777, 4)</f>
        <v>0.77700000000000002</v>
      </c>
      <c r="F52" s="9"/>
      <c r="G52" s="15" t="s">
        <v>62</v>
      </c>
      <c r="H52" s="22" t="s">
        <v>63</v>
      </c>
      <c r="I52" s="24" t="s">
        <v>64</v>
      </c>
      <c r="J52" s="24" t="s">
        <v>65</v>
      </c>
    </row>
    <row r="53" spans="1:10" x14ac:dyDescent="0.25">
      <c r="A53" s="20" t="s">
        <v>66</v>
      </c>
      <c r="B53" s="20"/>
      <c r="C53" s="16">
        <f>ROUND(0.7148, 4)</f>
        <v>0.71479999999999999</v>
      </c>
      <c r="D53" s="16">
        <f>ROUND(0.5967, 4)</f>
        <v>0.59670000000000001</v>
      </c>
      <c r="E53" s="16">
        <f>ROUND(0.7608, 4)</f>
        <v>0.76080000000000003</v>
      </c>
      <c r="F53" s="9"/>
      <c r="G53" s="15" t="s">
        <v>67</v>
      </c>
      <c r="H53" s="23"/>
      <c r="I53" s="25"/>
      <c r="J53" s="25"/>
    </row>
    <row r="54" spans="1:10" x14ac:dyDescent="0.25">
      <c r="C54" s="9"/>
      <c r="D54" s="9"/>
      <c r="E54" s="9"/>
      <c r="F54" s="9"/>
      <c r="G54" s="9"/>
      <c r="H54" s="9"/>
      <c r="I54" s="10"/>
      <c r="J54" s="10"/>
    </row>
    <row r="55" spans="1:10" x14ac:dyDescent="0.25">
      <c r="C55" s="9"/>
      <c r="D55" s="9"/>
      <c r="E55" s="9"/>
      <c r="F55" s="9"/>
      <c r="G55" s="9"/>
      <c r="H55" s="9"/>
      <c r="I55" s="10"/>
      <c r="J55" s="10"/>
    </row>
    <row r="56" spans="1:10" x14ac:dyDescent="0.25">
      <c r="C56" s="9"/>
      <c r="D56" s="9"/>
      <c r="E56" s="9"/>
      <c r="F56" s="9"/>
      <c r="G56" s="9"/>
      <c r="H56" s="9"/>
      <c r="I56" s="10"/>
      <c r="J56" s="10"/>
    </row>
    <row r="57" spans="1:10" x14ac:dyDescent="0.25">
      <c r="A57" s="21" t="s">
        <v>68</v>
      </c>
      <c r="B57" s="21"/>
      <c r="C57" s="15" t="s">
        <v>2</v>
      </c>
      <c r="D57" s="15" t="s">
        <v>319</v>
      </c>
      <c r="E57" s="15" t="s">
        <v>70</v>
      </c>
      <c r="F57" s="15" t="s">
        <v>71</v>
      </c>
      <c r="G57" s="15" t="s">
        <v>72</v>
      </c>
      <c r="H57" s="14"/>
      <c r="I57" s="18"/>
      <c r="J57" s="18"/>
    </row>
    <row r="58" spans="1:10" x14ac:dyDescent="0.25">
      <c r="A58" s="20" t="s">
        <v>73</v>
      </c>
      <c r="B58" s="20"/>
      <c r="C58" s="17">
        <v>25.32</v>
      </c>
      <c r="D58" s="17">
        <v>76.12</v>
      </c>
      <c r="E58" s="17">
        <v>81.84</v>
      </c>
      <c r="F58" s="17">
        <v>48</v>
      </c>
      <c r="G58" s="17">
        <f>12/4*C58</f>
        <v>75.960000000000008</v>
      </c>
      <c r="H58" s="9"/>
      <c r="I58" s="10"/>
      <c r="J58" s="10"/>
    </row>
    <row r="59" spans="1:10" x14ac:dyDescent="0.25">
      <c r="A59" s="20" t="s">
        <v>74</v>
      </c>
      <c r="B59" s="20"/>
      <c r="C59" s="17">
        <v>14.61</v>
      </c>
      <c r="D59" s="17">
        <v>40.92</v>
      </c>
      <c r="E59" s="17">
        <v>55.63</v>
      </c>
      <c r="F59" s="17">
        <v>55.33</v>
      </c>
      <c r="G59" s="17">
        <f>12/4*C59</f>
        <v>43.83</v>
      </c>
      <c r="H59" s="9"/>
      <c r="I59" s="10"/>
      <c r="J59" s="10"/>
    </row>
    <row r="60" spans="1:10" x14ac:dyDescent="0.25">
      <c r="A60" s="20" t="s">
        <v>75</v>
      </c>
      <c r="B60" s="20"/>
      <c r="C60" s="17">
        <v>78.97</v>
      </c>
      <c r="D60" s="17">
        <v>180.37</v>
      </c>
      <c r="E60" s="17">
        <v>257.88</v>
      </c>
      <c r="F60" s="17">
        <v>242.78</v>
      </c>
      <c r="G60" s="17">
        <f>12/4*C60</f>
        <v>236.91</v>
      </c>
      <c r="H60" s="9"/>
      <c r="I60" s="10"/>
      <c r="J60" s="10"/>
    </row>
    <row r="61" spans="1:10" x14ac:dyDescent="0.25">
      <c r="A61" s="20" t="s">
        <v>76</v>
      </c>
      <c r="B61" s="20"/>
      <c r="C61" s="17">
        <v>31.89</v>
      </c>
      <c r="D61" s="17">
        <v>90.68</v>
      </c>
      <c r="E61" s="17">
        <v>103.14</v>
      </c>
      <c r="F61" s="17">
        <v>68.31</v>
      </c>
      <c r="G61" s="17">
        <f>12/4*C61</f>
        <v>95.67</v>
      </c>
      <c r="H61" s="9"/>
      <c r="I61" s="10"/>
      <c r="J61" s="10"/>
    </row>
    <row r="62" spans="1:10" x14ac:dyDescent="0.25">
      <c r="C62" s="9"/>
      <c r="D62" s="9"/>
      <c r="E62" s="9"/>
      <c r="F62" s="9"/>
      <c r="G62" s="9"/>
      <c r="H62" s="9"/>
      <c r="I62" s="10"/>
      <c r="J62" s="10"/>
    </row>
    <row r="63" spans="1:10" x14ac:dyDescent="0.25">
      <c r="C63" s="9"/>
      <c r="D63" s="9"/>
      <c r="E63" s="9"/>
      <c r="F63" s="9"/>
      <c r="G63" s="9"/>
      <c r="H63" s="9"/>
      <c r="I63" s="10"/>
      <c r="J63" s="10"/>
    </row>
    <row r="64" spans="1:10" x14ac:dyDescent="0.25">
      <c r="A64" s="19" t="s">
        <v>60</v>
      </c>
      <c r="B64" s="26"/>
      <c r="C64" s="9"/>
      <c r="D64" s="9"/>
      <c r="E64" s="9"/>
      <c r="F64" s="9"/>
      <c r="G64" s="9"/>
      <c r="H64" s="9"/>
      <c r="I64" s="10"/>
      <c r="J64" s="10"/>
    </row>
    <row r="65" spans="1:10" x14ac:dyDescent="0.25">
      <c r="A65" s="3" t="s">
        <v>77</v>
      </c>
      <c r="B65" s="1" t="s">
        <v>320</v>
      </c>
      <c r="C65" s="9"/>
      <c r="D65" s="9"/>
      <c r="E65" s="9"/>
      <c r="F65" s="9"/>
      <c r="G65" s="9"/>
      <c r="H65" s="9"/>
      <c r="I65" s="10"/>
      <c r="J65" s="10"/>
    </row>
    <row r="66" spans="1:10" x14ac:dyDescent="0.25">
      <c r="A66" s="3" t="s">
        <v>70</v>
      </c>
      <c r="B66" s="1" t="s">
        <v>79</v>
      </c>
      <c r="C66" s="9"/>
      <c r="D66" s="9"/>
      <c r="E66" s="9"/>
      <c r="F66" s="9"/>
      <c r="G66" s="9"/>
      <c r="H66" s="9"/>
      <c r="I66" s="10"/>
      <c r="J66" s="10"/>
    </row>
    <row r="67" spans="1:10" x14ac:dyDescent="0.25">
      <c r="A67" s="3" t="s">
        <v>71</v>
      </c>
      <c r="B67" s="1" t="s">
        <v>80</v>
      </c>
      <c r="C67" s="9"/>
      <c r="D67" s="9"/>
      <c r="E67" s="9"/>
      <c r="F67" s="9"/>
      <c r="G67" s="9"/>
      <c r="H67" s="9"/>
      <c r="I67" s="10"/>
      <c r="J67" s="10"/>
    </row>
    <row r="68" spans="1:10" x14ac:dyDescent="0.25">
      <c r="A68" s="3" t="s">
        <v>72</v>
      </c>
      <c r="B68" s="1" t="s">
        <v>81</v>
      </c>
      <c r="C68" s="9"/>
      <c r="D68" s="9"/>
      <c r="E68" s="9"/>
      <c r="F68" s="9"/>
      <c r="G68" s="9"/>
      <c r="H68" s="9"/>
      <c r="I68" s="10"/>
      <c r="J68" s="10"/>
    </row>
    <row r="69" spans="1:10" x14ac:dyDescent="0.25">
      <c r="C69" s="9"/>
      <c r="D69" s="9"/>
      <c r="E69" s="9"/>
      <c r="F69" s="9"/>
      <c r="G69" s="9"/>
      <c r="H69" s="9"/>
      <c r="I69" s="10"/>
      <c r="J69" s="10"/>
    </row>
    <row r="70" spans="1:10" x14ac:dyDescent="0.25">
      <c r="C70" s="9"/>
      <c r="D70" s="9"/>
      <c r="E70" s="9"/>
      <c r="F70" s="9"/>
      <c r="G70" s="9"/>
      <c r="H70" s="9"/>
      <c r="I70" s="10"/>
      <c r="J70" s="10"/>
    </row>
    <row r="71" spans="1:10" x14ac:dyDescent="0.25">
      <c r="C71" s="9"/>
      <c r="D71" s="9"/>
      <c r="E71" s="9"/>
      <c r="F71" s="9"/>
      <c r="G71" s="9"/>
      <c r="H71" s="9"/>
      <c r="I71" s="10"/>
      <c r="J71" s="10"/>
    </row>
    <row r="72" spans="1:10" x14ac:dyDescent="0.25">
      <c r="C72" s="9"/>
      <c r="D72" s="9"/>
      <c r="E72" s="9"/>
      <c r="F72" s="9"/>
      <c r="G72" s="9"/>
      <c r="H72" s="9"/>
      <c r="I72" s="10"/>
      <c r="J72" s="10"/>
    </row>
    <row r="73" spans="1:10" x14ac:dyDescent="0.25">
      <c r="C73" s="9"/>
      <c r="D73" s="9"/>
      <c r="E73" s="9"/>
      <c r="F73" s="9"/>
      <c r="G73" s="9"/>
      <c r="H73" s="9"/>
      <c r="I73" s="10"/>
      <c r="J73" s="10"/>
    </row>
    <row r="74" spans="1:10" x14ac:dyDescent="0.25">
      <c r="C74" s="9"/>
      <c r="D74" s="9"/>
      <c r="E74" s="9"/>
      <c r="F74" s="9"/>
      <c r="G74" s="9"/>
      <c r="H74" s="9"/>
      <c r="I74" s="10"/>
      <c r="J74" s="10"/>
    </row>
    <row r="75" spans="1:10" x14ac:dyDescent="0.25">
      <c r="C75" s="9"/>
      <c r="D75" s="9"/>
      <c r="E75" s="9"/>
      <c r="F75" s="9"/>
      <c r="G75" s="9"/>
      <c r="H75" s="9"/>
      <c r="I75" s="10"/>
      <c r="J75" s="10"/>
    </row>
    <row r="76" spans="1:10" x14ac:dyDescent="0.25">
      <c r="C76" s="9"/>
      <c r="D76" s="9"/>
      <c r="E76" s="9"/>
      <c r="F76" s="9"/>
      <c r="G76" s="9"/>
      <c r="H76" s="9"/>
      <c r="I76" s="10"/>
      <c r="J76" s="10"/>
    </row>
  </sheetData>
  <mergeCells count="19">
    <mergeCell ref="A59:B59"/>
    <mergeCell ref="A60:B60"/>
    <mergeCell ref="A61:B61"/>
    <mergeCell ref="A64:B64"/>
    <mergeCell ref="I52:I53"/>
    <mergeCell ref="J52:J53"/>
    <mergeCell ref="A53:B53"/>
    <mergeCell ref="A57:B57"/>
    <mergeCell ref="A58:B58"/>
    <mergeCell ref="A45:B45"/>
    <mergeCell ref="A46:B46"/>
    <mergeCell ref="A51:B51"/>
    <mergeCell ref="A52:B52"/>
    <mergeCell ref="H52:H53"/>
    <mergeCell ref="C7:G7"/>
    <mergeCell ref="A37:B37"/>
    <mergeCell ref="A38:B38"/>
    <mergeCell ref="A43:B43"/>
    <mergeCell ref="A44:B44"/>
  </mergeCell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dimension ref="A2:J76"/>
  <sheetViews>
    <sheetView workbookViewId="0">
      <selection activeCell="C9" sqref="C9:J68"/>
    </sheetView>
  </sheetViews>
  <sheetFormatPr defaultRowHeight="15" x14ac:dyDescent="0.25"/>
  <cols>
    <col min="1" max="1" width="38.85546875" bestFit="1" customWidth="1"/>
    <col min="2" max="2" width="80.140625" bestFit="1" customWidth="1"/>
    <col min="3" max="3" width="14" bestFit="1" customWidth="1"/>
    <col min="4" max="4" width="22.28515625" bestFit="1" customWidth="1"/>
    <col min="5" max="5" width="16.42578125" bestFit="1" customWidth="1"/>
    <col min="6" max="6" width="10.5703125" bestFit="1" customWidth="1"/>
    <col min="7" max="7" width="68.28515625" bestFit="1" customWidth="1"/>
    <col min="8" max="9" width="20" bestFit="1" customWidth="1"/>
    <col min="10" max="10" width="30.5703125" bestFit="1" customWidth="1"/>
  </cols>
  <sheetData>
    <row r="2" spans="1:10" ht="18.75" x14ac:dyDescent="0.3">
      <c r="A2" s="3" t="s">
        <v>0</v>
      </c>
      <c r="B2" s="4" t="s">
        <v>321</v>
      </c>
    </row>
    <row r="3" spans="1:10" x14ac:dyDescent="0.25">
      <c r="A3" s="3" t="s">
        <v>2</v>
      </c>
      <c r="B3" s="1" t="s">
        <v>3</v>
      </c>
    </row>
    <row r="4" spans="1:10" x14ac:dyDescent="0.25">
      <c r="A4" s="3" t="s">
        <v>4</v>
      </c>
      <c r="B4" s="1">
        <v>1228</v>
      </c>
    </row>
    <row r="7" spans="1:10" x14ac:dyDescent="0.25">
      <c r="C7" s="19" t="s">
        <v>5</v>
      </c>
      <c r="D7" s="20"/>
      <c r="E7" s="20"/>
      <c r="F7" s="20"/>
      <c r="G7" s="20"/>
    </row>
    <row r="8" spans="1:10" x14ac:dyDescent="0.25">
      <c r="A8" s="3" t="s">
        <v>6</v>
      </c>
      <c r="B8" s="3" t="s">
        <v>7</v>
      </c>
      <c r="C8" s="3" t="s">
        <v>8</v>
      </c>
      <c r="D8" s="3" t="s">
        <v>9</v>
      </c>
      <c r="E8" s="3" t="s">
        <v>10</v>
      </c>
      <c r="F8" s="3" t="s">
        <v>11</v>
      </c>
      <c r="G8" s="3" t="s">
        <v>12</v>
      </c>
      <c r="H8" s="3" t="s">
        <v>13</v>
      </c>
      <c r="I8" s="3" t="s">
        <v>14</v>
      </c>
      <c r="J8" s="3" t="s">
        <v>15</v>
      </c>
    </row>
    <row r="9" spans="1:10" x14ac:dyDescent="0.25">
      <c r="A9" s="1" t="s">
        <v>16</v>
      </c>
      <c r="B9" s="1" t="s">
        <v>17</v>
      </c>
      <c r="C9" s="11"/>
      <c r="D9" s="11"/>
      <c r="E9" s="11">
        <v>10</v>
      </c>
      <c r="F9" s="11"/>
      <c r="G9" s="11">
        <f t="shared" ref="G9:G44" si="0">SUM(C9:F9)</f>
        <v>10</v>
      </c>
      <c r="H9" s="17">
        <f t="shared" ref="H9:H44" si="1">ROUND(G9/1228,2)</f>
        <v>0.01</v>
      </c>
      <c r="I9" s="16">
        <f t="shared" ref="I9:I44" si="2">ROUND(G9/$G$45,3)</f>
        <v>0</v>
      </c>
      <c r="J9" s="16">
        <f>ROUND(G9/60-1,2)</f>
        <v>-0.83</v>
      </c>
    </row>
    <row r="10" spans="1:10" x14ac:dyDescent="0.25">
      <c r="A10" s="1" t="s">
        <v>16</v>
      </c>
      <c r="B10" s="1" t="s">
        <v>19</v>
      </c>
      <c r="C10" s="11">
        <v>14550</v>
      </c>
      <c r="D10" s="11"/>
      <c r="E10" s="11">
        <v>1500</v>
      </c>
      <c r="F10" s="11"/>
      <c r="G10" s="11">
        <f t="shared" si="0"/>
        <v>16050</v>
      </c>
      <c r="H10" s="17">
        <f t="shared" si="1"/>
        <v>13.07</v>
      </c>
      <c r="I10" s="16">
        <f t="shared" si="2"/>
        <v>0.08</v>
      </c>
      <c r="J10" s="16">
        <f>ROUND(G10/17065.39-1,2)</f>
        <v>-0.06</v>
      </c>
    </row>
    <row r="11" spans="1:10" x14ac:dyDescent="0.25">
      <c r="A11" s="1" t="s">
        <v>16</v>
      </c>
      <c r="B11" s="1" t="s">
        <v>20</v>
      </c>
      <c r="C11" s="11">
        <v>25540</v>
      </c>
      <c r="D11" s="11"/>
      <c r="E11" s="11"/>
      <c r="F11" s="11"/>
      <c r="G11" s="11">
        <f t="shared" si="0"/>
        <v>25540</v>
      </c>
      <c r="H11" s="17">
        <f t="shared" si="1"/>
        <v>20.8</v>
      </c>
      <c r="I11" s="16">
        <f t="shared" si="2"/>
        <v>0.127</v>
      </c>
      <c r="J11" s="16">
        <f>ROUND(G11/25325-1,2)</f>
        <v>0.01</v>
      </c>
    </row>
    <row r="12" spans="1:10" x14ac:dyDescent="0.25">
      <c r="A12" s="1" t="s">
        <v>16</v>
      </c>
      <c r="B12" s="1" t="s">
        <v>21</v>
      </c>
      <c r="C12" s="11"/>
      <c r="D12" s="11"/>
      <c r="E12" s="11">
        <v>37</v>
      </c>
      <c r="F12" s="11"/>
      <c r="G12" s="11">
        <f t="shared" si="0"/>
        <v>37</v>
      </c>
      <c r="H12" s="17">
        <f t="shared" si="1"/>
        <v>0.03</v>
      </c>
      <c r="I12" s="16">
        <f t="shared" si="2"/>
        <v>0</v>
      </c>
      <c r="J12" s="16">
        <f>ROUND(G12/34.94-1,2)</f>
        <v>0.06</v>
      </c>
    </row>
    <row r="13" spans="1:10" x14ac:dyDescent="0.25">
      <c r="A13" s="1" t="s">
        <v>16</v>
      </c>
      <c r="B13" s="1" t="s">
        <v>22</v>
      </c>
      <c r="C13" s="11"/>
      <c r="D13" s="11"/>
      <c r="E13" s="11">
        <v>217</v>
      </c>
      <c r="F13" s="11"/>
      <c r="G13" s="11">
        <f t="shared" si="0"/>
        <v>217</v>
      </c>
      <c r="H13" s="17">
        <f t="shared" si="1"/>
        <v>0.18</v>
      </c>
      <c r="I13" s="16">
        <f t="shared" si="2"/>
        <v>1E-3</v>
      </c>
      <c r="J13" s="16">
        <f>ROUND(G13/1040-1,2)</f>
        <v>-0.79</v>
      </c>
    </row>
    <row r="14" spans="1:10" x14ac:dyDescent="0.25">
      <c r="A14" s="1" t="s">
        <v>16</v>
      </c>
      <c r="B14" s="1" t="s">
        <v>23</v>
      </c>
      <c r="C14" s="11"/>
      <c r="D14" s="11"/>
      <c r="E14" s="11">
        <v>10351</v>
      </c>
      <c r="F14" s="11"/>
      <c r="G14" s="11">
        <f t="shared" si="0"/>
        <v>10351</v>
      </c>
      <c r="H14" s="17">
        <f t="shared" si="1"/>
        <v>8.43</v>
      </c>
      <c r="I14" s="16">
        <f t="shared" si="2"/>
        <v>5.0999999999999997E-2</v>
      </c>
      <c r="J14" s="16">
        <f>ROUND(G14/15839.13-1,2)</f>
        <v>-0.35</v>
      </c>
    </row>
    <row r="15" spans="1:10" x14ac:dyDescent="0.25">
      <c r="A15" s="1" t="s">
        <v>16</v>
      </c>
      <c r="B15" s="1" t="s">
        <v>24</v>
      </c>
      <c r="C15" s="11">
        <v>23610</v>
      </c>
      <c r="D15" s="11"/>
      <c r="E15" s="11">
        <v>4900</v>
      </c>
      <c r="F15" s="11"/>
      <c r="G15" s="11">
        <f t="shared" si="0"/>
        <v>28510</v>
      </c>
      <c r="H15" s="17">
        <f t="shared" si="1"/>
        <v>23.22</v>
      </c>
      <c r="I15" s="16">
        <f t="shared" si="2"/>
        <v>0.14099999999999999</v>
      </c>
      <c r="J15" s="16">
        <f>ROUND(G15/22568.28-1,2)</f>
        <v>0.26</v>
      </c>
    </row>
    <row r="16" spans="1:10" x14ac:dyDescent="0.25">
      <c r="A16" s="1" t="s">
        <v>16</v>
      </c>
      <c r="B16" s="1" t="s">
        <v>25</v>
      </c>
      <c r="C16" s="11"/>
      <c r="D16" s="11"/>
      <c r="E16" s="11">
        <v>1114</v>
      </c>
      <c r="F16" s="11"/>
      <c r="G16" s="11">
        <f t="shared" si="0"/>
        <v>1114</v>
      </c>
      <c r="H16" s="17">
        <f t="shared" si="1"/>
        <v>0.91</v>
      </c>
      <c r="I16" s="16">
        <f t="shared" si="2"/>
        <v>6.0000000000000001E-3</v>
      </c>
      <c r="J16" s="16">
        <f>ROUND(G16/2740-1,2)</f>
        <v>-0.59</v>
      </c>
    </row>
    <row r="17" spans="1:10" x14ac:dyDescent="0.25">
      <c r="A17" s="1" t="s">
        <v>16</v>
      </c>
      <c r="B17" s="1" t="s">
        <v>26</v>
      </c>
      <c r="C17" s="11">
        <v>12540</v>
      </c>
      <c r="D17" s="11"/>
      <c r="E17" s="11"/>
      <c r="F17" s="11"/>
      <c r="G17" s="11">
        <f t="shared" si="0"/>
        <v>12540</v>
      </c>
      <c r="H17" s="17">
        <f t="shared" si="1"/>
        <v>10.210000000000001</v>
      </c>
      <c r="I17" s="16">
        <f t="shared" si="2"/>
        <v>6.2E-2</v>
      </c>
      <c r="J17" s="16">
        <f>ROUND(G17/14690-1,2)</f>
        <v>-0.15</v>
      </c>
    </row>
    <row r="18" spans="1:10" x14ac:dyDescent="0.25">
      <c r="A18" s="1" t="s">
        <v>16</v>
      </c>
      <c r="B18" s="1" t="s">
        <v>27</v>
      </c>
      <c r="C18" s="11"/>
      <c r="D18" s="11"/>
      <c r="E18" s="11">
        <v>142</v>
      </c>
      <c r="F18" s="11"/>
      <c r="G18" s="11">
        <f t="shared" si="0"/>
        <v>142</v>
      </c>
      <c r="H18" s="17">
        <f t="shared" si="1"/>
        <v>0.12</v>
      </c>
      <c r="I18" s="16">
        <f t="shared" si="2"/>
        <v>1E-3</v>
      </c>
      <c r="J18" s="16">
        <f>ROUND(G18/299-1,2)</f>
        <v>-0.53</v>
      </c>
    </row>
    <row r="19" spans="1:10" x14ac:dyDescent="0.25">
      <c r="A19" s="1" t="s">
        <v>16</v>
      </c>
      <c r="B19" s="1" t="s">
        <v>28</v>
      </c>
      <c r="C19" s="11"/>
      <c r="D19" s="11"/>
      <c r="E19" s="11">
        <v>69</v>
      </c>
      <c r="F19" s="11"/>
      <c r="G19" s="11">
        <f t="shared" si="0"/>
        <v>69</v>
      </c>
      <c r="H19" s="17">
        <f t="shared" si="1"/>
        <v>0.06</v>
      </c>
      <c r="I19" s="16">
        <f t="shared" si="2"/>
        <v>0</v>
      </c>
      <c r="J19" s="16">
        <f>ROUND(G19/290-1,2)</f>
        <v>-0.76</v>
      </c>
    </row>
    <row r="20" spans="1:10" x14ac:dyDescent="0.25">
      <c r="A20" s="1" t="s">
        <v>16</v>
      </c>
      <c r="B20" s="1" t="s">
        <v>29</v>
      </c>
      <c r="C20" s="11"/>
      <c r="D20" s="11"/>
      <c r="E20" s="11">
        <v>55</v>
      </c>
      <c r="F20" s="11"/>
      <c r="G20" s="11">
        <f t="shared" si="0"/>
        <v>55</v>
      </c>
      <c r="H20" s="17">
        <f t="shared" si="1"/>
        <v>0.04</v>
      </c>
      <c r="I20" s="16">
        <f t="shared" si="2"/>
        <v>0</v>
      </c>
      <c r="J20" s="16">
        <f>ROUND(G20/193.42-1,2)</f>
        <v>-0.72</v>
      </c>
    </row>
    <row r="21" spans="1:10" x14ac:dyDescent="0.25">
      <c r="A21" s="1" t="s">
        <v>16</v>
      </c>
      <c r="B21" s="1" t="s">
        <v>31</v>
      </c>
      <c r="C21" s="11"/>
      <c r="D21" s="11"/>
      <c r="E21" s="11">
        <v>154</v>
      </c>
      <c r="F21" s="11"/>
      <c r="G21" s="11">
        <f t="shared" si="0"/>
        <v>154</v>
      </c>
      <c r="H21" s="17">
        <f t="shared" si="1"/>
        <v>0.13</v>
      </c>
      <c r="I21" s="16">
        <f t="shared" si="2"/>
        <v>1E-3</v>
      </c>
      <c r="J21" s="16">
        <f>ROUND(G21/241.24-1,2)</f>
        <v>-0.36</v>
      </c>
    </row>
    <row r="22" spans="1:10" x14ac:dyDescent="0.25">
      <c r="A22" s="1" t="s">
        <v>16</v>
      </c>
      <c r="B22" s="1" t="s">
        <v>32</v>
      </c>
      <c r="C22" s="11"/>
      <c r="D22" s="11">
        <v>87</v>
      </c>
      <c r="E22" s="11">
        <v>28</v>
      </c>
      <c r="F22" s="11"/>
      <c r="G22" s="11">
        <f t="shared" si="0"/>
        <v>115</v>
      </c>
      <c r="H22" s="17">
        <f t="shared" si="1"/>
        <v>0.09</v>
      </c>
      <c r="I22" s="16">
        <f t="shared" si="2"/>
        <v>1E-3</v>
      </c>
      <c r="J22" s="16">
        <f>ROUND(G22/200-1,2)</f>
        <v>-0.43</v>
      </c>
    </row>
    <row r="23" spans="1:10" x14ac:dyDescent="0.25">
      <c r="A23" s="1" t="s">
        <v>16</v>
      </c>
      <c r="B23" s="1" t="s">
        <v>34</v>
      </c>
      <c r="C23" s="11"/>
      <c r="D23" s="11"/>
      <c r="E23" s="11">
        <v>113</v>
      </c>
      <c r="F23" s="11"/>
      <c r="G23" s="11">
        <f t="shared" si="0"/>
        <v>113</v>
      </c>
      <c r="H23" s="17">
        <f t="shared" si="1"/>
        <v>0.09</v>
      </c>
      <c r="I23" s="16">
        <f t="shared" si="2"/>
        <v>1E-3</v>
      </c>
      <c r="J23" s="16"/>
    </row>
    <row r="24" spans="1:10" x14ac:dyDescent="0.25">
      <c r="A24" s="1" t="s">
        <v>16</v>
      </c>
      <c r="B24" s="1" t="s">
        <v>35</v>
      </c>
      <c r="C24" s="11"/>
      <c r="D24" s="11"/>
      <c r="E24" s="11">
        <v>10293</v>
      </c>
      <c r="F24" s="11"/>
      <c r="G24" s="11">
        <f t="shared" si="0"/>
        <v>10293</v>
      </c>
      <c r="H24" s="17">
        <f t="shared" si="1"/>
        <v>8.3800000000000008</v>
      </c>
      <c r="I24" s="16">
        <f t="shared" si="2"/>
        <v>5.0999999999999997E-2</v>
      </c>
      <c r="J24" s="16">
        <f>ROUND(G24/19499.84-1,2)</f>
        <v>-0.47</v>
      </c>
    </row>
    <row r="25" spans="1:10" x14ac:dyDescent="0.25">
      <c r="A25" s="1" t="s">
        <v>16</v>
      </c>
      <c r="B25" s="1" t="s">
        <v>36</v>
      </c>
      <c r="C25" s="11"/>
      <c r="D25" s="11"/>
      <c r="E25" s="11">
        <v>684</v>
      </c>
      <c r="F25" s="11"/>
      <c r="G25" s="11">
        <f t="shared" si="0"/>
        <v>684</v>
      </c>
      <c r="H25" s="17">
        <f t="shared" si="1"/>
        <v>0.56000000000000005</v>
      </c>
      <c r="I25" s="16">
        <f t="shared" si="2"/>
        <v>3.0000000000000001E-3</v>
      </c>
      <c r="J25" s="16">
        <f>ROUND(G25/1326.07-1,2)</f>
        <v>-0.48</v>
      </c>
    </row>
    <row r="26" spans="1:10" x14ac:dyDescent="0.25">
      <c r="A26" s="1" t="s">
        <v>16</v>
      </c>
      <c r="B26" s="1" t="s">
        <v>37</v>
      </c>
      <c r="C26" s="11"/>
      <c r="D26" s="11"/>
      <c r="E26" s="11">
        <v>2951</v>
      </c>
      <c r="F26" s="11"/>
      <c r="G26" s="11">
        <f t="shared" si="0"/>
        <v>2951</v>
      </c>
      <c r="H26" s="17">
        <f t="shared" si="1"/>
        <v>2.4</v>
      </c>
      <c r="I26" s="16">
        <f t="shared" si="2"/>
        <v>1.4999999999999999E-2</v>
      </c>
      <c r="J26" s="16">
        <f>ROUND(G26/3380.59-1,2)</f>
        <v>-0.13</v>
      </c>
    </row>
    <row r="27" spans="1:10" x14ac:dyDescent="0.25">
      <c r="A27" s="1" t="s">
        <v>16</v>
      </c>
      <c r="B27" s="1" t="s">
        <v>38</v>
      </c>
      <c r="C27" s="11"/>
      <c r="D27" s="11"/>
      <c r="E27" s="11">
        <v>3278</v>
      </c>
      <c r="F27" s="11"/>
      <c r="G27" s="11">
        <f t="shared" si="0"/>
        <v>3278</v>
      </c>
      <c r="H27" s="17">
        <f t="shared" si="1"/>
        <v>2.67</v>
      </c>
      <c r="I27" s="16">
        <f t="shared" si="2"/>
        <v>1.6E-2</v>
      </c>
      <c r="J27" s="16">
        <f>ROUND(G27/5278.78-1,2)</f>
        <v>-0.38</v>
      </c>
    </row>
    <row r="28" spans="1:10" x14ac:dyDescent="0.25">
      <c r="A28" s="1" t="s">
        <v>16</v>
      </c>
      <c r="B28" s="1" t="s">
        <v>40</v>
      </c>
      <c r="C28" s="11"/>
      <c r="D28" s="11"/>
      <c r="E28" s="11"/>
      <c r="F28" s="11"/>
      <c r="G28" s="11">
        <f t="shared" si="0"/>
        <v>0</v>
      </c>
      <c r="H28" s="17">
        <f t="shared" si="1"/>
        <v>0</v>
      </c>
      <c r="I28" s="16">
        <f t="shared" si="2"/>
        <v>0</v>
      </c>
      <c r="J28" s="16">
        <f>ROUND(G28/200-1,2)</f>
        <v>-1</v>
      </c>
    </row>
    <row r="29" spans="1:10" x14ac:dyDescent="0.25">
      <c r="A29" s="1" t="s">
        <v>16</v>
      </c>
      <c r="B29" s="1" t="s">
        <v>43</v>
      </c>
      <c r="C29" s="11"/>
      <c r="D29" s="11"/>
      <c r="E29" s="11"/>
      <c r="F29" s="11"/>
      <c r="G29" s="11">
        <f t="shared" si="0"/>
        <v>0</v>
      </c>
      <c r="H29" s="17">
        <f t="shared" si="1"/>
        <v>0</v>
      </c>
      <c r="I29" s="16">
        <f t="shared" si="2"/>
        <v>0</v>
      </c>
      <c r="J29" s="16">
        <f>ROUND(G29/4035-1,2)</f>
        <v>-1</v>
      </c>
    </row>
    <row r="30" spans="1:10" x14ac:dyDescent="0.25">
      <c r="A30" s="1" t="s">
        <v>16</v>
      </c>
      <c r="B30" s="1" t="s">
        <v>42</v>
      </c>
      <c r="C30" s="11"/>
      <c r="D30" s="11"/>
      <c r="E30" s="11"/>
      <c r="F30" s="11"/>
      <c r="G30" s="11">
        <f t="shared" si="0"/>
        <v>0</v>
      </c>
      <c r="H30" s="17">
        <f t="shared" si="1"/>
        <v>0</v>
      </c>
      <c r="I30" s="16">
        <f t="shared" si="2"/>
        <v>0</v>
      </c>
      <c r="J30" s="16">
        <f>ROUND(G30/1013.66-1,2)</f>
        <v>-1</v>
      </c>
    </row>
    <row r="31" spans="1:10" x14ac:dyDescent="0.25">
      <c r="A31" s="1" t="s">
        <v>16</v>
      </c>
      <c r="B31" s="1" t="s">
        <v>18</v>
      </c>
      <c r="C31" s="11"/>
      <c r="D31" s="11"/>
      <c r="E31" s="11"/>
      <c r="F31" s="11"/>
      <c r="G31" s="11">
        <f t="shared" si="0"/>
        <v>0</v>
      </c>
      <c r="H31" s="17">
        <f t="shared" si="1"/>
        <v>0</v>
      </c>
      <c r="I31" s="16">
        <f t="shared" si="2"/>
        <v>0</v>
      </c>
      <c r="J31" s="16">
        <f>ROUND(G31/4600-1,2)</f>
        <v>-1</v>
      </c>
    </row>
    <row r="32" spans="1:10" x14ac:dyDescent="0.25">
      <c r="A32" s="1" t="s">
        <v>16</v>
      </c>
      <c r="B32" s="1" t="s">
        <v>241</v>
      </c>
      <c r="C32" s="11"/>
      <c r="D32" s="11"/>
      <c r="E32" s="11"/>
      <c r="F32" s="11"/>
      <c r="G32" s="11">
        <f t="shared" si="0"/>
        <v>0</v>
      </c>
      <c r="H32" s="17">
        <f t="shared" si="1"/>
        <v>0</v>
      </c>
      <c r="I32" s="16">
        <f t="shared" si="2"/>
        <v>0</v>
      </c>
      <c r="J32" s="16">
        <f>ROUND(G32/1540-1,2)</f>
        <v>-1</v>
      </c>
    </row>
    <row r="33" spans="1:10" x14ac:dyDescent="0.25">
      <c r="A33" s="1" t="s">
        <v>16</v>
      </c>
      <c r="B33" s="1" t="s">
        <v>39</v>
      </c>
      <c r="C33" s="11"/>
      <c r="D33" s="11"/>
      <c r="E33" s="11"/>
      <c r="F33" s="11"/>
      <c r="G33" s="11">
        <f t="shared" si="0"/>
        <v>0</v>
      </c>
      <c r="H33" s="17">
        <f t="shared" si="1"/>
        <v>0</v>
      </c>
      <c r="I33" s="16">
        <f t="shared" si="2"/>
        <v>0</v>
      </c>
      <c r="J33" s="16"/>
    </row>
    <row r="34" spans="1:10" x14ac:dyDescent="0.25">
      <c r="A34" s="1" t="s">
        <v>16</v>
      </c>
      <c r="B34" s="1" t="s">
        <v>41</v>
      </c>
      <c r="C34" s="11"/>
      <c r="D34" s="11"/>
      <c r="E34" s="11"/>
      <c r="F34" s="11"/>
      <c r="G34" s="11">
        <f t="shared" si="0"/>
        <v>0</v>
      </c>
      <c r="H34" s="17">
        <f t="shared" si="1"/>
        <v>0</v>
      </c>
      <c r="I34" s="16">
        <f t="shared" si="2"/>
        <v>0</v>
      </c>
      <c r="J34" s="16">
        <f>ROUND(G34/243.26-1,2)</f>
        <v>-1</v>
      </c>
    </row>
    <row r="35" spans="1:10" x14ac:dyDescent="0.25">
      <c r="A35" s="1" t="s">
        <v>16</v>
      </c>
      <c r="B35" s="1" t="s">
        <v>94</v>
      </c>
      <c r="C35" s="11"/>
      <c r="D35" s="11"/>
      <c r="E35" s="11"/>
      <c r="F35" s="11"/>
      <c r="G35" s="11">
        <f t="shared" si="0"/>
        <v>0</v>
      </c>
      <c r="H35" s="17">
        <f t="shared" si="1"/>
        <v>0</v>
      </c>
      <c r="I35" s="16">
        <f t="shared" si="2"/>
        <v>0</v>
      </c>
      <c r="J35" s="16"/>
    </row>
    <row r="36" spans="1:10" x14ac:dyDescent="0.25">
      <c r="A36" s="1" t="s">
        <v>16</v>
      </c>
      <c r="B36" s="1" t="s">
        <v>242</v>
      </c>
      <c r="C36" s="11"/>
      <c r="D36" s="11"/>
      <c r="E36" s="11"/>
      <c r="F36" s="11"/>
      <c r="G36" s="11">
        <f t="shared" si="0"/>
        <v>0</v>
      </c>
      <c r="H36" s="17">
        <f t="shared" si="1"/>
        <v>0</v>
      </c>
      <c r="I36" s="16">
        <f t="shared" si="2"/>
        <v>0</v>
      </c>
      <c r="J36" s="16"/>
    </row>
    <row r="37" spans="1:10" x14ac:dyDescent="0.25">
      <c r="A37" s="1" t="s">
        <v>16</v>
      </c>
      <c r="B37" s="1" t="s">
        <v>33</v>
      </c>
      <c r="C37" s="11"/>
      <c r="D37" s="11"/>
      <c r="E37" s="11"/>
      <c r="F37" s="11"/>
      <c r="G37" s="11">
        <f t="shared" si="0"/>
        <v>0</v>
      </c>
      <c r="H37" s="17">
        <f t="shared" si="1"/>
        <v>0</v>
      </c>
      <c r="I37" s="16">
        <f t="shared" si="2"/>
        <v>0</v>
      </c>
      <c r="J37" s="16"/>
    </row>
    <row r="38" spans="1:10" x14ac:dyDescent="0.25">
      <c r="A38" s="1" t="s">
        <v>16</v>
      </c>
      <c r="B38" s="1" t="s">
        <v>30</v>
      </c>
      <c r="C38" s="11"/>
      <c r="D38" s="11"/>
      <c r="E38" s="11"/>
      <c r="F38" s="11"/>
      <c r="G38" s="11">
        <f t="shared" si="0"/>
        <v>0</v>
      </c>
      <c r="H38" s="17">
        <f t="shared" si="1"/>
        <v>0</v>
      </c>
      <c r="I38" s="16">
        <f t="shared" si="2"/>
        <v>0</v>
      </c>
      <c r="J38" s="16"/>
    </row>
    <row r="39" spans="1:10" x14ac:dyDescent="0.25">
      <c r="A39" s="1" t="s">
        <v>44</v>
      </c>
      <c r="B39" s="1" t="s">
        <v>45</v>
      </c>
      <c r="C39" s="11">
        <v>83700</v>
      </c>
      <c r="D39" s="11"/>
      <c r="E39" s="11"/>
      <c r="F39" s="11"/>
      <c r="G39" s="11">
        <f t="shared" si="0"/>
        <v>83700</v>
      </c>
      <c r="H39" s="17">
        <f t="shared" si="1"/>
        <v>68.16</v>
      </c>
      <c r="I39" s="16">
        <f t="shared" si="2"/>
        <v>0.41499999999999998</v>
      </c>
      <c r="J39" s="16">
        <f>ROUND(G39/70260-1,2)</f>
        <v>0.19</v>
      </c>
    </row>
    <row r="40" spans="1:10" x14ac:dyDescent="0.25">
      <c r="A40" s="1" t="s">
        <v>44</v>
      </c>
      <c r="B40" s="1" t="s">
        <v>46</v>
      </c>
      <c r="C40" s="11"/>
      <c r="D40" s="11"/>
      <c r="E40" s="11">
        <v>5952</v>
      </c>
      <c r="F40" s="11"/>
      <c r="G40" s="11">
        <f t="shared" si="0"/>
        <v>5952</v>
      </c>
      <c r="H40" s="17">
        <f t="shared" si="1"/>
        <v>4.8499999999999996</v>
      </c>
      <c r="I40" s="16">
        <f t="shared" si="2"/>
        <v>2.9000000000000001E-2</v>
      </c>
      <c r="J40" s="16">
        <f>ROUND(G40/9427.44-1,2)</f>
        <v>-0.37</v>
      </c>
    </row>
    <row r="41" spans="1:10" x14ac:dyDescent="0.25">
      <c r="A41" s="1" t="s">
        <v>44</v>
      </c>
      <c r="B41" s="1" t="s">
        <v>47</v>
      </c>
      <c r="C41" s="11"/>
      <c r="D41" s="11"/>
      <c r="E41" s="11"/>
      <c r="F41" s="11"/>
      <c r="G41" s="11">
        <f t="shared" si="0"/>
        <v>0</v>
      </c>
      <c r="H41" s="17">
        <f t="shared" si="1"/>
        <v>0</v>
      </c>
      <c r="I41" s="16">
        <f t="shared" si="2"/>
        <v>0</v>
      </c>
      <c r="J41" s="16"/>
    </row>
    <row r="42" spans="1:10" x14ac:dyDescent="0.25">
      <c r="A42" s="1" t="s">
        <v>48</v>
      </c>
      <c r="B42" s="1" t="s">
        <v>49</v>
      </c>
      <c r="C42" s="11"/>
      <c r="D42" s="11"/>
      <c r="E42" s="11"/>
      <c r="F42" s="11"/>
      <c r="G42" s="11">
        <f t="shared" si="0"/>
        <v>0</v>
      </c>
      <c r="H42" s="17">
        <f t="shared" si="1"/>
        <v>0</v>
      </c>
      <c r="I42" s="16">
        <f t="shared" si="2"/>
        <v>0</v>
      </c>
      <c r="J42" s="16"/>
    </row>
    <row r="43" spans="1:10" x14ac:dyDescent="0.25">
      <c r="A43" s="1" t="s">
        <v>48</v>
      </c>
      <c r="B43" s="1" t="s">
        <v>50</v>
      </c>
      <c r="C43" s="11"/>
      <c r="D43" s="11"/>
      <c r="E43" s="11"/>
      <c r="F43" s="11"/>
      <c r="G43" s="11">
        <f t="shared" si="0"/>
        <v>0</v>
      </c>
      <c r="H43" s="17">
        <f t="shared" si="1"/>
        <v>0</v>
      </c>
      <c r="I43" s="16">
        <f t="shared" si="2"/>
        <v>0</v>
      </c>
      <c r="J43" s="16"/>
    </row>
    <row r="44" spans="1:10" x14ac:dyDescent="0.25">
      <c r="A44" s="1" t="s">
        <v>48</v>
      </c>
      <c r="B44" s="1" t="s">
        <v>51</v>
      </c>
      <c r="C44" s="11"/>
      <c r="D44" s="11"/>
      <c r="E44" s="11"/>
      <c r="F44" s="11"/>
      <c r="G44" s="11">
        <f t="shared" si="0"/>
        <v>0</v>
      </c>
      <c r="H44" s="17">
        <f t="shared" si="1"/>
        <v>0</v>
      </c>
      <c r="I44" s="16">
        <f t="shared" si="2"/>
        <v>0</v>
      </c>
      <c r="J44" s="16"/>
    </row>
    <row r="45" spans="1:10" x14ac:dyDescent="0.25">
      <c r="A45" s="21" t="s">
        <v>12</v>
      </c>
      <c r="B45" s="21"/>
      <c r="C45" s="12">
        <f t="shared" ref="C45:H45" si="3">SUM(C8:C44)</f>
        <v>159940</v>
      </c>
      <c r="D45" s="12">
        <f t="shared" si="3"/>
        <v>87</v>
      </c>
      <c r="E45" s="12">
        <f t="shared" si="3"/>
        <v>41848</v>
      </c>
      <c r="F45" s="12">
        <f t="shared" si="3"/>
        <v>0</v>
      </c>
      <c r="G45" s="12">
        <f t="shared" si="3"/>
        <v>201875</v>
      </c>
      <c r="H45" s="15">
        <f t="shared" si="3"/>
        <v>164.41000000000003</v>
      </c>
      <c r="I45" s="18"/>
      <c r="J45" s="18"/>
    </row>
    <row r="46" spans="1:10" x14ac:dyDescent="0.25">
      <c r="A46" s="21" t="s">
        <v>14</v>
      </c>
      <c r="B46" s="21"/>
      <c r="C46" s="13">
        <f>ROUND(C45/G45,2)</f>
        <v>0.79</v>
      </c>
      <c r="D46" s="13">
        <f>ROUND(D45/G45,2)</f>
        <v>0</v>
      </c>
      <c r="E46" s="13">
        <f>ROUND(E45/G45,2)</f>
        <v>0.21</v>
      </c>
      <c r="F46" s="13">
        <f>ROUND(F45/G45,2)</f>
        <v>0</v>
      </c>
      <c r="G46" s="14"/>
      <c r="H46" s="14"/>
      <c r="I46" s="18"/>
      <c r="J46" s="18"/>
    </row>
    <row r="47" spans="1:10" x14ac:dyDescent="0.25">
      <c r="A47" s="2" t="s">
        <v>52</v>
      </c>
      <c r="B47" s="2"/>
      <c r="C47" s="14"/>
      <c r="D47" s="14"/>
      <c r="E47" s="14"/>
      <c r="F47" s="14"/>
      <c r="G47" s="14"/>
      <c r="H47" s="14"/>
      <c r="I47" s="18"/>
      <c r="J47" s="18"/>
    </row>
    <row r="48" spans="1:10" x14ac:dyDescent="0.25">
      <c r="C48" s="9"/>
      <c r="D48" s="9"/>
      <c r="E48" s="9"/>
      <c r="F48" s="9"/>
      <c r="G48" s="9"/>
      <c r="H48" s="9"/>
      <c r="I48" s="10"/>
      <c r="J48" s="10"/>
    </row>
    <row r="49" spans="1:10" x14ac:dyDescent="0.25">
      <c r="C49" s="9"/>
      <c r="D49" s="9"/>
      <c r="E49" s="9"/>
      <c r="F49" s="9"/>
      <c r="G49" s="9"/>
      <c r="H49" s="9"/>
      <c r="I49" s="10"/>
      <c r="J49" s="10"/>
    </row>
    <row r="50" spans="1:10" x14ac:dyDescent="0.25">
      <c r="C50" s="9"/>
      <c r="D50" s="9"/>
      <c r="E50" s="9"/>
      <c r="F50" s="9"/>
      <c r="G50" s="9"/>
      <c r="H50" s="9"/>
      <c r="I50" s="10"/>
      <c r="J50" s="10"/>
    </row>
    <row r="51" spans="1:10" x14ac:dyDescent="0.25">
      <c r="A51" s="21" t="s">
        <v>53</v>
      </c>
      <c r="B51" s="21"/>
      <c r="C51" s="12" t="s">
        <v>8</v>
      </c>
      <c r="D51" s="12" t="s">
        <v>9</v>
      </c>
      <c r="E51" s="12" t="s">
        <v>10</v>
      </c>
      <c r="F51" s="12" t="s">
        <v>11</v>
      </c>
      <c r="G51" s="12" t="s">
        <v>12</v>
      </c>
      <c r="H51" s="15" t="s">
        <v>13</v>
      </c>
      <c r="I51" s="18"/>
      <c r="J51" s="18"/>
    </row>
    <row r="52" spans="1:10" x14ac:dyDescent="0.25">
      <c r="A52" s="20" t="s">
        <v>54</v>
      </c>
      <c r="B52" s="20"/>
      <c r="C52" s="11">
        <v>76240</v>
      </c>
      <c r="D52" s="11">
        <v>87</v>
      </c>
      <c r="E52" s="11">
        <v>35896</v>
      </c>
      <c r="F52" s="11">
        <v>0</v>
      </c>
      <c r="G52" s="11">
        <f>SUM(C52:F52)</f>
        <v>112223</v>
      </c>
      <c r="H52" s="17">
        <f>ROUND(G52/1228,2)</f>
        <v>91.39</v>
      </c>
      <c r="I52" s="10"/>
      <c r="J52" s="10"/>
    </row>
    <row r="53" spans="1:10" x14ac:dyDescent="0.25">
      <c r="A53" s="20" t="s">
        <v>55</v>
      </c>
      <c r="B53" s="20"/>
      <c r="C53" s="11">
        <v>83700</v>
      </c>
      <c r="D53" s="11">
        <v>0</v>
      </c>
      <c r="E53" s="11">
        <v>5952</v>
      </c>
      <c r="F53" s="11">
        <v>0</v>
      </c>
      <c r="G53" s="11">
        <f>SUM(C53:F53)</f>
        <v>89652</v>
      </c>
      <c r="H53" s="17">
        <f>ROUND(G53/1228,2)</f>
        <v>73.010000000000005</v>
      </c>
      <c r="I53" s="10"/>
      <c r="J53" s="10"/>
    </row>
    <row r="54" spans="1:10" x14ac:dyDescent="0.25">
      <c r="A54" s="20" t="s">
        <v>56</v>
      </c>
      <c r="B54" s="20"/>
      <c r="C54" s="11">
        <v>0</v>
      </c>
      <c r="D54" s="11">
        <v>0</v>
      </c>
      <c r="E54" s="11">
        <v>0</v>
      </c>
      <c r="F54" s="11">
        <v>0</v>
      </c>
      <c r="G54" s="11">
        <f>SUM(C54:F54)</f>
        <v>0</v>
      </c>
      <c r="H54" s="17">
        <f>ROUND(G54/1228,2)</f>
        <v>0</v>
      </c>
      <c r="I54" s="10"/>
      <c r="J54" s="10"/>
    </row>
    <row r="55" spans="1:10" x14ac:dyDescent="0.25">
      <c r="C55" s="9"/>
      <c r="D55" s="9"/>
      <c r="E55" s="9"/>
      <c r="F55" s="9"/>
      <c r="G55" s="9"/>
      <c r="H55" s="9"/>
      <c r="I55" s="10"/>
      <c r="J55" s="10"/>
    </row>
    <row r="56" spans="1:10" x14ac:dyDescent="0.25">
      <c r="C56" s="9"/>
      <c r="D56" s="9"/>
      <c r="E56" s="9"/>
      <c r="F56" s="9"/>
      <c r="G56" s="9"/>
      <c r="H56" s="9"/>
      <c r="I56" s="10"/>
      <c r="J56" s="10"/>
    </row>
    <row r="57" spans="1:10" x14ac:dyDescent="0.25">
      <c r="C57" s="9"/>
      <c r="D57" s="9"/>
      <c r="E57" s="9"/>
      <c r="F57" s="9"/>
      <c r="G57" s="9"/>
      <c r="H57" s="9"/>
      <c r="I57" s="10"/>
      <c r="J57" s="10"/>
    </row>
    <row r="58" spans="1:10" x14ac:dyDescent="0.25">
      <c r="C58" s="9"/>
      <c r="D58" s="9"/>
      <c r="E58" s="9"/>
      <c r="F58" s="9"/>
      <c r="G58" s="9"/>
      <c r="H58" s="9"/>
      <c r="I58" s="10"/>
      <c r="J58" s="10"/>
    </row>
    <row r="59" spans="1:10" x14ac:dyDescent="0.25">
      <c r="A59" s="21" t="s">
        <v>57</v>
      </c>
      <c r="B59" s="21"/>
      <c r="C59" s="15" t="s">
        <v>2</v>
      </c>
      <c r="D59" s="15">
        <v>2023</v>
      </c>
      <c r="E59" s="15" t="s">
        <v>59</v>
      </c>
      <c r="F59" s="14"/>
      <c r="G59" s="15" t="s">
        <v>60</v>
      </c>
      <c r="H59" s="15" t="s">
        <v>2</v>
      </c>
      <c r="I59" s="13" t="s">
        <v>61</v>
      </c>
      <c r="J59" s="13" t="s">
        <v>59</v>
      </c>
    </row>
    <row r="60" spans="1:10" x14ac:dyDescent="0.25">
      <c r="A60" s="20" t="s">
        <v>58</v>
      </c>
      <c r="B60" s="20"/>
      <c r="C60" s="16">
        <f>ROUND(0.5625, 4)</f>
        <v>0.5625</v>
      </c>
      <c r="D60" s="16">
        <f>ROUND(0.7347, 4)</f>
        <v>0.73470000000000002</v>
      </c>
      <c r="E60" s="16">
        <f>ROUND(0.777, 4)</f>
        <v>0.77700000000000002</v>
      </c>
      <c r="F60" s="9"/>
      <c r="G60" s="15" t="s">
        <v>62</v>
      </c>
      <c r="H60" s="22" t="s">
        <v>63</v>
      </c>
      <c r="I60" s="24" t="s">
        <v>64</v>
      </c>
      <c r="J60" s="24" t="s">
        <v>65</v>
      </c>
    </row>
    <row r="61" spans="1:10" x14ac:dyDescent="0.25">
      <c r="A61" s="20" t="s">
        <v>66</v>
      </c>
      <c r="B61" s="20"/>
      <c r="C61" s="16">
        <f>ROUND(0.5313, 4)</f>
        <v>0.53129999999999999</v>
      </c>
      <c r="D61" s="16">
        <f>ROUND(0.7053, 4)</f>
        <v>0.70530000000000004</v>
      </c>
      <c r="E61" s="16">
        <f>ROUND(0.7608, 4)</f>
        <v>0.76080000000000003</v>
      </c>
      <c r="F61" s="9"/>
      <c r="G61" s="15" t="s">
        <v>67</v>
      </c>
      <c r="H61" s="23"/>
      <c r="I61" s="25"/>
      <c r="J61" s="25"/>
    </row>
    <row r="62" spans="1:10" x14ac:dyDescent="0.25">
      <c r="C62" s="9"/>
      <c r="D62" s="9"/>
      <c r="E62" s="9"/>
      <c r="F62" s="9"/>
      <c r="G62" s="9"/>
      <c r="H62" s="9"/>
      <c r="I62" s="10"/>
      <c r="J62" s="10"/>
    </row>
    <row r="63" spans="1:10" x14ac:dyDescent="0.25">
      <c r="C63" s="9"/>
      <c r="D63" s="9"/>
      <c r="E63" s="9"/>
      <c r="F63" s="9"/>
      <c r="G63" s="9"/>
      <c r="H63" s="9"/>
      <c r="I63" s="10"/>
      <c r="J63" s="10"/>
    </row>
    <row r="64" spans="1:10" x14ac:dyDescent="0.25">
      <c r="C64" s="9"/>
      <c r="D64" s="9"/>
      <c r="E64" s="9"/>
      <c r="F64" s="9"/>
      <c r="G64" s="9"/>
      <c r="H64" s="9"/>
      <c r="I64" s="10"/>
      <c r="J64" s="10"/>
    </row>
    <row r="65" spans="1:10" x14ac:dyDescent="0.25">
      <c r="A65" s="21" t="s">
        <v>68</v>
      </c>
      <c r="B65" s="21"/>
      <c r="C65" s="15" t="s">
        <v>2</v>
      </c>
      <c r="D65" s="15" t="s">
        <v>322</v>
      </c>
      <c r="E65" s="15" t="s">
        <v>70</v>
      </c>
      <c r="F65" s="15" t="s">
        <v>71</v>
      </c>
      <c r="G65" s="15" t="s">
        <v>72</v>
      </c>
      <c r="H65" s="14"/>
      <c r="I65" s="18"/>
      <c r="J65" s="18"/>
    </row>
    <row r="66" spans="1:10" x14ac:dyDescent="0.25">
      <c r="A66" s="20" t="s">
        <v>73</v>
      </c>
      <c r="B66" s="20"/>
      <c r="C66" s="17">
        <v>68.16</v>
      </c>
      <c r="D66" s="17">
        <v>99.68</v>
      </c>
      <c r="E66" s="17">
        <v>81.84</v>
      </c>
      <c r="F66" s="17">
        <v>48</v>
      </c>
      <c r="G66" s="17">
        <f>12/4*C66</f>
        <v>204.48</v>
      </c>
      <c r="H66" s="9"/>
      <c r="I66" s="10"/>
      <c r="J66" s="10"/>
    </row>
    <row r="67" spans="1:10" x14ac:dyDescent="0.25">
      <c r="A67" s="20" t="s">
        <v>74</v>
      </c>
      <c r="B67" s="20"/>
      <c r="C67" s="17">
        <v>10.210000000000001</v>
      </c>
      <c r="D67" s="17">
        <v>43.84</v>
      </c>
      <c r="E67" s="17">
        <v>55.63</v>
      </c>
      <c r="F67" s="17">
        <v>55.33</v>
      </c>
      <c r="G67" s="17">
        <f>12/4*C67</f>
        <v>30.630000000000003</v>
      </c>
      <c r="H67" s="9"/>
      <c r="I67" s="10"/>
      <c r="J67" s="10"/>
    </row>
    <row r="68" spans="1:10" x14ac:dyDescent="0.25">
      <c r="A68" s="20" t="s">
        <v>75</v>
      </c>
      <c r="B68" s="20"/>
      <c r="C68" s="17">
        <v>91.39</v>
      </c>
      <c r="D68" s="17">
        <v>352.8</v>
      </c>
      <c r="E68" s="17">
        <v>257.88</v>
      </c>
      <c r="F68" s="17">
        <v>242.78</v>
      </c>
      <c r="G68" s="17">
        <f>12/4*C68</f>
        <v>274.17</v>
      </c>
      <c r="H68" s="9"/>
      <c r="I68" s="10"/>
      <c r="J68" s="10"/>
    </row>
    <row r="69" spans="1:10" x14ac:dyDescent="0.25">
      <c r="A69" s="20" t="s">
        <v>76</v>
      </c>
      <c r="B69" s="20"/>
      <c r="C69" s="1">
        <v>73.010000000000005</v>
      </c>
      <c r="D69" s="1">
        <v>121.11</v>
      </c>
      <c r="E69" s="1">
        <v>103.14</v>
      </c>
      <c r="F69" s="1">
        <v>68.31</v>
      </c>
      <c r="G69" s="1">
        <f>12/4*C69</f>
        <v>219.03000000000003</v>
      </c>
    </row>
    <row r="72" spans="1:10" x14ac:dyDescent="0.25">
      <c r="A72" s="19" t="s">
        <v>60</v>
      </c>
      <c r="B72" s="26"/>
    </row>
    <row r="73" spans="1:10" x14ac:dyDescent="0.25">
      <c r="A73" s="3" t="s">
        <v>77</v>
      </c>
      <c r="B73" s="1" t="s">
        <v>323</v>
      </c>
    </row>
    <row r="74" spans="1:10" x14ac:dyDescent="0.25">
      <c r="A74" s="3" t="s">
        <v>70</v>
      </c>
      <c r="B74" s="1" t="s">
        <v>79</v>
      </c>
    </row>
    <row r="75" spans="1:10" x14ac:dyDescent="0.25">
      <c r="A75" s="3" t="s">
        <v>71</v>
      </c>
      <c r="B75" s="1" t="s">
        <v>80</v>
      </c>
    </row>
    <row r="76" spans="1:10" x14ac:dyDescent="0.25">
      <c r="A76" s="3" t="s">
        <v>72</v>
      </c>
      <c r="B76" s="1" t="s">
        <v>81</v>
      </c>
    </row>
  </sheetData>
  <mergeCells count="19">
    <mergeCell ref="A67:B67"/>
    <mergeCell ref="A68:B68"/>
    <mergeCell ref="A69:B69"/>
    <mergeCell ref="A72:B72"/>
    <mergeCell ref="I60:I61"/>
    <mergeCell ref="J60:J61"/>
    <mergeCell ref="A61:B61"/>
    <mergeCell ref="A65:B65"/>
    <mergeCell ref="A66:B66"/>
    <mergeCell ref="A53:B53"/>
    <mergeCell ref="A54:B54"/>
    <mergeCell ref="A59:B59"/>
    <mergeCell ref="A60:B60"/>
    <mergeCell ref="H60:H61"/>
    <mergeCell ref="C7:G7"/>
    <mergeCell ref="A45:B45"/>
    <mergeCell ref="A46:B46"/>
    <mergeCell ref="A51:B51"/>
    <mergeCell ref="A52:B5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J72"/>
  <sheetViews>
    <sheetView workbookViewId="0">
      <selection activeCell="C9" sqref="C9:J72"/>
    </sheetView>
  </sheetViews>
  <sheetFormatPr defaultRowHeight="15" x14ac:dyDescent="0.25"/>
  <cols>
    <col min="1" max="1" width="38.85546875" bestFit="1" customWidth="1"/>
    <col min="2" max="2" width="79" bestFit="1" customWidth="1"/>
    <col min="3" max="3" width="14" bestFit="1" customWidth="1"/>
    <col min="4" max="4" width="23.42578125" bestFit="1" customWidth="1"/>
    <col min="5" max="5" width="16.42578125" bestFit="1" customWidth="1"/>
    <col min="6" max="6" width="10.5703125" bestFit="1" customWidth="1"/>
    <col min="7" max="7" width="68.28515625" bestFit="1" customWidth="1"/>
    <col min="8" max="9" width="20" bestFit="1" customWidth="1"/>
    <col min="10" max="10" width="30.5703125" bestFit="1" customWidth="1"/>
  </cols>
  <sheetData>
    <row r="2" spans="1:10" ht="18.75" x14ac:dyDescent="0.3">
      <c r="A2" s="3" t="s">
        <v>0</v>
      </c>
      <c r="B2" s="4" t="s">
        <v>103</v>
      </c>
    </row>
    <row r="3" spans="1:10" x14ac:dyDescent="0.25">
      <c r="A3" s="3" t="s">
        <v>2</v>
      </c>
      <c r="B3" s="1" t="s">
        <v>3</v>
      </c>
    </row>
    <row r="4" spans="1:10" x14ac:dyDescent="0.25">
      <c r="A4" s="3" t="s">
        <v>4</v>
      </c>
      <c r="B4" s="1">
        <v>699</v>
      </c>
    </row>
    <row r="7" spans="1:10" x14ac:dyDescent="0.25">
      <c r="C7" s="19" t="s">
        <v>5</v>
      </c>
      <c r="D7" s="20"/>
      <c r="E7" s="20"/>
      <c r="F7" s="20"/>
      <c r="G7" s="20"/>
    </row>
    <row r="8" spans="1:10" x14ac:dyDescent="0.25">
      <c r="A8" s="3" t="s">
        <v>6</v>
      </c>
      <c r="B8" s="3" t="s">
        <v>7</v>
      </c>
      <c r="C8" s="3" t="s">
        <v>8</v>
      </c>
      <c r="D8" s="3" t="s">
        <v>9</v>
      </c>
      <c r="E8" s="3" t="s">
        <v>10</v>
      </c>
      <c r="F8" s="3" t="s">
        <v>11</v>
      </c>
      <c r="G8" s="3" t="s">
        <v>12</v>
      </c>
      <c r="H8" s="3" t="s">
        <v>13</v>
      </c>
      <c r="I8" s="3" t="s">
        <v>14</v>
      </c>
      <c r="J8" s="3" t="s">
        <v>15</v>
      </c>
    </row>
    <row r="9" spans="1:10" x14ac:dyDescent="0.25">
      <c r="A9" s="1" t="s">
        <v>16</v>
      </c>
      <c r="B9" s="1" t="s">
        <v>17</v>
      </c>
      <c r="C9" s="11"/>
      <c r="D9" s="11"/>
      <c r="E9" s="11">
        <v>50</v>
      </c>
      <c r="F9" s="11"/>
      <c r="G9" s="11">
        <f t="shared" ref="G9:G39" si="0">SUM(C9:F9)</f>
        <v>50</v>
      </c>
      <c r="H9" s="17">
        <f t="shared" ref="H9:H39" si="1">ROUND(G9/699,2)</f>
        <v>7.0000000000000007E-2</v>
      </c>
      <c r="I9" s="16">
        <f t="shared" ref="I9:I39" si="2">ROUND(G9/$G$40,3)</f>
        <v>0</v>
      </c>
      <c r="J9" s="16">
        <f>ROUND(G9/15-1,2)</f>
        <v>2.33</v>
      </c>
    </row>
    <row r="10" spans="1:10" x14ac:dyDescent="0.25">
      <c r="A10" s="1" t="s">
        <v>16</v>
      </c>
      <c r="B10" s="1" t="s">
        <v>19</v>
      </c>
      <c r="C10" s="11">
        <v>7505</v>
      </c>
      <c r="D10" s="11"/>
      <c r="E10" s="11"/>
      <c r="F10" s="11"/>
      <c r="G10" s="11">
        <f t="shared" si="0"/>
        <v>7505</v>
      </c>
      <c r="H10" s="17">
        <f t="shared" si="1"/>
        <v>10.74</v>
      </c>
      <c r="I10" s="16">
        <f t="shared" si="2"/>
        <v>7.2999999999999995E-2</v>
      </c>
      <c r="J10" s="16">
        <f>ROUND(G10/7040-1,2)</f>
        <v>7.0000000000000007E-2</v>
      </c>
    </row>
    <row r="11" spans="1:10" x14ac:dyDescent="0.25">
      <c r="A11" s="1" t="s">
        <v>16</v>
      </c>
      <c r="B11" s="1" t="s">
        <v>20</v>
      </c>
      <c r="C11" s="11">
        <v>10760</v>
      </c>
      <c r="D11" s="11"/>
      <c r="E11" s="11"/>
      <c r="F11" s="11"/>
      <c r="G11" s="11">
        <f t="shared" si="0"/>
        <v>10760</v>
      </c>
      <c r="H11" s="17">
        <f t="shared" si="1"/>
        <v>15.39</v>
      </c>
      <c r="I11" s="16">
        <f t="shared" si="2"/>
        <v>0.105</v>
      </c>
      <c r="J11" s="16">
        <f>ROUND(G11/9885-1,2)</f>
        <v>0.09</v>
      </c>
    </row>
    <row r="12" spans="1:10" x14ac:dyDescent="0.25">
      <c r="A12" s="1" t="s">
        <v>16</v>
      </c>
      <c r="B12" s="1" t="s">
        <v>94</v>
      </c>
      <c r="C12" s="11"/>
      <c r="D12" s="11"/>
      <c r="E12" s="11">
        <v>62</v>
      </c>
      <c r="F12" s="11"/>
      <c r="G12" s="11">
        <f t="shared" si="0"/>
        <v>62</v>
      </c>
      <c r="H12" s="17">
        <f t="shared" si="1"/>
        <v>0.09</v>
      </c>
      <c r="I12" s="16">
        <f t="shared" si="2"/>
        <v>1E-3</v>
      </c>
      <c r="J12" s="16">
        <f>ROUND(G12/22-1,2)</f>
        <v>1.82</v>
      </c>
    </row>
    <row r="13" spans="1:10" x14ac:dyDescent="0.25">
      <c r="A13" s="1" t="s">
        <v>16</v>
      </c>
      <c r="B13" s="1" t="s">
        <v>21</v>
      </c>
      <c r="C13" s="11"/>
      <c r="D13" s="11"/>
      <c r="E13" s="11">
        <v>77</v>
      </c>
      <c r="F13" s="11"/>
      <c r="G13" s="11">
        <f t="shared" si="0"/>
        <v>77</v>
      </c>
      <c r="H13" s="17">
        <f t="shared" si="1"/>
        <v>0.11</v>
      </c>
      <c r="I13" s="16">
        <f t="shared" si="2"/>
        <v>1E-3</v>
      </c>
      <c r="J13" s="16"/>
    </row>
    <row r="14" spans="1:10" x14ac:dyDescent="0.25">
      <c r="A14" s="1" t="s">
        <v>16</v>
      </c>
      <c r="B14" s="1" t="s">
        <v>22</v>
      </c>
      <c r="C14" s="11"/>
      <c r="D14" s="11"/>
      <c r="E14" s="11">
        <v>900</v>
      </c>
      <c r="F14" s="11"/>
      <c r="G14" s="11">
        <f t="shared" si="0"/>
        <v>900</v>
      </c>
      <c r="H14" s="17">
        <f t="shared" si="1"/>
        <v>1.29</v>
      </c>
      <c r="I14" s="16">
        <f t="shared" si="2"/>
        <v>8.9999999999999993E-3</v>
      </c>
      <c r="J14" s="16">
        <f>ROUND(G14/1000-1,2)</f>
        <v>-0.1</v>
      </c>
    </row>
    <row r="15" spans="1:10" x14ac:dyDescent="0.25">
      <c r="A15" s="1" t="s">
        <v>16</v>
      </c>
      <c r="B15" s="1" t="s">
        <v>23</v>
      </c>
      <c r="C15" s="11"/>
      <c r="D15" s="11"/>
      <c r="E15" s="11">
        <v>19920</v>
      </c>
      <c r="F15" s="11"/>
      <c r="G15" s="11">
        <f t="shared" si="0"/>
        <v>19920</v>
      </c>
      <c r="H15" s="17">
        <f t="shared" si="1"/>
        <v>28.5</v>
      </c>
      <c r="I15" s="16">
        <f t="shared" si="2"/>
        <v>0.19400000000000001</v>
      </c>
      <c r="J15" s="16">
        <f>ROUND(G15/21620-1,2)</f>
        <v>-0.08</v>
      </c>
    </row>
    <row r="16" spans="1:10" x14ac:dyDescent="0.25">
      <c r="A16" s="1" t="s">
        <v>16</v>
      </c>
      <c r="B16" s="1" t="s">
        <v>24</v>
      </c>
      <c r="C16" s="11">
        <v>9705</v>
      </c>
      <c r="D16" s="11"/>
      <c r="E16" s="11"/>
      <c r="F16" s="11"/>
      <c r="G16" s="11">
        <f t="shared" si="0"/>
        <v>9705</v>
      </c>
      <c r="H16" s="17">
        <f t="shared" si="1"/>
        <v>13.88</v>
      </c>
      <c r="I16" s="16">
        <f t="shared" si="2"/>
        <v>9.5000000000000001E-2</v>
      </c>
      <c r="J16" s="16">
        <f>ROUND(G16/9820-1,2)</f>
        <v>-0.01</v>
      </c>
    </row>
    <row r="17" spans="1:10" x14ac:dyDescent="0.25">
      <c r="A17" s="1" t="s">
        <v>16</v>
      </c>
      <c r="B17" s="1" t="s">
        <v>26</v>
      </c>
      <c r="C17" s="11">
        <v>11310</v>
      </c>
      <c r="D17" s="11"/>
      <c r="E17" s="11"/>
      <c r="F17" s="11">
        <v>50</v>
      </c>
      <c r="G17" s="11">
        <f t="shared" si="0"/>
        <v>11360</v>
      </c>
      <c r="H17" s="17">
        <f t="shared" si="1"/>
        <v>16.25</v>
      </c>
      <c r="I17" s="16">
        <f t="shared" si="2"/>
        <v>0.111</v>
      </c>
      <c r="J17" s="16">
        <f>ROUND(G17/12780-1,2)</f>
        <v>-0.11</v>
      </c>
    </row>
    <row r="18" spans="1:10" x14ac:dyDescent="0.25">
      <c r="A18" s="1" t="s">
        <v>16</v>
      </c>
      <c r="B18" s="1" t="s">
        <v>27</v>
      </c>
      <c r="C18" s="11"/>
      <c r="D18" s="11"/>
      <c r="E18" s="11">
        <v>22</v>
      </c>
      <c r="F18" s="11"/>
      <c r="G18" s="11">
        <f t="shared" si="0"/>
        <v>22</v>
      </c>
      <c r="H18" s="17">
        <f t="shared" si="1"/>
        <v>0.03</v>
      </c>
      <c r="I18" s="16">
        <f t="shared" si="2"/>
        <v>0</v>
      </c>
      <c r="J18" s="16"/>
    </row>
    <row r="19" spans="1:10" x14ac:dyDescent="0.25">
      <c r="A19" s="1" t="s">
        <v>16</v>
      </c>
      <c r="B19" s="1" t="s">
        <v>28</v>
      </c>
      <c r="C19" s="11"/>
      <c r="D19" s="11"/>
      <c r="E19" s="11">
        <v>20</v>
      </c>
      <c r="F19" s="11"/>
      <c r="G19" s="11">
        <f t="shared" si="0"/>
        <v>20</v>
      </c>
      <c r="H19" s="17">
        <f t="shared" si="1"/>
        <v>0.03</v>
      </c>
      <c r="I19" s="16">
        <f t="shared" si="2"/>
        <v>0</v>
      </c>
      <c r="J19" s="16"/>
    </row>
    <row r="20" spans="1:10" x14ac:dyDescent="0.25">
      <c r="A20" s="1" t="s">
        <v>16</v>
      </c>
      <c r="B20" s="1" t="s">
        <v>31</v>
      </c>
      <c r="C20" s="11"/>
      <c r="D20" s="11"/>
      <c r="E20" s="11">
        <v>415</v>
      </c>
      <c r="F20" s="11"/>
      <c r="G20" s="11">
        <f t="shared" si="0"/>
        <v>415</v>
      </c>
      <c r="H20" s="17">
        <f t="shared" si="1"/>
        <v>0.59</v>
      </c>
      <c r="I20" s="16">
        <f t="shared" si="2"/>
        <v>4.0000000000000001E-3</v>
      </c>
      <c r="J20" s="16">
        <f>ROUND(G20/200-1,2)</f>
        <v>1.08</v>
      </c>
    </row>
    <row r="21" spans="1:10" x14ac:dyDescent="0.25">
      <c r="A21" s="1" t="s">
        <v>16</v>
      </c>
      <c r="B21" s="1" t="s">
        <v>32</v>
      </c>
      <c r="C21" s="11"/>
      <c r="D21" s="11">
        <v>32</v>
      </c>
      <c r="E21" s="11"/>
      <c r="F21" s="11"/>
      <c r="G21" s="11">
        <f t="shared" si="0"/>
        <v>32</v>
      </c>
      <c r="H21" s="17">
        <f t="shared" si="1"/>
        <v>0.05</v>
      </c>
      <c r="I21" s="16">
        <f t="shared" si="2"/>
        <v>0</v>
      </c>
      <c r="J21" s="16">
        <f>ROUND(G21/25-1,2)</f>
        <v>0.28000000000000003</v>
      </c>
    </row>
    <row r="22" spans="1:10" x14ac:dyDescent="0.25">
      <c r="A22" s="1" t="s">
        <v>16</v>
      </c>
      <c r="B22" s="1" t="s">
        <v>34</v>
      </c>
      <c r="C22" s="11"/>
      <c r="D22" s="11">
        <v>30</v>
      </c>
      <c r="E22" s="11"/>
      <c r="F22" s="11"/>
      <c r="G22" s="11">
        <f t="shared" si="0"/>
        <v>30</v>
      </c>
      <c r="H22" s="17">
        <f t="shared" si="1"/>
        <v>0.04</v>
      </c>
      <c r="I22" s="16">
        <f t="shared" si="2"/>
        <v>0</v>
      </c>
      <c r="J22" s="16">
        <f>ROUND(G22/20-1,2)</f>
        <v>0.5</v>
      </c>
    </row>
    <row r="23" spans="1:10" x14ac:dyDescent="0.25">
      <c r="A23" s="1" t="s">
        <v>16</v>
      </c>
      <c r="B23" s="1" t="s">
        <v>35</v>
      </c>
      <c r="C23" s="11"/>
      <c r="D23" s="11"/>
      <c r="E23" s="11">
        <v>9760</v>
      </c>
      <c r="F23" s="11"/>
      <c r="G23" s="11">
        <f t="shared" si="0"/>
        <v>9760</v>
      </c>
      <c r="H23" s="17">
        <f t="shared" si="1"/>
        <v>13.96</v>
      </c>
      <c r="I23" s="16">
        <f t="shared" si="2"/>
        <v>9.5000000000000001E-2</v>
      </c>
      <c r="J23" s="16">
        <f>ROUND(G23/2580-1,2)</f>
        <v>2.78</v>
      </c>
    </row>
    <row r="24" spans="1:10" x14ac:dyDescent="0.25">
      <c r="A24" s="1" t="s">
        <v>16</v>
      </c>
      <c r="B24" s="1" t="s">
        <v>36</v>
      </c>
      <c r="C24" s="11"/>
      <c r="D24" s="11"/>
      <c r="E24" s="11">
        <v>1940</v>
      </c>
      <c r="F24" s="11"/>
      <c r="G24" s="11">
        <f t="shared" si="0"/>
        <v>1940</v>
      </c>
      <c r="H24" s="17">
        <f t="shared" si="1"/>
        <v>2.78</v>
      </c>
      <c r="I24" s="16">
        <f t="shared" si="2"/>
        <v>1.9E-2</v>
      </c>
      <c r="J24" s="16">
        <f>ROUND(G24/1020-1,2)</f>
        <v>0.9</v>
      </c>
    </row>
    <row r="25" spans="1:10" x14ac:dyDescent="0.25">
      <c r="A25" s="1" t="s">
        <v>16</v>
      </c>
      <c r="B25" s="1" t="s">
        <v>37</v>
      </c>
      <c r="C25" s="11"/>
      <c r="D25" s="11"/>
      <c r="E25" s="11">
        <v>2010</v>
      </c>
      <c r="F25" s="11"/>
      <c r="G25" s="11">
        <f t="shared" si="0"/>
        <v>2010</v>
      </c>
      <c r="H25" s="17">
        <f t="shared" si="1"/>
        <v>2.88</v>
      </c>
      <c r="I25" s="16">
        <f t="shared" si="2"/>
        <v>0.02</v>
      </c>
      <c r="J25" s="16">
        <f>ROUND(G25/2020-1,2)</f>
        <v>0</v>
      </c>
    </row>
    <row r="26" spans="1:10" x14ac:dyDescent="0.25">
      <c r="A26" s="1" t="s">
        <v>16</v>
      </c>
      <c r="B26" s="1" t="s">
        <v>38</v>
      </c>
      <c r="C26" s="11"/>
      <c r="D26" s="11"/>
      <c r="E26" s="11">
        <v>7440</v>
      </c>
      <c r="F26" s="11"/>
      <c r="G26" s="11">
        <f t="shared" si="0"/>
        <v>7440</v>
      </c>
      <c r="H26" s="17">
        <f t="shared" si="1"/>
        <v>10.64</v>
      </c>
      <c r="I26" s="16">
        <f t="shared" si="2"/>
        <v>7.2999999999999995E-2</v>
      </c>
      <c r="J26" s="16">
        <f>ROUND(G26/2760-1,2)</f>
        <v>1.7</v>
      </c>
    </row>
    <row r="27" spans="1:10" x14ac:dyDescent="0.25">
      <c r="A27" s="1" t="s">
        <v>16</v>
      </c>
      <c r="B27" s="1" t="s">
        <v>40</v>
      </c>
      <c r="C27" s="11"/>
      <c r="D27" s="11"/>
      <c r="E27" s="11"/>
      <c r="F27" s="11"/>
      <c r="G27" s="11">
        <f t="shared" si="0"/>
        <v>0</v>
      </c>
      <c r="H27" s="17">
        <f t="shared" si="1"/>
        <v>0</v>
      </c>
      <c r="I27" s="16">
        <f t="shared" si="2"/>
        <v>0</v>
      </c>
      <c r="J27" s="16"/>
    </row>
    <row r="28" spans="1:10" x14ac:dyDescent="0.25">
      <c r="A28" s="1" t="s">
        <v>16</v>
      </c>
      <c r="B28" s="1" t="s">
        <v>29</v>
      </c>
      <c r="C28" s="11"/>
      <c r="D28" s="11"/>
      <c r="E28" s="11"/>
      <c r="F28" s="11"/>
      <c r="G28" s="11">
        <f t="shared" si="0"/>
        <v>0</v>
      </c>
      <c r="H28" s="17">
        <f t="shared" si="1"/>
        <v>0</v>
      </c>
      <c r="I28" s="16">
        <f t="shared" si="2"/>
        <v>0</v>
      </c>
      <c r="J28" s="16">
        <f>ROUND(G28/220-1,2)</f>
        <v>-1</v>
      </c>
    </row>
    <row r="29" spans="1:10" x14ac:dyDescent="0.25">
      <c r="A29" s="1" t="s">
        <v>16</v>
      </c>
      <c r="B29" s="1" t="s">
        <v>41</v>
      </c>
      <c r="C29" s="11"/>
      <c r="D29" s="11"/>
      <c r="E29" s="11"/>
      <c r="F29" s="11"/>
      <c r="G29" s="11">
        <f t="shared" si="0"/>
        <v>0</v>
      </c>
      <c r="H29" s="17">
        <f t="shared" si="1"/>
        <v>0</v>
      </c>
      <c r="I29" s="16">
        <f t="shared" si="2"/>
        <v>0</v>
      </c>
      <c r="J29" s="16">
        <f>ROUND(G29/830-1,2)</f>
        <v>-1</v>
      </c>
    </row>
    <row r="30" spans="1:10" x14ac:dyDescent="0.25">
      <c r="A30" s="1" t="s">
        <v>16</v>
      </c>
      <c r="B30" s="1" t="s">
        <v>43</v>
      </c>
      <c r="C30" s="11"/>
      <c r="D30" s="11"/>
      <c r="E30" s="11"/>
      <c r="F30" s="11"/>
      <c r="G30" s="11">
        <f t="shared" si="0"/>
        <v>0</v>
      </c>
      <c r="H30" s="17">
        <f t="shared" si="1"/>
        <v>0</v>
      </c>
      <c r="I30" s="16">
        <f t="shared" si="2"/>
        <v>0</v>
      </c>
      <c r="J30" s="16">
        <f>ROUND(G30/550-1,2)</f>
        <v>-1</v>
      </c>
    </row>
    <row r="31" spans="1:10" x14ac:dyDescent="0.25">
      <c r="A31" s="1" t="s">
        <v>16</v>
      </c>
      <c r="B31" s="1" t="s">
        <v>42</v>
      </c>
      <c r="C31" s="11"/>
      <c r="D31" s="11"/>
      <c r="E31" s="11"/>
      <c r="F31" s="11"/>
      <c r="G31" s="11">
        <f t="shared" si="0"/>
        <v>0</v>
      </c>
      <c r="H31" s="17">
        <f t="shared" si="1"/>
        <v>0</v>
      </c>
      <c r="I31" s="16">
        <f t="shared" si="2"/>
        <v>0</v>
      </c>
      <c r="J31" s="16">
        <f>ROUND(G31/1080-1,2)</f>
        <v>-1</v>
      </c>
    </row>
    <row r="32" spans="1:10" x14ac:dyDescent="0.25">
      <c r="A32" s="1" t="s">
        <v>16</v>
      </c>
      <c r="B32" s="1" t="s">
        <v>25</v>
      </c>
      <c r="C32" s="11"/>
      <c r="D32" s="11"/>
      <c r="E32" s="11"/>
      <c r="F32" s="11"/>
      <c r="G32" s="11">
        <f t="shared" si="0"/>
        <v>0</v>
      </c>
      <c r="H32" s="17">
        <f t="shared" si="1"/>
        <v>0</v>
      </c>
      <c r="I32" s="16">
        <f t="shared" si="2"/>
        <v>0</v>
      </c>
      <c r="J32" s="16"/>
    </row>
    <row r="33" spans="1:10" x14ac:dyDescent="0.25">
      <c r="A33" s="1" t="s">
        <v>16</v>
      </c>
      <c r="B33" s="1" t="s">
        <v>33</v>
      </c>
      <c r="C33" s="11"/>
      <c r="D33" s="11"/>
      <c r="E33" s="11"/>
      <c r="F33" s="11"/>
      <c r="G33" s="11">
        <f t="shared" si="0"/>
        <v>0</v>
      </c>
      <c r="H33" s="17">
        <f t="shared" si="1"/>
        <v>0</v>
      </c>
      <c r="I33" s="16">
        <f t="shared" si="2"/>
        <v>0</v>
      </c>
      <c r="J33" s="16">
        <f>ROUND(G33/460-1,2)</f>
        <v>-1</v>
      </c>
    </row>
    <row r="34" spans="1:10" x14ac:dyDescent="0.25">
      <c r="A34" s="1" t="s">
        <v>16</v>
      </c>
      <c r="B34" s="1" t="s">
        <v>39</v>
      </c>
      <c r="C34" s="11"/>
      <c r="D34" s="11"/>
      <c r="E34" s="11"/>
      <c r="F34" s="11"/>
      <c r="G34" s="11">
        <f t="shared" si="0"/>
        <v>0</v>
      </c>
      <c r="H34" s="17">
        <f t="shared" si="1"/>
        <v>0</v>
      </c>
      <c r="I34" s="16">
        <f t="shared" si="2"/>
        <v>0</v>
      </c>
      <c r="J34" s="16">
        <f>ROUND(G34/29-1,2)</f>
        <v>-1</v>
      </c>
    </row>
    <row r="35" spans="1:10" x14ac:dyDescent="0.25">
      <c r="A35" s="1" t="s">
        <v>16</v>
      </c>
      <c r="B35" s="1" t="s">
        <v>30</v>
      </c>
      <c r="C35" s="11"/>
      <c r="D35" s="11"/>
      <c r="E35" s="11"/>
      <c r="F35" s="11"/>
      <c r="G35" s="11">
        <f t="shared" si="0"/>
        <v>0</v>
      </c>
      <c r="H35" s="17">
        <f t="shared" si="1"/>
        <v>0</v>
      </c>
      <c r="I35" s="16">
        <f t="shared" si="2"/>
        <v>0</v>
      </c>
      <c r="J35" s="16"/>
    </row>
    <row r="36" spans="1:10" x14ac:dyDescent="0.25">
      <c r="A36" s="1" t="s">
        <v>44</v>
      </c>
      <c r="B36" s="1" t="s">
        <v>45</v>
      </c>
      <c r="C36" s="11">
        <v>16955</v>
      </c>
      <c r="D36" s="11"/>
      <c r="E36" s="11"/>
      <c r="F36" s="11"/>
      <c r="G36" s="11">
        <f t="shared" si="0"/>
        <v>16955</v>
      </c>
      <c r="H36" s="17">
        <f t="shared" si="1"/>
        <v>24.26</v>
      </c>
      <c r="I36" s="16">
        <f t="shared" si="2"/>
        <v>0.16500000000000001</v>
      </c>
      <c r="J36" s="16">
        <f>ROUND(G36/16015-1,2)</f>
        <v>0.06</v>
      </c>
    </row>
    <row r="37" spans="1:10" x14ac:dyDescent="0.25">
      <c r="A37" s="1" t="s">
        <v>44</v>
      </c>
      <c r="B37" s="1" t="s">
        <v>46</v>
      </c>
      <c r="C37" s="11"/>
      <c r="D37" s="11"/>
      <c r="E37" s="11">
        <v>3600</v>
      </c>
      <c r="F37" s="11"/>
      <c r="G37" s="11">
        <f t="shared" si="0"/>
        <v>3600</v>
      </c>
      <c r="H37" s="17">
        <f t="shared" si="1"/>
        <v>5.15</v>
      </c>
      <c r="I37" s="16">
        <f t="shared" si="2"/>
        <v>3.5000000000000003E-2</v>
      </c>
      <c r="J37" s="16">
        <f>ROUND(G37/2100-1,2)</f>
        <v>0.71</v>
      </c>
    </row>
    <row r="38" spans="1:10" x14ac:dyDescent="0.25">
      <c r="A38" s="1" t="s">
        <v>44</v>
      </c>
      <c r="B38" s="1" t="s">
        <v>47</v>
      </c>
      <c r="C38" s="11"/>
      <c r="D38" s="11"/>
      <c r="E38" s="11"/>
      <c r="F38" s="11"/>
      <c r="G38" s="11">
        <f t="shared" si="0"/>
        <v>0</v>
      </c>
      <c r="H38" s="17">
        <f t="shared" si="1"/>
        <v>0</v>
      </c>
      <c r="I38" s="16">
        <f t="shared" si="2"/>
        <v>0</v>
      </c>
      <c r="J38" s="16"/>
    </row>
    <row r="39" spans="1:10" x14ac:dyDescent="0.25">
      <c r="A39" s="1" t="s">
        <v>48</v>
      </c>
      <c r="B39" s="1" t="s">
        <v>86</v>
      </c>
      <c r="C39" s="11"/>
      <c r="D39" s="11"/>
      <c r="E39" s="11"/>
      <c r="F39" s="11"/>
      <c r="G39" s="11">
        <f t="shared" si="0"/>
        <v>0</v>
      </c>
      <c r="H39" s="17">
        <f t="shared" si="1"/>
        <v>0</v>
      </c>
      <c r="I39" s="16">
        <f t="shared" si="2"/>
        <v>0</v>
      </c>
      <c r="J39" s="16"/>
    </row>
    <row r="40" spans="1:10" x14ac:dyDescent="0.25">
      <c r="A40" s="21" t="s">
        <v>12</v>
      </c>
      <c r="B40" s="21"/>
      <c r="C40" s="12">
        <f t="shared" ref="C40:H40" si="3">SUM(C8:C39)</f>
        <v>56235</v>
      </c>
      <c r="D40" s="12">
        <f t="shared" si="3"/>
        <v>62</v>
      </c>
      <c r="E40" s="12">
        <f t="shared" si="3"/>
        <v>46216</v>
      </c>
      <c r="F40" s="12">
        <f t="shared" si="3"/>
        <v>50</v>
      </c>
      <c r="G40" s="12">
        <f t="shared" si="3"/>
        <v>102563</v>
      </c>
      <c r="H40" s="15">
        <f t="shared" si="3"/>
        <v>146.73000000000002</v>
      </c>
      <c r="I40" s="18"/>
      <c r="J40" s="18"/>
    </row>
    <row r="41" spans="1:10" x14ac:dyDescent="0.25">
      <c r="A41" s="21" t="s">
        <v>14</v>
      </c>
      <c r="B41" s="21"/>
      <c r="C41" s="13">
        <f>ROUND(C40/G40,2)</f>
        <v>0.55000000000000004</v>
      </c>
      <c r="D41" s="13">
        <f>ROUND(D40/G40,2)</f>
        <v>0</v>
      </c>
      <c r="E41" s="13">
        <f>ROUND(E40/G40,2)</f>
        <v>0.45</v>
      </c>
      <c r="F41" s="13">
        <f>ROUND(F40/G40,2)</f>
        <v>0</v>
      </c>
      <c r="G41" s="14"/>
      <c r="H41" s="14"/>
      <c r="I41" s="18"/>
      <c r="J41" s="18"/>
    </row>
    <row r="42" spans="1:10" x14ac:dyDescent="0.25">
      <c r="A42" s="2" t="s">
        <v>52</v>
      </c>
      <c r="B42" s="2"/>
      <c r="C42" s="14"/>
      <c r="D42" s="14"/>
      <c r="E42" s="14"/>
      <c r="F42" s="14"/>
      <c r="G42" s="14"/>
      <c r="H42" s="14"/>
      <c r="I42" s="18"/>
      <c r="J42" s="18"/>
    </row>
    <row r="43" spans="1:10" x14ac:dyDescent="0.25">
      <c r="C43" s="9"/>
      <c r="D43" s="9"/>
      <c r="E43" s="9"/>
      <c r="F43" s="9"/>
      <c r="G43" s="9"/>
      <c r="H43" s="9"/>
      <c r="I43" s="10"/>
      <c r="J43" s="10"/>
    </row>
    <row r="44" spans="1:10" x14ac:dyDescent="0.25">
      <c r="C44" s="9"/>
      <c r="D44" s="9"/>
      <c r="E44" s="9"/>
      <c r="F44" s="9"/>
      <c r="G44" s="9"/>
      <c r="H44" s="9"/>
      <c r="I44" s="10"/>
      <c r="J44" s="10"/>
    </row>
    <row r="45" spans="1:10" x14ac:dyDescent="0.25">
      <c r="C45" s="9"/>
      <c r="D45" s="9"/>
      <c r="E45" s="9"/>
      <c r="F45" s="9"/>
      <c r="G45" s="9"/>
      <c r="H45" s="9"/>
      <c r="I45" s="10"/>
      <c r="J45" s="10"/>
    </row>
    <row r="46" spans="1:10" x14ac:dyDescent="0.25">
      <c r="A46" s="21" t="s">
        <v>53</v>
      </c>
      <c r="B46" s="21"/>
      <c r="C46" s="12" t="s">
        <v>8</v>
      </c>
      <c r="D46" s="12" t="s">
        <v>9</v>
      </c>
      <c r="E46" s="12" t="s">
        <v>10</v>
      </c>
      <c r="F46" s="12" t="s">
        <v>11</v>
      </c>
      <c r="G46" s="12" t="s">
        <v>12</v>
      </c>
      <c r="H46" s="15" t="s">
        <v>13</v>
      </c>
      <c r="I46" s="18"/>
      <c r="J46" s="18"/>
    </row>
    <row r="47" spans="1:10" x14ac:dyDescent="0.25">
      <c r="A47" s="20" t="s">
        <v>54</v>
      </c>
      <c r="B47" s="20"/>
      <c r="C47" s="11">
        <v>39280</v>
      </c>
      <c r="D47" s="11">
        <v>62</v>
      </c>
      <c r="E47" s="11">
        <v>42616</v>
      </c>
      <c r="F47" s="11">
        <v>50</v>
      </c>
      <c r="G47" s="11">
        <f>SUM(C47:F47)</f>
        <v>82008</v>
      </c>
      <c r="H47" s="17">
        <f>ROUND(G47/699,2)</f>
        <v>117.32</v>
      </c>
      <c r="I47" s="10"/>
      <c r="J47" s="10"/>
    </row>
    <row r="48" spans="1:10" x14ac:dyDescent="0.25">
      <c r="A48" s="20" t="s">
        <v>55</v>
      </c>
      <c r="B48" s="20"/>
      <c r="C48" s="11">
        <v>16955</v>
      </c>
      <c r="D48" s="11">
        <v>0</v>
      </c>
      <c r="E48" s="11">
        <v>3600</v>
      </c>
      <c r="F48" s="11">
        <v>0</v>
      </c>
      <c r="G48" s="11">
        <f>SUM(C48:F48)</f>
        <v>20555</v>
      </c>
      <c r="H48" s="17">
        <f>ROUND(G48/699,2)</f>
        <v>29.41</v>
      </c>
      <c r="I48" s="10"/>
      <c r="J48" s="10"/>
    </row>
    <row r="49" spans="1:10" x14ac:dyDescent="0.25">
      <c r="A49" s="20" t="s">
        <v>56</v>
      </c>
      <c r="B49" s="20"/>
      <c r="C49" s="11">
        <v>0</v>
      </c>
      <c r="D49" s="11">
        <v>0</v>
      </c>
      <c r="E49" s="11">
        <v>0</v>
      </c>
      <c r="F49" s="11">
        <v>0</v>
      </c>
      <c r="G49" s="11">
        <f>SUM(C49:F49)</f>
        <v>0</v>
      </c>
      <c r="H49" s="17">
        <f>ROUND(G49/699,2)</f>
        <v>0</v>
      </c>
      <c r="I49" s="10"/>
      <c r="J49" s="10"/>
    </row>
    <row r="50" spans="1:10" x14ac:dyDescent="0.25">
      <c r="C50" s="9"/>
      <c r="D50" s="9"/>
      <c r="E50" s="9"/>
      <c r="F50" s="9"/>
      <c r="G50" s="9"/>
      <c r="H50" s="9"/>
      <c r="I50" s="10"/>
      <c r="J50" s="10"/>
    </row>
    <row r="51" spans="1:10" x14ac:dyDescent="0.25">
      <c r="C51" s="9"/>
      <c r="D51" s="9"/>
      <c r="E51" s="9"/>
      <c r="F51" s="9"/>
      <c r="G51" s="9"/>
      <c r="H51" s="9"/>
      <c r="I51" s="10"/>
      <c r="J51" s="10"/>
    </row>
    <row r="52" spans="1:10" x14ac:dyDescent="0.25">
      <c r="C52" s="9"/>
      <c r="D52" s="9"/>
      <c r="E52" s="9"/>
      <c r="F52" s="9"/>
      <c r="G52" s="9"/>
      <c r="H52" s="9"/>
      <c r="I52" s="10"/>
      <c r="J52" s="10"/>
    </row>
    <row r="53" spans="1:10" x14ac:dyDescent="0.25">
      <c r="C53" s="9"/>
      <c r="D53" s="9"/>
      <c r="E53" s="9"/>
      <c r="F53" s="9"/>
      <c r="G53" s="9"/>
      <c r="H53" s="9"/>
      <c r="I53" s="10"/>
      <c r="J53" s="10"/>
    </row>
    <row r="54" spans="1:10" x14ac:dyDescent="0.25">
      <c r="A54" s="21" t="s">
        <v>57</v>
      </c>
      <c r="B54" s="21"/>
      <c r="C54" s="15" t="s">
        <v>2</v>
      </c>
      <c r="D54" s="15">
        <v>2023</v>
      </c>
      <c r="E54" s="15" t="s">
        <v>59</v>
      </c>
      <c r="F54" s="14"/>
      <c r="G54" s="15" t="s">
        <v>60</v>
      </c>
      <c r="H54" s="15" t="s">
        <v>2</v>
      </c>
      <c r="I54" s="13" t="s">
        <v>61</v>
      </c>
      <c r="J54" s="13" t="s">
        <v>59</v>
      </c>
    </row>
    <row r="55" spans="1:10" x14ac:dyDescent="0.25">
      <c r="A55" s="20" t="s">
        <v>58</v>
      </c>
      <c r="B55" s="20"/>
      <c r="C55" s="16">
        <f>ROUND(0.7879, 4)</f>
        <v>0.78790000000000004</v>
      </c>
      <c r="D55" s="16">
        <f>ROUND(0.7642, 4)</f>
        <v>0.76419999999999999</v>
      </c>
      <c r="E55" s="16">
        <f>ROUND(0.777, 4)</f>
        <v>0.77700000000000002</v>
      </c>
      <c r="F55" s="9"/>
      <c r="G55" s="15" t="s">
        <v>62</v>
      </c>
      <c r="H55" s="22" t="s">
        <v>63</v>
      </c>
      <c r="I55" s="24" t="s">
        <v>64</v>
      </c>
      <c r="J55" s="24" t="s">
        <v>65</v>
      </c>
    </row>
    <row r="56" spans="1:10" x14ac:dyDescent="0.25">
      <c r="A56" s="20" t="s">
        <v>66</v>
      </c>
      <c r="B56" s="20"/>
      <c r="C56" s="16">
        <f>ROUND(0.7761, 4)</f>
        <v>0.77610000000000001</v>
      </c>
      <c r="D56" s="16">
        <f>ROUND(0.7505, 4)</f>
        <v>0.75049999999999994</v>
      </c>
      <c r="E56" s="16">
        <f>ROUND(0.7608, 4)</f>
        <v>0.76080000000000003</v>
      </c>
      <c r="F56" s="9"/>
      <c r="G56" s="15" t="s">
        <v>67</v>
      </c>
      <c r="H56" s="23"/>
      <c r="I56" s="25"/>
      <c r="J56" s="25"/>
    </row>
    <row r="57" spans="1:10" x14ac:dyDescent="0.25">
      <c r="C57" s="9"/>
      <c r="D57" s="9"/>
      <c r="E57" s="9"/>
      <c r="F57" s="9"/>
      <c r="G57" s="9"/>
      <c r="H57" s="9"/>
      <c r="I57" s="10"/>
      <c r="J57" s="10"/>
    </row>
    <row r="58" spans="1:10" x14ac:dyDescent="0.25">
      <c r="C58" s="9"/>
      <c r="D58" s="9"/>
      <c r="E58" s="9"/>
      <c r="F58" s="9"/>
      <c r="G58" s="9"/>
      <c r="H58" s="9"/>
      <c r="I58" s="10"/>
      <c r="J58" s="10"/>
    </row>
    <row r="59" spans="1:10" x14ac:dyDescent="0.25">
      <c r="C59" s="9"/>
      <c r="D59" s="9"/>
      <c r="E59" s="9"/>
      <c r="F59" s="9"/>
      <c r="G59" s="9"/>
      <c r="H59" s="9"/>
      <c r="I59" s="10"/>
      <c r="J59" s="10"/>
    </row>
    <row r="60" spans="1:10" x14ac:dyDescent="0.25">
      <c r="A60" s="21" t="s">
        <v>68</v>
      </c>
      <c r="B60" s="21"/>
      <c r="C60" s="15" t="s">
        <v>2</v>
      </c>
      <c r="D60" s="15" t="s">
        <v>104</v>
      </c>
      <c r="E60" s="15" t="s">
        <v>70</v>
      </c>
      <c r="F60" s="15" t="s">
        <v>71</v>
      </c>
      <c r="G60" s="15" t="s">
        <v>72</v>
      </c>
      <c r="H60" s="14"/>
      <c r="I60" s="18"/>
      <c r="J60" s="18"/>
    </row>
    <row r="61" spans="1:10" x14ac:dyDescent="0.25">
      <c r="A61" s="20" t="s">
        <v>73</v>
      </c>
      <c r="B61" s="20"/>
      <c r="C61" s="17">
        <v>24.26</v>
      </c>
      <c r="D61" s="17">
        <v>75.42</v>
      </c>
      <c r="E61" s="17">
        <v>81.84</v>
      </c>
      <c r="F61" s="17">
        <v>48</v>
      </c>
      <c r="G61" s="17">
        <f>12/4*C61</f>
        <v>72.78</v>
      </c>
      <c r="H61" s="9"/>
      <c r="I61" s="10"/>
      <c r="J61" s="10"/>
    </row>
    <row r="62" spans="1:10" x14ac:dyDescent="0.25">
      <c r="A62" s="20" t="s">
        <v>74</v>
      </c>
      <c r="B62" s="20"/>
      <c r="C62" s="17">
        <v>16.25</v>
      </c>
      <c r="D62" s="17">
        <v>48.96</v>
      </c>
      <c r="E62" s="17">
        <v>55.63</v>
      </c>
      <c r="F62" s="17">
        <v>55.33</v>
      </c>
      <c r="G62" s="17">
        <f>12/4*C62</f>
        <v>48.75</v>
      </c>
      <c r="H62" s="9"/>
      <c r="I62" s="10"/>
      <c r="J62" s="10"/>
    </row>
    <row r="63" spans="1:10" x14ac:dyDescent="0.25">
      <c r="A63" s="20" t="s">
        <v>75</v>
      </c>
      <c r="B63" s="20"/>
      <c r="C63" s="17">
        <v>117.32</v>
      </c>
      <c r="D63" s="17">
        <v>281.68</v>
      </c>
      <c r="E63" s="17">
        <v>257.88</v>
      </c>
      <c r="F63" s="17">
        <v>242.78</v>
      </c>
      <c r="G63" s="17">
        <f>12/4*C63</f>
        <v>351.96</v>
      </c>
      <c r="H63" s="9"/>
      <c r="I63" s="10"/>
      <c r="J63" s="10"/>
    </row>
    <row r="64" spans="1:10" x14ac:dyDescent="0.25">
      <c r="A64" s="20" t="s">
        <v>76</v>
      </c>
      <c r="B64" s="20"/>
      <c r="C64" s="17">
        <v>29.41</v>
      </c>
      <c r="D64" s="17">
        <v>88.05</v>
      </c>
      <c r="E64" s="17">
        <v>103.14</v>
      </c>
      <c r="F64" s="17">
        <v>68.31</v>
      </c>
      <c r="G64" s="17">
        <f>12/4*C64</f>
        <v>88.23</v>
      </c>
      <c r="H64" s="9"/>
      <c r="I64" s="10"/>
      <c r="J64" s="10"/>
    </row>
    <row r="65" spans="1:10" x14ac:dyDescent="0.25">
      <c r="C65" s="9"/>
      <c r="D65" s="9"/>
      <c r="E65" s="9"/>
      <c r="F65" s="9"/>
      <c r="G65" s="9"/>
      <c r="H65" s="9"/>
      <c r="I65" s="10"/>
      <c r="J65" s="10"/>
    </row>
    <row r="66" spans="1:10" x14ac:dyDescent="0.25">
      <c r="C66" s="9"/>
      <c r="D66" s="9"/>
      <c r="E66" s="9"/>
      <c r="F66" s="9"/>
      <c r="G66" s="9"/>
      <c r="H66" s="9"/>
      <c r="I66" s="10"/>
      <c r="J66" s="10"/>
    </row>
    <row r="67" spans="1:10" x14ac:dyDescent="0.25">
      <c r="A67" s="19" t="s">
        <v>60</v>
      </c>
      <c r="B67" s="26"/>
      <c r="C67" s="9"/>
      <c r="D67" s="9"/>
      <c r="E67" s="9"/>
      <c r="F67" s="9"/>
      <c r="G67" s="9"/>
      <c r="H67" s="9"/>
      <c r="I67" s="10"/>
      <c r="J67" s="10"/>
    </row>
    <row r="68" spans="1:10" x14ac:dyDescent="0.25">
      <c r="A68" s="3" t="s">
        <v>77</v>
      </c>
      <c r="B68" s="1" t="s">
        <v>105</v>
      </c>
      <c r="C68" s="9"/>
      <c r="D68" s="9"/>
      <c r="E68" s="9"/>
      <c r="F68" s="9"/>
      <c r="G68" s="9"/>
      <c r="H68" s="9"/>
      <c r="I68" s="10"/>
      <c r="J68" s="10"/>
    </row>
    <row r="69" spans="1:10" x14ac:dyDescent="0.25">
      <c r="A69" s="3" t="s">
        <v>70</v>
      </c>
      <c r="B69" s="1" t="s">
        <v>79</v>
      </c>
      <c r="C69" s="9"/>
      <c r="D69" s="9"/>
      <c r="E69" s="9"/>
      <c r="F69" s="9"/>
      <c r="G69" s="9"/>
      <c r="H69" s="9"/>
      <c r="I69" s="10"/>
      <c r="J69" s="10"/>
    </row>
    <row r="70" spans="1:10" x14ac:dyDescent="0.25">
      <c r="A70" s="3" t="s">
        <v>71</v>
      </c>
      <c r="B70" s="1" t="s">
        <v>80</v>
      </c>
      <c r="C70" s="9"/>
      <c r="D70" s="9"/>
      <c r="E70" s="9"/>
      <c r="F70" s="9"/>
      <c r="G70" s="9"/>
      <c r="H70" s="9"/>
      <c r="I70" s="10"/>
      <c r="J70" s="10"/>
    </row>
    <row r="71" spans="1:10" x14ac:dyDescent="0.25">
      <c r="A71" s="3" t="s">
        <v>72</v>
      </c>
      <c r="B71" s="1" t="s">
        <v>81</v>
      </c>
      <c r="C71" s="9"/>
      <c r="D71" s="9"/>
      <c r="E71" s="9"/>
      <c r="F71" s="9"/>
      <c r="G71" s="9"/>
      <c r="H71" s="9"/>
      <c r="I71" s="10"/>
      <c r="J71" s="10"/>
    </row>
    <row r="72" spans="1:10" x14ac:dyDescent="0.25">
      <c r="C72" s="9"/>
      <c r="D72" s="9"/>
      <c r="E72" s="9"/>
      <c r="F72" s="9"/>
      <c r="G72" s="9"/>
      <c r="H72" s="9"/>
      <c r="I72" s="10"/>
      <c r="J72" s="10"/>
    </row>
  </sheetData>
  <mergeCells count="19">
    <mergeCell ref="A62:B62"/>
    <mergeCell ref="A63:B63"/>
    <mergeCell ref="A64:B64"/>
    <mergeCell ref="A67:B67"/>
    <mergeCell ref="I55:I56"/>
    <mergeCell ref="J55:J56"/>
    <mergeCell ref="A56:B56"/>
    <mergeCell ref="A60:B60"/>
    <mergeCell ref="A61:B61"/>
    <mergeCell ref="A48:B48"/>
    <mergeCell ref="A49:B49"/>
    <mergeCell ref="A54:B54"/>
    <mergeCell ref="A55:B55"/>
    <mergeCell ref="H55:H56"/>
    <mergeCell ref="C7:G7"/>
    <mergeCell ref="A40:B40"/>
    <mergeCell ref="A41:B41"/>
    <mergeCell ref="A46:B46"/>
    <mergeCell ref="A47:B47"/>
  </mergeCell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dimension ref="A2:J68"/>
  <sheetViews>
    <sheetView workbookViewId="0">
      <selection activeCell="C9" sqref="C9:J66"/>
    </sheetView>
  </sheetViews>
  <sheetFormatPr defaultRowHeight="15" x14ac:dyDescent="0.25"/>
  <cols>
    <col min="1" max="1" width="38.85546875" bestFit="1" customWidth="1"/>
    <col min="2" max="2" width="79" bestFit="1" customWidth="1"/>
    <col min="3" max="3" width="14" bestFit="1" customWidth="1"/>
    <col min="4" max="4" width="23.42578125" bestFit="1" customWidth="1"/>
    <col min="5" max="5" width="16.42578125" bestFit="1" customWidth="1"/>
    <col min="6" max="6" width="10.5703125" bestFit="1" customWidth="1"/>
    <col min="7" max="7" width="68.28515625" bestFit="1" customWidth="1"/>
    <col min="8" max="9" width="20" bestFit="1" customWidth="1"/>
    <col min="10" max="10" width="30.5703125" bestFit="1" customWidth="1"/>
  </cols>
  <sheetData>
    <row r="2" spans="1:10" ht="18.75" x14ac:dyDescent="0.3">
      <c r="A2" s="3" t="s">
        <v>0</v>
      </c>
      <c r="B2" s="4" t="s">
        <v>324</v>
      </c>
    </row>
    <row r="3" spans="1:10" x14ac:dyDescent="0.25">
      <c r="A3" s="3" t="s">
        <v>2</v>
      </c>
      <c r="B3" s="1" t="s">
        <v>3</v>
      </c>
    </row>
    <row r="4" spans="1:10" x14ac:dyDescent="0.25">
      <c r="A4" s="3" t="s">
        <v>4</v>
      </c>
      <c r="B4" s="1">
        <v>568</v>
      </c>
    </row>
    <row r="7" spans="1:10" x14ac:dyDescent="0.25">
      <c r="C7" s="19" t="s">
        <v>5</v>
      </c>
      <c r="D7" s="20"/>
      <c r="E7" s="20"/>
      <c r="F7" s="20"/>
      <c r="G7" s="20"/>
    </row>
    <row r="8" spans="1:10" x14ac:dyDescent="0.25">
      <c r="A8" s="3" t="s">
        <v>6</v>
      </c>
      <c r="B8" s="3" t="s">
        <v>7</v>
      </c>
      <c r="C8" s="3" t="s">
        <v>8</v>
      </c>
      <c r="D8" s="3" t="s">
        <v>9</v>
      </c>
      <c r="E8" s="3" t="s">
        <v>10</v>
      </c>
      <c r="F8" s="3" t="s">
        <v>11</v>
      </c>
      <c r="G8" s="3" t="s">
        <v>12</v>
      </c>
      <c r="H8" s="3" t="s">
        <v>13</v>
      </c>
      <c r="I8" s="3" t="s">
        <v>14</v>
      </c>
      <c r="J8" s="3" t="s">
        <v>15</v>
      </c>
    </row>
    <row r="9" spans="1:10" x14ac:dyDescent="0.25">
      <c r="A9" s="1" t="s">
        <v>16</v>
      </c>
      <c r="B9" s="1" t="s">
        <v>19</v>
      </c>
      <c r="C9" s="11">
        <v>5230</v>
      </c>
      <c r="D9" s="11"/>
      <c r="E9" s="11"/>
      <c r="F9" s="11"/>
      <c r="G9" s="11">
        <f t="shared" ref="G9:G36" si="0">SUM(C9:F9)</f>
        <v>5230</v>
      </c>
      <c r="H9" s="17">
        <f t="shared" ref="H9:H36" si="1">ROUND(G9/568,2)</f>
        <v>9.2100000000000009</v>
      </c>
      <c r="I9" s="16">
        <f t="shared" ref="I9:I36" si="2">ROUND(G9/$G$37,3)</f>
        <v>9.0999999999999998E-2</v>
      </c>
      <c r="J9" s="16">
        <f>ROUND(G9/5150-1,2)</f>
        <v>0.02</v>
      </c>
    </row>
    <row r="10" spans="1:10" x14ac:dyDescent="0.25">
      <c r="A10" s="1" t="s">
        <v>16</v>
      </c>
      <c r="B10" s="1" t="s">
        <v>20</v>
      </c>
      <c r="C10" s="11">
        <v>7060</v>
      </c>
      <c r="D10" s="11"/>
      <c r="E10" s="11"/>
      <c r="F10" s="11"/>
      <c r="G10" s="11">
        <f t="shared" si="0"/>
        <v>7060</v>
      </c>
      <c r="H10" s="17">
        <f t="shared" si="1"/>
        <v>12.43</v>
      </c>
      <c r="I10" s="16">
        <f t="shared" si="2"/>
        <v>0.122</v>
      </c>
      <c r="J10" s="16">
        <f>ROUND(G10/8510-1,2)</f>
        <v>-0.17</v>
      </c>
    </row>
    <row r="11" spans="1:10" x14ac:dyDescent="0.25">
      <c r="A11" s="1" t="s">
        <v>16</v>
      </c>
      <c r="B11" s="1" t="s">
        <v>94</v>
      </c>
      <c r="C11" s="11"/>
      <c r="D11" s="11"/>
      <c r="E11" s="11"/>
      <c r="F11" s="11">
        <v>12</v>
      </c>
      <c r="G11" s="11">
        <f t="shared" si="0"/>
        <v>12</v>
      </c>
      <c r="H11" s="17">
        <f t="shared" si="1"/>
        <v>0.02</v>
      </c>
      <c r="I11" s="16">
        <f t="shared" si="2"/>
        <v>0</v>
      </c>
      <c r="J11" s="16">
        <f>ROUND(G11/10-1,2)</f>
        <v>0.2</v>
      </c>
    </row>
    <row r="12" spans="1:10" x14ac:dyDescent="0.25">
      <c r="A12" s="1" t="s">
        <v>16</v>
      </c>
      <c r="B12" s="1" t="s">
        <v>21</v>
      </c>
      <c r="C12" s="11"/>
      <c r="D12" s="11"/>
      <c r="E12" s="11"/>
      <c r="F12" s="11">
        <v>10</v>
      </c>
      <c r="G12" s="11">
        <f t="shared" si="0"/>
        <v>10</v>
      </c>
      <c r="H12" s="17">
        <f t="shared" si="1"/>
        <v>0.02</v>
      </c>
      <c r="I12" s="16">
        <f t="shared" si="2"/>
        <v>0</v>
      </c>
      <c r="J12" s="16">
        <f>ROUND(G12/6-1,2)</f>
        <v>0.67</v>
      </c>
    </row>
    <row r="13" spans="1:10" x14ac:dyDescent="0.25">
      <c r="A13" s="1" t="s">
        <v>16</v>
      </c>
      <c r="B13" s="1" t="s">
        <v>24</v>
      </c>
      <c r="C13" s="11">
        <v>7180</v>
      </c>
      <c r="D13" s="11"/>
      <c r="E13" s="11"/>
      <c r="F13" s="11"/>
      <c r="G13" s="11">
        <f t="shared" si="0"/>
        <v>7180</v>
      </c>
      <c r="H13" s="17">
        <f t="shared" si="1"/>
        <v>12.64</v>
      </c>
      <c r="I13" s="16">
        <f t="shared" si="2"/>
        <v>0.124</v>
      </c>
      <c r="J13" s="16">
        <f>ROUND(G13/5440-1,2)</f>
        <v>0.32</v>
      </c>
    </row>
    <row r="14" spans="1:10" x14ac:dyDescent="0.25">
      <c r="A14" s="1" t="s">
        <v>16</v>
      </c>
      <c r="B14" s="1" t="s">
        <v>26</v>
      </c>
      <c r="C14" s="11">
        <v>8020</v>
      </c>
      <c r="D14" s="11"/>
      <c r="E14" s="11"/>
      <c r="F14" s="11"/>
      <c r="G14" s="11">
        <f t="shared" si="0"/>
        <v>8020</v>
      </c>
      <c r="H14" s="17">
        <f t="shared" si="1"/>
        <v>14.12</v>
      </c>
      <c r="I14" s="16">
        <f t="shared" si="2"/>
        <v>0.13900000000000001</v>
      </c>
      <c r="J14" s="16">
        <f>ROUND(G14/7260-1,2)</f>
        <v>0.1</v>
      </c>
    </row>
    <row r="15" spans="1:10" x14ac:dyDescent="0.25">
      <c r="A15" s="1" t="s">
        <v>16</v>
      </c>
      <c r="B15" s="1" t="s">
        <v>27</v>
      </c>
      <c r="C15" s="11"/>
      <c r="D15" s="11"/>
      <c r="E15" s="11">
        <v>34</v>
      </c>
      <c r="F15" s="11"/>
      <c r="G15" s="11">
        <f t="shared" si="0"/>
        <v>34</v>
      </c>
      <c r="H15" s="17">
        <f t="shared" si="1"/>
        <v>0.06</v>
      </c>
      <c r="I15" s="16">
        <f t="shared" si="2"/>
        <v>1E-3</v>
      </c>
      <c r="J15" s="16">
        <f>ROUND(G15/120-1,2)</f>
        <v>-0.72</v>
      </c>
    </row>
    <row r="16" spans="1:10" x14ac:dyDescent="0.25">
      <c r="A16" s="1" t="s">
        <v>16</v>
      </c>
      <c r="B16" s="1" t="s">
        <v>39</v>
      </c>
      <c r="C16" s="11"/>
      <c r="D16" s="11"/>
      <c r="E16" s="11">
        <v>20</v>
      </c>
      <c r="F16" s="11"/>
      <c r="G16" s="11">
        <f t="shared" si="0"/>
        <v>20</v>
      </c>
      <c r="H16" s="17">
        <f t="shared" si="1"/>
        <v>0.04</v>
      </c>
      <c r="I16" s="16">
        <f t="shared" si="2"/>
        <v>0</v>
      </c>
      <c r="J16" s="16">
        <f>ROUND(G16/20-1,2)</f>
        <v>0</v>
      </c>
    </row>
    <row r="17" spans="1:10" x14ac:dyDescent="0.25">
      <c r="A17" s="1" t="s">
        <v>16</v>
      </c>
      <c r="B17" s="1" t="s">
        <v>31</v>
      </c>
      <c r="C17" s="11"/>
      <c r="D17" s="11"/>
      <c r="E17" s="11"/>
      <c r="F17" s="11">
        <v>65</v>
      </c>
      <c r="G17" s="11">
        <f t="shared" si="0"/>
        <v>65</v>
      </c>
      <c r="H17" s="17">
        <f t="shared" si="1"/>
        <v>0.11</v>
      </c>
      <c r="I17" s="16">
        <f t="shared" si="2"/>
        <v>1E-3</v>
      </c>
      <c r="J17" s="16">
        <f>ROUND(G17/95-1,2)</f>
        <v>-0.32</v>
      </c>
    </row>
    <row r="18" spans="1:10" x14ac:dyDescent="0.25">
      <c r="A18" s="1" t="s">
        <v>16</v>
      </c>
      <c r="B18" s="1" t="s">
        <v>32</v>
      </c>
      <c r="C18" s="11"/>
      <c r="D18" s="11">
        <v>25</v>
      </c>
      <c r="E18" s="11"/>
      <c r="F18" s="11"/>
      <c r="G18" s="11">
        <f t="shared" si="0"/>
        <v>25</v>
      </c>
      <c r="H18" s="17">
        <f t="shared" si="1"/>
        <v>0.04</v>
      </c>
      <c r="I18" s="16">
        <f t="shared" si="2"/>
        <v>0</v>
      </c>
      <c r="J18" s="16">
        <f>ROUND(G18/19-1,2)</f>
        <v>0.32</v>
      </c>
    </row>
    <row r="19" spans="1:10" x14ac:dyDescent="0.25">
      <c r="A19" s="1" t="s">
        <v>16</v>
      </c>
      <c r="B19" s="1" t="s">
        <v>34</v>
      </c>
      <c r="C19" s="11"/>
      <c r="D19" s="11">
        <v>25</v>
      </c>
      <c r="E19" s="11"/>
      <c r="F19" s="11">
        <v>52</v>
      </c>
      <c r="G19" s="11">
        <f t="shared" si="0"/>
        <v>77</v>
      </c>
      <c r="H19" s="17">
        <f t="shared" si="1"/>
        <v>0.14000000000000001</v>
      </c>
      <c r="I19" s="16">
        <f t="shared" si="2"/>
        <v>1E-3</v>
      </c>
      <c r="J19" s="16">
        <f>ROUND(G19/59-1,2)</f>
        <v>0.31</v>
      </c>
    </row>
    <row r="20" spans="1:10" x14ac:dyDescent="0.25">
      <c r="A20" s="1" t="s">
        <v>16</v>
      </c>
      <c r="B20" s="1" t="s">
        <v>35</v>
      </c>
      <c r="C20" s="11"/>
      <c r="D20" s="11"/>
      <c r="E20" s="11">
        <v>4780</v>
      </c>
      <c r="F20" s="11"/>
      <c r="G20" s="11">
        <f t="shared" si="0"/>
        <v>4780</v>
      </c>
      <c r="H20" s="17">
        <f t="shared" si="1"/>
        <v>8.42</v>
      </c>
      <c r="I20" s="16">
        <f t="shared" si="2"/>
        <v>8.3000000000000004E-2</v>
      </c>
      <c r="J20" s="16">
        <f>ROUND(G20/3940-1,2)</f>
        <v>0.21</v>
      </c>
    </row>
    <row r="21" spans="1:10" x14ac:dyDescent="0.25">
      <c r="A21" s="1" t="s">
        <v>16</v>
      </c>
      <c r="B21" s="1" t="s">
        <v>36</v>
      </c>
      <c r="C21" s="11"/>
      <c r="D21" s="11"/>
      <c r="E21" s="11">
        <v>1650</v>
      </c>
      <c r="F21" s="11"/>
      <c r="G21" s="11">
        <f t="shared" si="0"/>
        <v>1650</v>
      </c>
      <c r="H21" s="17">
        <f t="shared" si="1"/>
        <v>2.9</v>
      </c>
      <c r="I21" s="16">
        <f t="shared" si="2"/>
        <v>2.9000000000000001E-2</v>
      </c>
      <c r="J21" s="16"/>
    </row>
    <row r="22" spans="1:10" x14ac:dyDescent="0.25">
      <c r="A22" s="1" t="s">
        <v>16</v>
      </c>
      <c r="B22" s="1" t="s">
        <v>37</v>
      </c>
      <c r="C22" s="11"/>
      <c r="D22" s="11"/>
      <c r="E22" s="11">
        <v>1900</v>
      </c>
      <c r="F22" s="11"/>
      <c r="G22" s="11">
        <f t="shared" si="0"/>
        <v>1900</v>
      </c>
      <c r="H22" s="17">
        <f t="shared" si="1"/>
        <v>3.35</v>
      </c>
      <c r="I22" s="16">
        <f t="shared" si="2"/>
        <v>3.3000000000000002E-2</v>
      </c>
      <c r="J22" s="16"/>
    </row>
    <row r="23" spans="1:10" x14ac:dyDescent="0.25">
      <c r="A23" s="1" t="s">
        <v>16</v>
      </c>
      <c r="B23" s="1" t="s">
        <v>40</v>
      </c>
      <c r="C23" s="11"/>
      <c r="D23" s="11"/>
      <c r="E23" s="11"/>
      <c r="F23" s="11"/>
      <c r="G23" s="11">
        <f t="shared" si="0"/>
        <v>0</v>
      </c>
      <c r="H23" s="17">
        <f t="shared" si="1"/>
        <v>0</v>
      </c>
      <c r="I23" s="16">
        <f t="shared" si="2"/>
        <v>0</v>
      </c>
      <c r="J23" s="16">
        <f>ROUND(G23/580-1,2)</f>
        <v>-1</v>
      </c>
    </row>
    <row r="24" spans="1:10" x14ac:dyDescent="0.25">
      <c r="A24" s="1" t="s">
        <v>16</v>
      </c>
      <c r="B24" s="1" t="s">
        <v>29</v>
      </c>
      <c r="C24" s="11"/>
      <c r="D24" s="11"/>
      <c r="E24" s="11"/>
      <c r="F24" s="11"/>
      <c r="G24" s="11">
        <f t="shared" si="0"/>
        <v>0</v>
      </c>
      <c r="H24" s="17">
        <f t="shared" si="1"/>
        <v>0</v>
      </c>
      <c r="I24" s="16">
        <f t="shared" si="2"/>
        <v>0</v>
      </c>
      <c r="J24" s="16">
        <f>ROUND(G24/40-1,2)</f>
        <v>-1</v>
      </c>
    </row>
    <row r="25" spans="1:10" x14ac:dyDescent="0.25">
      <c r="A25" s="1" t="s">
        <v>16</v>
      </c>
      <c r="B25" s="1" t="s">
        <v>30</v>
      </c>
      <c r="C25" s="11"/>
      <c r="D25" s="11"/>
      <c r="E25" s="11"/>
      <c r="F25" s="11"/>
      <c r="G25" s="11">
        <f t="shared" si="0"/>
        <v>0</v>
      </c>
      <c r="H25" s="17">
        <f t="shared" si="1"/>
        <v>0</v>
      </c>
      <c r="I25" s="16">
        <f t="shared" si="2"/>
        <v>0</v>
      </c>
      <c r="J25" s="16"/>
    </row>
    <row r="26" spans="1:10" x14ac:dyDescent="0.25">
      <c r="A26" s="1" t="s">
        <v>16</v>
      </c>
      <c r="B26" s="1" t="s">
        <v>33</v>
      </c>
      <c r="C26" s="11"/>
      <c r="D26" s="11"/>
      <c r="E26" s="11"/>
      <c r="F26" s="11"/>
      <c r="G26" s="11">
        <f t="shared" si="0"/>
        <v>0</v>
      </c>
      <c r="H26" s="17">
        <f t="shared" si="1"/>
        <v>0</v>
      </c>
      <c r="I26" s="16">
        <f t="shared" si="2"/>
        <v>0</v>
      </c>
      <c r="J26" s="16"/>
    </row>
    <row r="27" spans="1:10" x14ac:dyDescent="0.25">
      <c r="A27" s="1" t="s">
        <v>16</v>
      </c>
      <c r="B27" s="1" t="s">
        <v>41</v>
      </c>
      <c r="C27" s="11"/>
      <c r="D27" s="11"/>
      <c r="E27" s="11"/>
      <c r="F27" s="11"/>
      <c r="G27" s="11">
        <f t="shared" si="0"/>
        <v>0</v>
      </c>
      <c r="H27" s="17">
        <f t="shared" si="1"/>
        <v>0</v>
      </c>
      <c r="I27" s="16">
        <f t="shared" si="2"/>
        <v>0</v>
      </c>
      <c r="J27" s="16">
        <f>ROUND(G27/70-1,2)</f>
        <v>-1</v>
      </c>
    </row>
    <row r="28" spans="1:10" x14ac:dyDescent="0.25">
      <c r="A28" s="1" t="s">
        <v>16</v>
      </c>
      <c r="B28" s="1" t="s">
        <v>43</v>
      </c>
      <c r="C28" s="11"/>
      <c r="D28" s="11"/>
      <c r="E28" s="11"/>
      <c r="F28" s="11"/>
      <c r="G28" s="11">
        <f t="shared" si="0"/>
        <v>0</v>
      </c>
      <c r="H28" s="17">
        <f t="shared" si="1"/>
        <v>0</v>
      </c>
      <c r="I28" s="16">
        <f t="shared" si="2"/>
        <v>0</v>
      </c>
      <c r="J28" s="16">
        <f>ROUND(G28/110-1,2)</f>
        <v>-1</v>
      </c>
    </row>
    <row r="29" spans="1:10" x14ac:dyDescent="0.25">
      <c r="A29" s="1" t="s">
        <v>16</v>
      </c>
      <c r="B29" s="1" t="s">
        <v>42</v>
      </c>
      <c r="C29" s="11"/>
      <c r="D29" s="11"/>
      <c r="E29" s="11"/>
      <c r="F29" s="11"/>
      <c r="G29" s="11">
        <f t="shared" si="0"/>
        <v>0</v>
      </c>
      <c r="H29" s="17">
        <f t="shared" si="1"/>
        <v>0</v>
      </c>
      <c r="I29" s="16">
        <f t="shared" si="2"/>
        <v>0</v>
      </c>
      <c r="J29" s="16">
        <f>ROUND(G29/150-1,2)</f>
        <v>-1</v>
      </c>
    </row>
    <row r="30" spans="1:10" x14ac:dyDescent="0.25">
      <c r="A30" s="1" t="s">
        <v>16</v>
      </c>
      <c r="B30" s="1" t="s">
        <v>22</v>
      </c>
      <c r="C30" s="11"/>
      <c r="D30" s="11"/>
      <c r="E30" s="11"/>
      <c r="F30" s="11"/>
      <c r="G30" s="11">
        <f t="shared" si="0"/>
        <v>0</v>
      </c>
      <c r="H30" s="17">
        <f t="shared" si="1"/>
        <v>0</v>
      </c>
      <c r="I30" s="16">
        <f t="shared" si="2"/>
        <v>0</v>
      </c>
      <c r="J30" s="16"/>
    </row>
    <row r="31" spans="1:10" x14ac:dyDescent="0.25">
      <c r="A31" s="1" t="s">
        <v>16</v>
      </c>
      <c r="B31" s="1" t="s">
        <v>25</v>
      </c>
      <c r="C31" s="11"/>
      <c r="D31" s="11"/>
      <c r="E31" s="11"/>
      <c r="F31" s="11"/>
      <c r="G31" s="11">
        <f t="shared" si="0"/>
        <v>0</v>
      </c>
      <c r="H31" s="17">
        <f t="shared" si="1"/>
        <v>0</v>
      </c>
      <c r="I31" s="16">
        <f t="shared" si="2"/>
        <v>0</v>
      </c>
      <c r="J31" s="16"/>
    </row>
    <row r="32" spans="1:10" x14ac:dyDescent="0.25">
      <c r="A32" s="1" t="s">
        <v>44</v>
      </c>
      <c r="B32" s="1" t="s">
        <v>45</v>
      </c>
      <c r="C32" s="11">
        <v>17230</v>
      </c>
      <c r="D32" s="11"/>
      <c r="E32" s="11"/>
      <c r="F32" s="11"/>
      <c r="G32" s="11">
        <f t="shared" si="0"/>
        <v>17230</v>
      </c>
      <c r="H32" s="17">
        <f t="shared" si="1"/>
        <v>30.33</v>
      </c>
      <c r="I32" s="16">
        <f t="shared" si="2"/>
        <v>0.29799999999999999</v>
      </c>
      <c r="J32" s="16">
        <f>ROUND(G32/15910-1,2)</f>
        <v>0.08</v>
      </c>
    </row>
    <row r="33" spans="1:10" x14ac:dyDescent="0.25">
      <c r="A33" s="1" t="s">
        <v>44</v>
      </c>
      <c r="B33" s="1" t="s">
        <v>46</v>
      </c>
      <c r="C33" s="11"/>
      <c r="D33" s="11"/>
      <c r="E33" s="11">
        <v>4480</v>
      </c>
      <c r="F33" s="11"/>
      <c r="G33" s="11">
        <f t="shared" si="0"/>
        <v>4480</v>
      </c>
      <c r="H33" s="17">
        <f t="shared" si="1"/>
        <v>7.89</v>
      </c>
      <c r="I33" s="16">
        <f t="shared" si="2"/>
        <v>7.8E-2</v>
      </c>
      <c r="J33" s="16">
        <f>ROUND(G33/3400-1,2)</f>
        <v>0.32</v>
      </c>
    </row>
    <row r="34" spans="1:10" x14ac:dyDescent="0.25">
      <c r="A34" s="1" t="s">
        <v>44</v>
      </c>
      <c r="B34" s="1" t="s">
        <v>47</v>
      </c>
      <c r="C34" s="11"/>
      <c r="D34" s="11"/>
      <c r="E34" s="11"/>
      <c r="F34" s="11"/>
      <c r="G34" s="11">
        <f t="shared" si="0"/>
        <v>0</v>
      </c>
      <c r="H34" s="17">
        <f t="shared" si="1"/>
        <v>0</v>
      </c>
      <c r="I34" s="16">
        <f t="shared" si="2"/>
        <v>0</v>
      </c>
      <c r="J34" s="16"/>
    </row>
    <row r="35" spans="1:10" x14ac:dyDescent="0.25">
      <c r="A35" s="1" t="s">
        <v>48</v>
      </c>
      <c r="B35" s="1" t="s">
        <v>49</v>
      </c>
      <c r="C35" s="11"/>
      <c r="D35" s="11"/>
      <c r="E35" s="11"/>
      <c r="F35" s="11"/>
      <c r="G35" s="11">
        <f t="shared" si="0"/>
        <v>0</v>
      </c>
      <c r="H35" s="17">
        <f t="shared" si="1"/>
        <v>0</v>
      </c>
      <c r="I35" s="16">
        <f t="shared" si="2"/>
        <v>0</v>
      </c>
      <c r="J35" s="16"/>
    </row>
    <row r="36" spans="1:10" x14ac:dyDescent="0.25">
      <c r="A36" s="1" t="s">
        <v>48</v>
      </c>
      <c r="B36" s="1" t="s">
        <v>86</v>
      </c>
      <c r="C36" s="11"/>
      <c r="D36" s="11"/>
      <c r="E36" s="11"/>
      <c r="F36" s="11"/>
      <c r="G36" s="11">
        <f t="shared" si="0"/>
        <v>0</v>
      </c>
      <c r="H36" s="17">
        <f t="shared" si="1"/>
        <v>0</v>
      </c>
      <c r="I36" s="16">
        <f t="shared" si="2"/>
        <v>0</v>
      </c>
      <c r="J36" s="16"/>
    </row>
    <row r="37" spans="1:10" x14ac:dyDescent="0.25">
      <c r="A37" s="21" t="s">
        <v>12</v>
      </c>
      <c r="B37" s="21"/>
      <c r="C37" s="12">
        <f t="shared" ref="C37:H37" si="3">SUM(C8:C36)</f>
        <v>44720</v>
      </c>
      <c r="D37" s="12">
        <f t="shared" si="3"/>
        <v>50</v>
      </c>
      <c r="E37" s="12">
        <f t="shared" si="3"/>
        <v>12864</v>
      </c>
      <c r="F37" s="12">
        <f t="shared" si="3"/>
        <v>139</v>
      </c>
      <c r="G37" s="12">
        <f t="shared" si="3"/>
        <v>57773</v>
      </c>
      <c r="H37" s="15">
        <f t="shared" si="3"/>
        <v>101.72</v>
      </c>
      <c r="I37" s="18"/>
      <c r="J37" s="18"/>
    </row>
    <row r="38" spans="1:10" x14ac:dyDescent="0.25">
      <c r="A38" s="21" t="s">
        <v>14</v>
      </c>
      <c r="B38" s="21"/>
      <c r="C38" s="13">
        <f>ROUND(C37/G37,2)</f>
        <v>0.77</v>
      </c>
      <c r="D38" s="13">
        <f>ROUND(D37/G37,2)</f>
        <v>0</v>
      </c>
      <c r="E38" s="13">
        <f>ROUND(E37/G37,2)</f>
        <v>0.22</v>
      </c>
      <c r="F38" s="13">
        <f>ROUND(F37/G37,2)</f>
        <v>0</v>
      </c>
      <c r="G38" s="14"/>
      <c r="H38" s="14"/>
      <c r="I38" s="18"/>
      <c r="J38" s="18"/>
    </row>
    <row r="39" spans="1:10" x14ac:dyDescent="0.25">
      <c r="A39" s="2" t="s">
        <v>52</v>
      </c>
      <c r="B39" s="2"/>
      <c r="C39" s="14"/>
      <c r="D39" s="14"/>
      <c r="E39" s="14"/>
      <c r="F39" s="14"/>
      <c r="G39" s="14"/>
      <c r="H39" s="14"/>
      <c r="I39" s="18"/>
      <c r="J39" s="18"/>
    </row>
    <row r="40" spans="1:10" x14ac:dyDescent="0.25">
      <c r="C40" s="9"/>
      <c r="D40" s="9"/>
      <c r="E40" s="9"/>
      <c r="F40" s="9"/>
      <c r="G40" s="9"/>
      <c r="H40" s="9"/>
      <c r="I40" s="10"/>
      <c r="J40" s="10"/>
    </row>
    <row r="41" spans="1:10" x14ac:dyDescent="0.25">
      <c r="C41" s="9"/>
      <c r="D41" s="9"/>
      <c r="E41" s="9"/>
      <c r="F41" s="9"/>
      <c r="G41" s="9"/>
      <c r="H41" s="9"/>
      <c r="I41" s="10"/>
      <c r="J41" s="10"/>
    </row>
    <row r="42" spans="1:10" x14ac:dyDescent="0.25">
      <c r="C42" s="9"/>
      <c r="D42" s="9"/>
      <c r="E42" s="9"/>
      <c r="F42" s="9"/>
      <c r="G42" s="9"/>
      <c r="H42" s="9"/>
      <c r="I42" s="10"/>
      <c r="J42" s="10"/>
    </row>
    <row r="43" spans="1:10" x14ac:dyDescent="0.25">
      <c r="A43" s="21" t="s">
        <v>53</v>
      </c>
      <c r="B43" s="21"/>
      <c r="C43" s="12" t="s">
        <v>8</v>
      </c>
      <c r="D43" s="12" t="s">
        <v>9</v>
      </c>
      <c r="E43" s="12" t="s">
        <v>10</v>
      </c>
      <c r="F43" s="12" t="s">
        <v>11</v>
      </c>
      <c r="G43" s="12" t="s">
        <v>12</v>
      </c>
      <c r="H43" s="15" t="s">
        <v>13</v>
      </c>
      <c r="I43" s="18"/>
      <c r="J43" s="18"/>
    </row>
    <row r="44" spans="1:10" x14ac:dyDescent="0.25">
      <c r="A44" s="20" t="s">
        <v>54</v>
      </c>
      <c r="B44" s="20"/>
      <c r="C44" s="11">
        <v>27490</v>
      </c>
      <c r="D44" s="11">
        <v>50</v>
      </c>
      <c r="E44" s="11">
        <v>8384</v>
      </c>
      <c r="F44" s="11">
        <v>139</v>
      </c>
      <c r="G44" s="11">
        <f>SUM(C44:F44)</f>
        <v>36063</v>
      </c>
      <c r="H44" s="17">
        <f>ROUND(G44/568,2)</f>
        <v>63.49</v>
      </c>
      <c r="I44" s="10"/>
      <c r="J44" s="10"/>
    </row>
    <row r="45" spans="1:10" x14ac:dyDescent="0.25">
      <c r="A45" s="20" t="s">
        <v>55</v>
      </c>
      <c r="B45" s="20"/>
      <c r="C45" s="11">
        <v>17230</v>
      </c>
      <c r="D45" s="11">
        <v>0</v>
      </c>
      <c r="E45" s="11">
        <v>4480</v>
      </c>
      <c r="F45" s="11">
        <v>0</v>
      </c>
      <c r="G45" s="11">
        <f>SUM(C45:F45)</f>
        <v>21710</v>
      </c>
      <c r="H45" s="17">
        <f>ROUND(G45/568,2)</f>
        <v>38.22</v>
      </c>
      <c r="I45" s="10"/>
      <c r="J45" s="10"/>
    </row>
    <row r="46" spans="1:10" x14ac:dyDescent="0.25">
      <c r="A46" s="20" t="s">
        <v>56</v>
      </c>
      <c r="B46" s="20"/>
      <c r="C46" s="11">
        <v>0</v>
      </c>
      <c r="D46" s="11">
        <v>0</v>
      </c>
      <c r="E46" s="11">
        <v>0</v>
      </c>
      <c r="F46" s="11">
        <v>0</v>
      </c>
      <c r="G46" s="11">
        <f>SUM(C46:F46)</f>
        <v>0</v>
      </c>
      <c r="H46" s="17">
        <f>ROUND(G46/568,2)</f>
        <v>0</v>
      </c>
      <c r="I46" s="10"/>
      <c r="J46" s="10"/>
    </row>
    <row r="47" spans="1:10" x14ac:dyDescent="0.25">
      <c r="C47" s="9"/>
      <c r="D47" s="9"/>
      <c r="E47" s="9"/>
      <c r="F47" s="9"/>
      <c r="G47" s="9"/>
      <c r="H47" s="9"/>
      <c r="I47" s="10"/>
      <c r="J47" s="10"/>
    </row>
    <row r="48" spans="1:10" x14ac:dyDescent="0.25">
      <c r="C48" s="9"/>
      <c r="D48" s="9"/>
      <c r="E48" s="9"/>
      <c r="F48" s="9"/>
      <c r="G48" s="9"/>
      <c r="H48" s="9"/>
      <c r="I48" s="10"/>
      <c r="J48" s="10"/>
    </row>
    <row r="49" spans="1:10" x14ac:dyDescent="0.25">
      <c r="C49" s="9"/>
      <c r="D49" s="9"/>
      <c r="E49" s="9"/>
      <c r="F49" s="9"/>
      <c r="G49" s="9"/>
      <c r="H49" s="9"/>
      <c r="I49" s="10"/>
      <c r="J49" s="10"/>
    </row>
    <row r="50" spans="1:10" x14ac:dyDescent="0.25">
      <c r="C50" s="9"/>
      <c r="D50" s="9"/>
      <c r="E50" s="9"/>
      <c r="F50" s="9"/>
      <c r="G50" s="9"/>
      <c r="H50" s="9"/>
      <c r="I50" s="10"/>
      <c r="J50" s="10"/>
    </row>
    <row r="51" spans="1:10" x14ac:dyDescent="0.25">
      <c r="A51" s="21" t="s">
        <v>57</v>
      </c>
      <c r="B51" s="21"/>
      <c r="C51" s="15" t="s">
        <v>2</v>
      </c>
      <c r="D51" s="15">
        <v>2023</v>
      </c>
      <c r="E51" s="15" t="s">
        <v>59</v>
      </c>
      <c r="F51" s="14"/>
      <c r="G51" s="15" t="s">
        <v>60</v>
      </c>
      <c r="H51" s="15" t="s">
        <v>2</v>
      </c>
      <c r="I51" s="13" t="s">
        <v>61</v>
      </c>
      <c r="J51" s="13" t="s">
        <v>59</v>
      </c>
    </row>
    <row r="52" spans="1:10" x14ac:dyDescent="0.25">
      <c r="A52" s="20" t="s">
        <v>58</v>
      </c>
      <c r="B52" s="20"/>
      <c r="C52" s="16">
        <f>ROUND(0.6934, 4)</f>
        <v>0.69340000000000002</v>
      </c>
      <c r="D52" s="16">
        <f>ROUND(0.6779, 4)</f>
        <v>0.67789999999999995</v>
      </c>
      <c r="E52" s="16">
        <f>ROUND(0.777, 4)</f>
        <v>0.77700000000000002</v>
      </c>
      <c r="F52" s="9"/>
      <c r="G52" s="15" t="s">
        <v>62</v>
      </c>
      <c r="H52" s="22" t="s">
        <v>63</v>
      </c>
      <c r="I52" s="24" t="s">
        <v>64</v>
      </c>
      <c r="J52" s="24" t="s">
        <v>65</v>
      </c>
    </row>
    <row r="53" spans="1:10" x14ac:dyDescent="0.25">
      <c r="A53" s="20" t="s">
        <v>66</v>
      </c>
      <c r="B53" s="20"/>
      <c r="C53" s="16">
        <f>ROUND(0.6818, 4)</f>
        <v>0.68179999999999996</v>
      </c>
      <c r="D53" s="16">
        <f>ROUND(0.6635, 4)</f>
        <v>0.66349999999999998</v>
      </c>
      <c r="E53" s="16">
        <f>ROUND(0.7608, 4)</f>
        <v>0.76080000000000003</v>
      </c>
      <c r="F53" s="9"/>
      <c r="G53" s="15" t="s">
        <v>67</v>
      </c>
      <c r="H53" s="23"/>
      <c r="I53" s="25"/>
      <c r="J53" s="25"/>
    </row>
    <row r="54" spans="1:10" x14ac:dyDescent="0.25">
      <c r="C54" s="9"/>
      <c r="D54" s="9"/>
      <c r="E54" s="9"/>
      <c r="F54" s="9"/>
      <c r="G54" s="9"/>
      <c r="H54" s="9"/>
      <c r="I54" s="10"/>
      <c r="J54" s="10"/>
    </row>
    <row r="55" spans="1:10" x14ac:dyDescent="0.25">
      <c r="C55" s="9"/>
      <c r="D55" s="9"/>
      <c r="E55" s="9"/>
      <c r="F55" s="9"/>
      <c r="G55" s="9"/>
      <c r="H55" s="9"/>
      <c r="I55" s="10"/>
      <c r="J55" s="10"/>
    </row>
    <row r="56" spans="1:10" x14ac:dyDescent="0.25">
      <c r="C56" s="9"/>
      <c r="D56" s="9"/>
      <c r="E56" s="9"/>
      <c r="F56" s="9"/>
      <c r="G56" s="9"/>
      <c r="H56" s="9"/>
      <c r="I56" s="10"/>
      <c r="J56" s="10"/>
    </row>
    <row r="57" spans="1:10" x14ac:dyDescent="0.25">
      <c r="A57" s="21" t="s">
        <v>68</v>
      </c>
      <c r="B57" s="21"/>
      <c r="C57" s="15" t="s">
        <v>2</v>
      </c>
      <c r="D57" s="15" t="s">
        <v>325</v>
      </c>
      <c r="E57" s="15" t="s">
        <v>70</v>
      </c>
      <c r="F57" s="15" t="s">
        <v>71</v>
      </c>
      <c r="G57" s="15" t="s">
        <v>72</v>
      </c>
      <c r="H57" s="14"/>
      <c r="I57" s="18"/>
      <c r="J57" s="18"/>
    </row>
    <row r="58" spans="1:10" x14ac:dyDescent="0.25">
      <c r="A58" s="20" t="s">
        <v>73</v>
      </c>
      <c r="B58" s="20"/>
      <c r="C58" s="17">
        <v>30.33</v>
      </c>
      <c r="D58" s="17">
        <v>93.52</v>
      </c>
      <c r="E58" s="17">
        <v>81.84</v>
      </c>
      <c r="F58" s="17">
        <v>48</v>
      </c>
      <c r="G58" s="17">
        <f>12/4*C58</f>
        <v>90.99</v>
      </c>
      <c r="H58" s="9"/>
      <c r="I58" s="10"/>
      <c r="J58" s="10"/>
    </row>
    <row r="59" spans="1:10" x14ac:dyDescent="0.25">
      <c r="A59" s="20" t="s">
        <v>74</v>
      </c>
      <c r="B59" s="20"/>
      <c r="C59" s="17">
        <v>14.12</v>
      </c>
      <c r="D59" s="17">
        <v>40.43</v>
      </c>
      <c r="E59" s="17">
        <v>55.63</v>
      </c>
      <c r="F59" s="17">
        <v>55.33</v>
      </c>
      <c r="G59" s="17">
        <f>12/4*C59</f>
        <v>42.36</v>
      </c>
      <c r="H59" s="9"/>
      <c r="I59" s="10"/>
      <c r="J59" s="10"/>
    </row>
    <row r="60" spans="1:10" x14ac:dyDescent="0.25">
      <c r="A60" s="20" t="s">
        <v>75</v>
      </c>
      <c r="B60" s="20"/>
      <c r="C60" s="17">
        <v>63.49</v>
      </c>
      <c r="D60" s="17">
        <v>181.69</v>
      </c>
      <c r="E60" s="17">
        <v>257.88</v>
      </c>
      <c r="F60" s="17">
        <v>242.78</v>
      </c>
      <c r="G60" s="17">
        <f>12/4*C60</f>
        <v>190.47</v>
      </c>
      <c r="H60" s="9"/>
      <c r="I60" s="10"/>
      <c r="J60" s="10"/>
    </row>
    <row r="61" spans="1:10" x14ac:dyDescent="0.25">
      <c r="A61" s="20" t="s">
        <v>76</v>
      </c>
      <c r="B61" s="20"/>
      <c r="C61" s="17">
        <v>38.22</v>
      </c>
      <c r="D61" s="17">
        <v>107.4</v>
      </c>
      <c r="E61" s="17">
        <v>103.14</v>
      </c>
      <c r="F61" s="17">
        <v>68.31</v>
      </c>
      <c r="G61" s="17">
        <f>12/4*C61</f>
        <v>114.66</v>
      </c>
      <c r="H61" s="9"/>
      <c r="I61" s="10"/>
      <c r="J61" s="10"/>
    </row>
    <row r="62" spans="1:10" x14ac:dyDescent="0.25">
      <c r="C62" s="9"/>
      <c r="D62" s="9"/>
      <c r="E62" s="9"/>
      <c r="F62" s="9"/>
      <c r="G62" s="9"/>
      <c r="H62" s="9"/>
      <c r="I62" s="10"/>
      <c r="J62" s="10"/>
    </row>
    <row r="63" spans="1:10" x14ac:dyDescent="0.25">
      <c r="C63" s="9"/>
      <c r="D63" s="9"/>
      <c r="E63" s="9"/>
      <c r="F63" s="9"/>
      <c r="G63" s="9"/>
      <c r="H63" s="9"/>
      <c r="I63" s="10"/>
      <c r="J63" s="10"/>
    </row>
    <row r="64" spans="1:10" x14ac:dyDescent="0.25">
      <c r="A64" s="19" t="s">
        <v>60</v>
      </c>
      <c r="B64" s="26"/>
      <c r="C64" s="9"/>
      <c r="D64" s="9"/>
      <c r="E64" s="9"/>
      <c r="F64" s="9"/>
      <c r="G64" s="9"/>
      <c r="H64" s="9"/>
      <c r="I64" s="10"/>
      <c r="J64" s="10"/>
    </row>
    <row r="65" spans="1:10" x14ac:dyDescent="0.25">
      <c r="A65" s="3" t="s">
        <v>77</v>
      </c>
      <c r="B65" s="1" t="s">
        <v>326</v>
      </c>
      <c r="C65" s="9"/>
      <c r="D65" s="9"/>
      <c r="E65" s="9"/>
      <c r="F65" s="9"/>
      <c r="G65" s="9"/>
      <c r="H65" s="9"/>
      <c r="I65" s="10"/>
      <c r="J65" s="10"/>
    </row>
    <row r="66" spans="1:10" x14ac:dyDescent="0.25">
      <c r="A66" s="3" t="s">
        <v>70</v>
      </c>
      <c r="B66" s="1" t="s">
        <v>79</v>
      </c>
      <c r="C66" s="9"/>
      <c r="D66" s="9"/>
      <c r="E66" s="9"/>
      <c r="F66" s="9"/>
      <c r="G66" s="9"/>
      <c r="H66" s="9"/>
      <c r="I66" s="10"/>
      <c r="J66" s="10"/>
    </row>
    <row r="67" spans="1:10" x14ac:dyDescent="0.25">
      <c r="A67" s="3" t="s">
        <v>71</v>
      </c>
      <c r="B67" s="1" t="s">
        <v>80</v>
      </c>
    </row>
    <row r="68" spans="1:10" x14ac:dyDescent="0.25">
      <c r="A68" s="3" t="s">
        <v>72</v>
      </c>
      <c r="B68" s="1" t="s">
        <v>81</v>
      </c>
    </row>
  </sheetData>
  <mergeCells count="19">
    <mergeCell ref="A59:B59"/>
    <mergeCell ref="A60:B60"/>
    <mergeCell ref="A61:B61"/>
    <mergeCell ref="A64:B64"/>
    <mergeCell ref="I52:I53"/>
    <mergeCell ref="J52:J53"/>
    <mergeCell ref="A53:B53"/>
    <mergeCell ref="A57:B57"/>
    <mergeCell ref="A58:B58"/>
    <mergeCell ref="A45:B45"/>
    <mergeCell ref="A46:B46"/>
    <mergeCell ref="A51:B51"/>
    <mergeCell ref="A52:B52"/>
    <mergeCell ref="H52:H53"/>
    <mergeCell ref="C7:G7"/>
    <mergeCell ref="A37:B37"/>
    <mergeCell ref="A38:B38"/>
    <mergeCell ref="A43:B43"/>
    <mergeCell ref="A44:B44"/>
  </mergeCell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dimension ref="A2:J78"/>
  <sheetViews>
    <sheetView workbookViewId="0">
      <selection activeCell="C9" sqref="C9:J78"/>
    </sheetView>
  </sheetViews>
  <sheetFormatPr defaultRowHeight="15" x14ac:dyDescent="0.25"/>
  <cols>
    <col min="1" max="1" width="38.85546875" bestFit="1" customWidth="1"/>
    <col min="2" max="2" width="79" bestFit="1" customWidth="1"/>
    <col min="3" max="3" width="14" bestFit="1" customWidth="1"/>
    <col min="4" max="4" width="24.7109375" bestFit="1" customWidth="1"/>
    <col min="5" max="5" width="16.42578125" bestFit="1" customWidth="1"/>
    <col min="6" max="6" width="10.5703125" bestFit="1" customWidth="1"/>
    <col min="7" max="7" width="68.28515625" bestFit="1" customWidth="1"/>
    <col min="8" max="9" width="20" bestFit="1" customWidth="1"/>
    <col min="10" max="10" width="30.5703125" bestFit="1" customWidth="1"/>
  </cols>
  <sheetData>
    <row r="2" spans="1:10" ht="18.75" x14ac:dyDescent="0.3">
      <c r="A2" s="3" t="s">
        <v>0</v>
      </c>
      <c r="B2" s="4" t="s">
        <v>327</v>
      </c>
    </row>
    <row r="3" spans="1:10" x14ac:dyDescent="0.25">
      <c r="A3" s="3" t="s">
        <v>2</v>
      </c>
      <c r="B3" s="1" t="s">
        <v>3</v>
      </c>
    </row>
    <row r="4" spans="1:10" x14ac:dyDescent="0.25">
      <c r="A4" s="3" t="s">
        <v>4</v>
      </c>
      <c r="B4" s="1">
        <v>8842</v>
      </c>
    </row>
    <row r="7" spans="1:10" x14ac:dyDescent="0.25">
      <c r="C7" s="19" t="s">
        <v>5</v>
      </c>
      <c r="D7" s="20"/>
      <c r="E7" s="20"/>
      <c r="F7" s="20"/>
      <c r="G7" s="20"/>
    </row>
    <row r="8" spans="1:10" x14ac:dyDescent="0.25">
      <c r="A8" s="3" t="s">
        <v>6</v>
      </c>
      <c r="B8" s="3" t="s">
        <v>7</v>
      </c>
      <c r="C8" s="3" t="s">
        <v>8</v>
      </c>
      <c r="D8" s="3" t="s">
        <v>9</v>
      </c>
      <c r="E8" s="3" t="s">
        <v>10</v>
      </c>
      <c r="F8" s="3" t="s">
        <v>11</v>
      </c>
      <c r="G8" s="3" t="s">
        <v>12</v>
      </c>
      <c r="H8" s="3" t="s">
        <v>13</v>
      </c>
      <c r="I8" s="3" t="s">
        <v>14</v>
      </c>
      <c r="J8" s="3" t="s">
        <v>15</v>
      </c>
    </row>
    <row r="9" spans="1:10" x14ac:dyDescent="0.25">
      <c r="A9" s="1" t="s">
        <v>16</v>
      </c>
      <c r="B9" s="1" t="s">
        <v>17</v>
      </c>
      <c r="C9" s="11"/>
      <c r="D9" s="11"/>
      <c r="E9" s="11">
        <v>87</v>
      </c>
      <c r="F9" s="11"/>
      <c r="G9" s="11">
        <f t="shared" ref="G9:G34" si="0">SUM(C9:F9)</f>
        <v>87</v>
      </c>
      <c r="H9" s="17">
        <f t="shared" ref="H9:H34" si="1">ROUND(G9/8842,2)</f>
        <v>0.01</v>
      </c>
      <c r="I9" s="16">
        <f t="shared" ref="I9:I34" si="2">ROUND(G9/$G$35,3)</f>
        <v>0</v>
      </c>
      <c r="J9" s="16">
        <f>ROUND(G9/57-1,2)</f>
        <v>0.53</v>
      </c>
    </row>
    <row r="10" spans="1:10" x14ac:dyDescent="0.25">
      <c r="A10" s="1" t="s">
        <v>16</v>
      </c>
      <c r="B10" s="1" t="s">
        <v>19</v>
      </c>
      <c r="C10" s="11"/>
      <c r="D10" s="11"/>
      <c r="E10" s="11">
        <v>600</v>
      </c>
      <c r="F10" s="11"/>
      <c r="G10" s="11">
        <f t="shared" si="0"/>
        <v>600</v>
      </c>
      <c r="H10" s="17">
        <f t="shared" si="1"/>
        <v>7.0000000000000007E-2</v>
      </c>
      <c r="I10" s="16">
        <f t="shared" si="2"/>
        <v>2E-3</v>
      </c>
      <c r="J10" s="16">
        <f>ROUND(G10/700-1,2)</f>
        <v>-0.14000000000000001</v>
      </c>
    </row>
    <row r="11" spans="1:10" x14ac:dyDescent="0.25">
      <c r="A11" s="1" t="s">
        <v>16</v>
      </c>
      <c r="B11" s="1" t="s">
        <v>94</v>
      </c>
      <c r="C11" s="11"/>
      <c r="D11" s="11"/>
      <c r="E11" s="11">
        <v>234</v>
      </c>
      <c r="F11" s="11"/>
      <c r="G11" s="11">
        <f t="shared" si="0"/>
        <v>234</v>
      </c>
      <c r="H11" s="17">
        <f t="shared" si="1"/>
        <v>0.03</v>
      </c>
      <c r="I11" s="16">
        <f t="shared" si="2"/>
        <v>1E-3</v>
      </c>
      <c r="J11" s="16">
        <f>ROUND(G11/81-1,2)</f>
        <v>1.89</v>
      </c>
    </row>
    <row r="12" spans="1:10" x14ac:dyDescent="0.25">
      <c r="A12" s="1" t="s">
        <v>16</v>
      </c>
      <c r="B12" s="1" t="s">
        <v>21</v>
      </c>
      <c r="C12" s="11"/>
      <c r="D12" s="11"/>
      <c r="E12" s="11">
        <v>146</v>
      </c>
      <c r="F12" s="11"/>
      <c r="G12" s="11">
        <f t="shared" si="0"/>
        <v>146</v>
      </c>
      <c r="H12" s="17">
        <f t="shared" si="1"/>
        <v>0.02</v>
      </c>
      <c r="I12" s="16">
        <f t="shared" si="2"/>
        <v>1E-3</v>
      </c>
      <c r="J12" s="16">
        <f>ROUND(G12/121-1,2)</f>
        <v>0.21</v>
      </c>
    </row>
    <row r="13" spans="1:10" x14ac:dyDescent="0.25">
      <c r="A13" s="1" t="s">
        <v>16</v>
      </c>
      <c r="B13" s="1" t="s">
        <v>22</v>
      </c>
      <c r="C13" s="11"/>
      <c r="D13" s="11"/>
      <c r="E13" s="11">
        <v>1100</v>
      </c>
      <c r="F13" s="11"/>
      <c r="G13" s="11">
        <f t="shared" si="0"/>
        <v>1100</v>
      </c>
      <c r="H13" s="17">
        <f t="shared" si="1"/>
        <v>0.12</v>
      </c>
      <c r="I13" s="16">
        <f t="shared" si="2"/>
        <v>4.0000000000000001E-3</v>
      </c>
      <c r="J13" s="16">
        <f>ROUND(G13/1040-1,2)</f>
        <v>0.06</v>
      </c>
    </row>
    <row r="14" spans="1:10" x14ac:dyDescent="0.25">
      <c r="A14" s="1" t="s">
        <v>16</v>
      </c>
      <c r="B14" s="1" t="s">
        <v>23</v>
      </c>
      <c r="C14" s="11"/>
      <c r="D14" s="11"/>
      <c r="E14" s="11">
        <v>18380</v>
      </c>
      <c r="F14" s="11"/>
      <c r="G14" s="11">
        <f t="shared" si="0"/>
        <v>18380</v>
      </c>
      <c r="H14" s="17">
        <f t="shared" si="1"/>
        <v>2.08</v>
      </c>
      <c r="I14" s="16">
        <f t="shared" si="2"/>
        <v>6.8000000000000005E-2</v>
      </c>
      <c r="J14" s="16">
        <f>ROUND(G14/17880-1,2)</f>
        <v>0.03</v>
      </c>
    </row>
    <row r="15" spans="1:10" x14ac:dyDescent="0.25">
      <c r="A15" s="1" t="s">
        <v>16</v>
      </c>
      <c r="B15" s="1" t="s">
        <v>24</v>
      </c>
      <c r="C15" s="11"/>
      <c r="D15" s="11"/>
      <c r="E15" s="11">
        <v>9460</v>
      </c>
      <c r="F15" s="11"/>
      <c r="G15" s="11">
        <f t="shared" si="0"/>
        <v>9460</v>
      </c>
      <c r="H15" s="17">
        <f t="shared" si="1"/>
        <v>1.07</v>
      </c>
      <c r="I15" s="16">
        <f t="shared" si="2"/>
        <v>3.5000000000000003E-2</v>
      </c>
      <c r="J15" s="16">
        <f>ROUND(G15/4865-1,2)</f>
        <v>0.94</v>
      </c>
    </row>
    <row r="16" spans="1:10" x14ac:dyDescent="0.25">
      <c r="A16" s="1" t="s">
        <v>16</v>
      </c>
      <c r="B16" s="1" t="s">
        <v>25</v>
      </c>
      <c r="C16" s="11"/>
      <c r="D16" s="11"/>
      <c r="E16" s="11">
        <v>3660</v>
      </c>
      <c r="F16" s="11"/>
      <c r="G16" s="11">
        <f t="shared" si="0"/>
        <v>3660</v>
      </c>
      <c r="H16" s="17">
        <f t="shared" si="1"/>
        <v>0.41</v>
      </c>
      <c r="I16" s="16">
        <f t="shared" si="2"/>
        <v>1.4E-2</v>
      </c>
      <c r="J16" s="16">
        <f>ROUND(G16/2780-1,2)</f>
        <v>0.32</v>
      </c>
    </row>
    <row r="17" spans="1:10" x14ac:dyDescent="0.25">
      <c r="A17" s="1" t="s">
        <v>16</v>
      </c>
      <c r="B17" s="1" t="s">
        <v>27</v>
      </c>
      <c r="C17" s="11"/>
      <c r="D17" s="11"/>
      <c r="E17" s="11">
        <v>137</v>
      </c>
      <c r="F17" s="11"/>
      <c r="G17" s="11">
        <f t="shared" si="0"/>
        <v>137</v>
      </c>
      <c r="H17" s="17">
        <f t="shared" si="1"/>
        <v>0.02</v>
      </c>
      <c r="I17" s="16">
        <f t="shared" si="2"/>
        <v>1E-3</v>
      </c>
      <c r="J17" s="16">
        <f>ROUND(G17/68-1,2)</f>
        <v>1.01</v>
      </c>
    </row>
    <row r="18" spans="1:10" x14ac:dyDescent="0.25">
      <c r="A18" s="1" t="s">
        <v>16</v>
      </c>
      <c r="B18" s="1" t="s">
        <v>28</v>
      </c>
      <c r="C18" s="11"/>
      <c r="D18" s="11"/>
      <c r="E18" s="11">
        <v>74</v>
      </c>
      <c r="F18" s="11"/>
      <c r="G18" s="11">
        <f t="shared" si="0"/>
        <v>74</v>
      </c>
      <c r="H18" s="17">
        <f t="shared" si="1"/>
        <v>0.01</v>
      </c>
      <c r="I18" s="16">
        <f t="shared" si="2"/>
        <v>0</v>
      </c>
      <c r="J18" s="16">
        <f>ROUND(G18/74-1,2)</f>
        <v>0</v>
      </c>
    </row>
    <row r="19" spans="1:10" x14ac:dyDescent="0.25">
      <c r="A19" s="1" t="s">
        <v>16</v>
      </c>
      <c r="B19" s="1" t="s">
        <v>29</v>
      </c>
      <c r="C19" s="11"/>
      <c r="D19" s="11"/>
      <c r="E19" s="11">
        <v>850</v>
      </c>
      <c r="F19" s="11"/>
      <c r="G19" s="11">
        <f t="shared" si="0"/>
        <v>850</v>
      </c>
      <c r="H19" s="17">
        <f t="shared" si="1"/>
        <v>0.1</v>
      </c>
      <c r="I19" s="16">
        <f t="shared" si="2"/>
        <v>3.0000000000000001E-3</v>
      </c>
      <c r="J19" s="16">
        <f>ROUND(G19/510-1,2)</f>
        <v>0.67</v>
      </c>
    </row>
    <row r="20" spans="1:10" x14ac:dyDescent="0.25">
      <c r="A20" s="1" t="s">
        <v>16</v>
      </c>
      <c r="B20" s="1" t="s">
        <v>30</v>
      </c>
      <c r="C20" s="11"/>
      <c r="D20" s="11"/>
      <c r="E20" s="11">
        <v>180</v>
      </c>
      <c r="F20" s="11"/>
      <c r="G20" s="11">
        <f t="shared" si="0"/>
        <v>180</v>
      </c>
      <c r="H20" s="17">
        <f t="shared" si="1"/>
        <v>0.02</v>
      </c>
      <c r="I20" s="16">
        <f t="shared" si="2"/>
        <v>1E-3</v>
      </c>
      <c r="J20" s="16"/>
    </row>
    <row r="21" spans="1:10" x14ac:dyDescent="0.25">
      <c r="A21" s="1" t="s">
        <v>16</v>
      </c>
      <c r="B21" s="1" t="s">
        <v>31</v>
      </c>
      <c r="C21" s="11"/>
      <c r="D21" s="11"/>
      <c r="E21" s="11">
        <v>1779</v>
      </c>
      <c r="F21" s="11"/>
      <c r="G21" s="11">
        <f t="shared" si="0"/>
        <v>1779</v>
      </c>
      <c r="H21" s="17">
        <f t="shared" si="1"/>
        <v>0.2</v>
      </c>
      <c r="I21" s="16">
        <f t="shared" si="2"/>
        <v>7.0000000000000001E-3</v>
      </c>
      <c r="J21" s="16">
        <f>ROUND(G21/960-1,2)</f>
        <v>0.85</v>
      </c>
    </row>
    <row r="22" spans="1:10" x14ac:dyDescent="0.25">
      <c r="A22" s="1" t="s">
        <v>16</v>
      </c>
      <c r="B22" s="1" t="s">
        <v>32</v>
      </c>
      <c r="C22" s="11"/>
      <c r="D22" s="11">
        <v>74</v>
      </c>
      <c r="E22" s="11"/>
      <c r="F22" s="11"/>
      <c r="G22" s="11">
        <f t="shared" si="0"/>
        <v>74</v>
      </c>
      <c r="H22" s="17">
        <f t="shared" si="1"/>
        <v>0.01</v>
      </c>
      <c r="I22" s="16">
        <f t="shared" si="2"/>
        <v>0</v>
      </c>
      <c r="J22" s="16">
        <f>ROUND(G22/46-1,2)</f>
        <v>0.61</v>
      </c>
    </row>
    <row r="23" spans="1:10" x14ac:dyDescent="0.25">
      <c r="A23" s="1" t="s">
        <v>16</v>
      </c>
      <c r="B23" s="1" t="s">
        <v>33</v>
      </c>
      <c r="C23" s="11"/>
      <c r="D23" s="11"/>
      <c r="E23" s="11">
        <v>1860</v>
      </c>
      <c r="F23" s="11"/>
      <c r="G23" s="11">
        <f t="shared" si="0"/>
        <v>1860</v>
      </c>
      <c r="H23" s="17">
        <f t="shared" si="1"/>
        <v>0.21</v>
      </c>
      <c r="I23" s="16">
        <f t="shared" si="2"/>
        <v>7.0000000000000001E-3</v>
      </c>
      <c r="J23" s="16">
        <f>ROUND(G23/1220-1,2)</f>
        <v>0.52</v>
      </c>
    </row>
    <row r="24" spans="1:10" x14ac:dyDescent="0.25">
      <c r="A24" s="1" t="s">
        <v>16</v>
      </c>
      <c r="B24" s="1" t="s">
        <v>35</v>
      </c>
      <c r="C24" s="11"/>
      <c r="D24" s="11"/>
      <c r="E24" s="11">
        <v>61100</v>
      </c>
      <c r="F24" s="11"/>
      <c r="G24" s="11">
        <f t="shared" si="0"/>
        <v>61100</v>
      </c>
      <c r="H24" s="17">
        <f t="shared" si="1"/>
        <v>6.91</v>
      </c>
      <c r="I24" s="16">
        <f t="shared" si="2"/>
        <v>0.22700000000000001</v>
      </c>
      <c r="J24" s="16">
        <f>ROUND(G24/52980-1,2)</f>
        <v>0.15</v>
      </c>
    </row>
    <row r="25" spans="1:10" x14ac:dyDescent="0.25">
      <c r="A25" s="1" t="s">
        <v>16</v>
      </c>
      <c r="B25" s="1" t="s">
        <v>36</v>
      </c>
      <c r="C25" s="11"/>
      <c r="D25" s="11"/>
      <c r="E25" s="11">
        <v>3840</v>
      </c>
      <c r="F25" s="11"/>
      <c r="G25" s="11">
        <f t="shared" si="0"/>
        <v>3840</v>
      </c>
      <c r="H25" s="17">
        <f t="shared" si="1"/>
        <v>0.43</v>
      </c>
      <c r="I25" s="16">
        <f t="shared" si="2"/>
        <v>1.4E-2</v>
      </c>
      <c r="J25" s="16">
        <f>ROUND(G25/1770-1,2)</f>
        <v>1.17</v>
      </c>
    </row>
    <row r="26" spans="1:10" x14ac:dyDescent="0.25">
      <c r="A26" s="1" t="s">
        <v>16</v>
      </c>
      <c r="B26" s="1" t="s">
        <v>37</v>
      </c>
      <c r="C26" s="11"/>
      <c r="D26" s="11"/>
      <c r="E26" s="11">
        <v>14320</v>
      </c>
      <c r="F26" s="11"/>
      <c r="G26" s="11">
        <f t="shared" si="0"/>
        <v>14320</v>
      </c>
      <c r="H26" s="17">
        <f t="shared" si="1"/>
        <v>1.62</v>
      </c>
      <c r="I26" s="16">
        <f t="shared" si="2"/>
        <v>5.2999999999999999E-2</v>
      </c>
      <c r="J26" s="16">
        <f>ROUND(G26/11450-1,2)</f>
        <v>0.25</v>
      </c>
    </row>
    <row r="27" spans="1:10" x14ac:dyDescent="0.25">
      <c r="A27" s="1" t="s">
        <v>16</v>
      </c>
      <c r="B27" s="1" t="s">
        <v>38</v>
      </c>
      <c r="C27" s="11"/>
      <c r="D27" s="11"/>
      <c r="E27" s="11">
        <v>122780</v>
      </c>
      <c r="F27" s="11"/>
      <c r="G27" s="11">
        <f t="shared" si="0"/>
        <v>122780</v>
      </c>
      <c r="H27" s="17">
        <f t="shared" si="1"/>
        <v>13.89</v>
      </c>
      <c r="I27" s="16">
        <f t="shared" si="2"/>
        <v>0.45700000000000002</v>
      </c>
      <c r="J27" s="16">
        <f>ROUND(G27/109100-1,2)</f>
        <v>0.13</v>
      </c>
    </row>
    <row r="28" spans="1:10" x14ac:dyDescent="0.25">
      <c r="A28" s="1" t="s">
        <v>16</v>
      </c>
      <c r="B28" s="1" t="s">
        <v>40</v>
      </c>
      <c r="C28" s="11"/>
      <c r="D28" s="11"/>
      <c r="E28" s="11"/>
      <c r="F28" s="11"/>
      <c r="G28" s="11">
        <f t="shared" si="0"/>
        <v>0</v>
      </c>
      <c r="H28" s="17">
        <f t="shared" si="1"/>
        <v>0</v>
      </c>
      <c r="I28" s="16">
        <f t="shared" si="2"/>
        <v>0</v>
      </c>
      <c r="J28" s="16">
        <f>ROUND(G28/6690-1,2)</f>
        <v>-1</v>
      </c>
    </row>
    <row r="29" spans="1:10" x14ac:dyDescent="0.25">
      <c r="A29" s="1" t="s">
        <v>16</v>
      </c>
      <c r="B29" s="1" t="s">
        <v>34</v>
      </c>
      <c r="C29" s="11"/>
      <c r="D29" s="11"/>
      <c r="E29" s="11"/>
      <c r="F29" s="11"/>
      <c r="G29" s="11">
        <f t="shared" si="0"/>
        <v>0</v>
      </c>
      <c r="H29" s="17">
        <f t="shared" si="1"/>
        <v>0</v>
      </c>
      <c r="I29" s="16">
        <f t="shared" si="2"/>
        <v>0</v>
      </c>
      <c r="J29" s="16">
        <f>ROUND(G29/504-1,2)</f>
        <v>-1</v>
      </c>
    </row>
    <row r="30" spans="1:10" x14ac:dyDescent="0.25">
      <c r="A30" s="1" t="s">
        <v>16</v>
      </c>
      <c r="B30" s="1" t="s">
        <v>41</v>
      </c>
      <c r="C30" s="11"/>
      <c r="D30" s="11"/>
      <c r="E30" s="11"/>
      <c r="F30" s="11"/>
      <c r="G30" s="11">
        <f t="shared" si="0"/>
        <v>0</v>
      </c>
      <c r="H30" s="17">
        <f t="shared" si="1"/>
        <v>0</v>
      </c>
      <c r="I30" s="16">
        <f t="shared" si="2"/>
        <v>0</v>
      </c>
      <c r="J30" s="16">
        <f>ROUND(G30/930-1,2)</f>
        <v>-1</v>
      </c>
    </row>
    <row r="31" spans="1:10" x14ac:dyDescent="0.25">
      <c r="A31" s="1" t="s">
        <v>16</v>
      </c>
      <c r="B31" s="1" t="s">
        <v>43</v>
      </c>
      <c r="C31" s="11"/>
      <c r="D31" s="11"/>
      <c r="E31" s="11"/>
      <c r="F31" s="11"/>
      <c r="G31" s="11">
        <f t="shared" si="0"/>
        <v>0</v>
      </c>
      <c r="H31" s="17">
        <f t="shared" si="1"/>
        <v>0</v>
      </c>
      <c r="I31" s="16">
        <f t="shared" si="2"/>
        <v>0</v>
      </c>
      <c r="J31" s="16">
        <f>ROUND(G31/1550-1,2)</f>
        <v>-1</v>
      </c>
    </row>
    <row r="32" spans="1:10" x14ac:dyDescent="0.25">
      <c r="A32" s="1" t="s">
        <v>16</v>
      </c>
      <c r="B32" s="1" t="s">
        <v>42</v>
      </c>
      <c r="C32" s="11"/>
      <c r="D32" s="11"/>
      <c r="E32" s="11"/>
      <c r="F32" s="11"/>
      <c r="G32" s="11">
        <f t="shared" si="0"/>
        <v>0</v>
      </c>
      <c r="H32" s="17">
        <f t="shared" si="1"/>
        <v>0</v>
      </c>
      <c r="I32" s="16">
        <f t="shared" si="2"/>
        <v>0</v>
      </c>
      <c r="J32" s="16">
        <f>ROUND(G32/5980-1,2)</f>
        <v>-1</v>
      </c>
    </row>
    <row r="33" spans="1:10" x14ac:dyDescent="0.25">
      <c r="A33" s="1" t="s">
        <v>44</v>
      </c>
      <c r="B33" s="1" t="s">
        <v>46</v>
      </c>
      <c r="C33" s="11"/>
      <c r="D33" s="11"/>
      <c r="E33" s="11">
        <v>27980</v>
      </c>
      <c r="F33" s="11"/>
      <c r="G33" s="11">
        <f t="shared" si="0"/>
        <v>27980</v>
      </c>
      <c r="H33" s="17">
        <f t="shared" si="1"/>
        <v>3.16</v>
      </c>
      <c r="I33" s="16">
        <f t="shared" si="2"/>
        <v>0.104</v>
      </c>
      <c r="J33" s="16">
        <f>ROUND(G33/22980-1,2)</f>
        <v>0.22</v>
      </c>
    </row>
    <row r="34" spans="1:10" x14ac:dyDescent="0.25">
      <c r="A34" s="1" t="s">
        <v>48</v>
      </c>
      <c r="B34" s="1" t="s">
        <v>51</v>
      </c>
      <c r="C34" s="11"/>
      <c r="D34" s="11"/>
      <c r="E34" s="11"/>
      <c r="F34" s="11"/>
      <c r="G34" s="11">
        <f t="shared" si="0"/>
        <v>0</v>
      </c>
      <c r="H34" s="17">
        <f t="shared" si="1"/>
        <v>0</v>
      </c>
      <c r="I34" s="16">
        <f t="shared" si="2"/>
        <v>0</v>
      </c>
      <c r="J34" s="16"/>
    </row>
    <row r="35" spans="1:10" x14ac:dyDescent="0.25">
      <c r="A35" s="21" t="s">
        <v>12</v>
      </c>
      <c r="B35" s="21"/>
      <c r="C35" s="12">
        <f t="shared" ref="C35:H35" si="3">SUM(C8:C34)</f>
        <v>0</v>
      </c>
      <c r="D35" s="12">
        <f t="shared" si="3"/>
        <v>74</v>
      </c>
      <c r="E35" s="12">
        <f t="shared" si="3"/>
        <v>268567</v>
      </c>
      <c r="F35" s="12">
        <f t="shared" si="3"/>
        <v>0</v>
      </c>
      <c r="G35" s="12">
        <f t="shared" si="3"/>
        <v>268641</v>
      </c>
      <c r="H35" s="15">
        <f t="shared" si="3"/>
        <v>30.39</v>
      </c>
      <c r="I35" s="18"/>
      <c r="J35" s="18"/>
    </row>
    <row r="36" spans="1:10" x14ac:dyDescent="0.25">
      <c r="A36" s="21" t="s">
        <v>14</v>
      </c>
      <c r="B36" s="21"/>
      <c r="C36" s="13">
        <f>ROUND(C35/G35,2)</f>
        <v>0</v>
      </c>
      <c r="D36" s="13">
        <f>ROUND(D35/G35,2)</f>
        <v>0</v>
      </c>
      <c r="E36" s="13">
        <f>ROUND(E35/G35,2)</f>
        <v>1</v>
      </c>
      <c r="F36" s="13">
        <f>ROUND(F35/G35,2)</f>
        <v>0</v>
      </c>
      <c r="G36" s="14"/>
      <c r="H36" s="14"/>
      <c r="I36" s="18"/>
      <c r="J36" s="18"/>
    </row>
    <row r="37" spans="1:10" x14ac:dyDescent="0.25">
      <c r="A37" s="2" t="s">
        <v>52</v>
      </c>
      <c r="B37" s="2"/>
      <c r="C37" s="14"/>
      <c r="D37" s="14"/>
      <c r="E37" s="14"/>
      <c r="F37" s="14"/>
      <c r="G37" s="14"/>
      <c r="H37" s="14"/>
      <c r="I37" s="18"/>
      <c r="J37" s="18"/>
    </row>
    <row r="38" spans="1:10" x14ac:dyDescent="0.25">
      <c r="C38" s="9"/>
      <c r="D38" s="9"/>
      <c r="E38" s="9"/>
      <c r="F38" s="9"/>
      <c r="G38" s="9"/>
      <c r="H38" s="9"/>
      <c r="I38" s="10"/>
      <c r="J38" s="10"/>
    </row>
    <row r="39" spans="1:10" x14ac:dyDescent="0.25">
      <c r="C39" s="9"/>
      <c r="D39" s="9"/>
      <c r="E39" s="9"/>
      <c r="F39" s="9"/>
      <c r="G39" s="9"/>
      <c r="H39" s="9"/>
      <c r="I39" s="10"/>
      <c r="J39" s="10"/>
    </row>
    <row r="40" spans="1:10" x14ac:dyDescent="0.25">
      <c r="C40" s="9"/>
      <c r="D40" s="9"/>
      <c r="E40" s="9"/>
      <c r="F40" s="9"/>
      <c r="G40" s="9"/>
      <c r="H40" s="9"/>
      <c r="I40" s="10"/>
      <c r="J40" s="10"/>
    </row>
    <row r="41" spans="1:10" x14ac:dyDescent="0.25">
      <c r="A41" s="21" t="s">
        <v>53</v>
      </c>
      <c r="B41" s="21"/>
      <c r="C41" s="12" t="s">
        <v>8</v>
      </c>
      <c r="D41" s="12" t="s">
        <v>9</v>
      </c>
      <c r="E41" s="12" t="s">
        <v>10</v>
      </c>
      <c r="F41" s="12" t="s">
        <v>11</v>
      </c>
      <c r="G41" s="12" t="s">
        <v>12</v>
      </c>
      <c r="H41" s="15" t="s">
        <v>13</v>
      </c>
      <c r="I41" s="18"/>
      <c r="J41" s="18"/>
    </row>
    <row r="42" spans="1:10" x14ac:dyDescent="0.25">
      <c r="A42" s="20" t="s">
        <v>54</v>
      </c>
      <c r="B42" s="20"/>
      <c r="C42" s="11">
        <v>0</v>
      </c>
      <c r="D42" s="11">
        <v>74</v>
      </c>
      <c r="E42" s="11">
        <v>240587</v>
      </c>
      <c r="F42" s="11">
        <v>0</v>
      </c>
      <c r="G42" s="11">
        <f>SUM(C42:F42)</f>
        <v>240661</v>
      </c>
      <c r="H42" s="17">
        <f>ROUND(G42/8842,2)</f>
        <v>27.22</v>
      </c>
      <c r="I42" s="10"/>
      <c r="J42" s="10"/>
    </row>
    <row r="43" spans="1:10" x14ac:dyDescent="0.25">
      <c r="A43" s="20" t="s">
        <v>55</v>
      </c>
      <c r="B43" s="20"/>
      <c r="C43" s="11">
        <v>0</v>
      </c>
      <c r="D43" s="11">
        <v>0</v>
      </c>
      <c r="E43" s="11">
        <v>27980</v>
      </c>
      <c r="F43" s="11">
        <v>0</v>
      </c>
      <c r="G43" s="11">
        <f>SUM(C43:F43)</f>
        <v>27980</v>
      </c>
      <c r="H43" s="17">
        <f>ROUND(G43/8842,2)</f>
        <v>3.16</v>
      </c>
      <c r="I43" s="10"/>
      <c r="J43" s="10"/>
    </row>
    <row r="44" spans="1:10" x14ac:dyDescent="0.25">
      <c r="A44" s="20" t="s">
        <v>56</v>
      </c>
      <c r="B44" s="20"/>
      <c r="C44" s="11">
        <v>0</v>
      </c>
      <c r="D44" s="11">
        <v>0</v>
      </c>
      <c r="E44" s="11">
        <v>0</v>
      </c>
      <c r="F44" s="11">
        <v>0</v>
      </c>
      <c r="G44" s="11">
        <f>SUM(C44:F44)</f>
        <v>0</v>
      </c>
      <c r="H44" s="17">
        <f>ROUND(G44/8842,2)</f>
        <v>0</v>
      </c>
      <c r="I44" s="10"/>
      <c r="J44" s="10"/>
    </row>
    <row r="45" spans="1:10" x14ac:dyDescent="0.25">
      <c r="C45" s="9"/>
      <c r="D45" s="9"/>
      <c r="E45" s="9"/>
      <c r="F45" s="9"/>
      <c r="G45" s="9"/>
      <c r="H45" s="9"/>
      <c r="I45" s="10"/>
      <c r="J45" s="10"/>
    </row>
    <row r="46" spans="1:10" x14ac:dyDescent="0.25">
      <c r="C46" s="9"/>
      <c r="D46" s="9"/>
      <c r="E46" s="9"/>
      <c r="F46" s="9"/>
      <c r="G46" s="9"/>
      <c r="H46" s="9"/>
      <c r="I46" s="10"/>
      <c r="J46" s="10"/>
    </row>
    <row r="47" spans="1:10" x14ac:dyDescent="0.25">
      <c r="C47" s="9"/>
      <c r="D47" s="9"/>
      <c r="E47" s="9"/>
      <c r="F47" s="9"/>
      <c r="G47" s="9"/>
      <c r="H47" s="9"/>
      <c r="I47" s="10"/>
      <c r="J47" s="10"/>
    </row>
    <row r="48" spans="1:10" x14ac:dyDescent="0.25">
      <c r="C48" s="9"/>
      <c r="D48" s="9"/>
      <c r="E48" s="9"/>
      <c r="F48" s="9"/>
      <c r="G48" s="9"/>
      <c r="H48" s="9"/>
      <c r="I48" s="10"/>
      <c r="J48" s="10"/>
    </row>
    <row r="49" spans="1:10" x14ac:dyDescent="0.25">
      <c r="A49" s="21" t="s">
        <v>57</v>
      </c>
      <c r="B49" s="21"/>
      <c r="C49" s="15" t="s">
        <v>2</v>
      </c>
      <c r="D49" s="15">
        <v>2023</v>
      </c>
      <c r="E49" s="15" t="s">
        <v>59</v>
      </c>
      <c r="F49" s="14"/>
      <c r="G49" s="15" t="s">
        <v>60</v>
      </c>
      <c r="H49" s="15" t="s">
        <v>2</v>
      </c>
      <c r="I49" s="13" t="s">
        <v>61</v>
      </c>
      <c r="J49" s="13" t="s">
        <v>59</v>
      </c>
    </row>
    <row r="50" spans="1:10" x14ac:dyDescent="0.25">
      <c r="A50" s="20" t="s">
        <v>58</v>
      </c>
      <c r="B50" s="20"/>
      <c r="C50" s="16">
        <f>ROUND(0.9911, 4)</f>
        <v>0.99109999999999998</v>
      </c>
      <c r="D50" s="16">
        <f>ROUND(0.989, 4)</f>
        <v>0.98899999999999999</v>
      </c>
      <c r="E50" s="16">
        <f>ROUND(0.777, 4)</f>
        <v>0.77700000000000002</v>
      </c>
      <c r="F50" s="9"/>
      <c r="G50" s="15" t="s">
        <v>62</v>
      </c>
      <c r="H50" s="22" t="s">
        <v>63</v>
      </c>
      <c r="I50" s="24" t="s">
        <v>64</v>
      </c>
      <c r="J50" s="24" t="s">
        <v>65</v>
      </c>
    </row>
    <row r="51" spans="1:10" x14ac:dyDescent="0.25">
      <c r="A51" s="20" t="s">
        <v>66</v>
      </c>
      <c r="B51" s="20"/>
      <c r="C51" s="16">
        <f>ROUND(0.9902, 4)</f>
        <v>0.99019999999999997</v>
      </c>
      <c r="D51" s="16">
        <f>ROUND(0.9878, 4)</f>
        <v>0.98780000000000001</v>
      </c>
      <c r="E51" s="16">
        <f>ROUND(0.7608, 4)</f>
        <v>0.76080000000000003</v>
      </c>
      <c r="F51" s="9"/>
      <c r="G51" s="15" t="s">
        <v>67</v>
      </c>
      <c r="H51" s="23"/>
      <c r="I51" s="25"/>
      <c r="J51" s="25"/>
    </row>
    <row r="52" spans="1:10" x14ac:dyDescent="0.25">
      <c r="C52" s="9"/>
      <c r="D52" s="9"/>
      <c r="E52" s="9"/>
      <c r="F52" s="9"/>
      <c r="G52" s="9"/>
      <c r="H52" s="9"/>
      <c r="I52" s="10"/>
      <c r="J52" s="10"/>
    </row>
    <row r="53" spans="1:10" x14ac:dyDescent="0.25">
      <c r="C53" s="9"/>
      <c r="D53" s="9"/>
      <c r="E53" s="9"/>
      <c r="F53" s="9"/>
      <c r="G53" s="9"/>
      <c r="H53" s="9"/>
      <c r="I53" s="10"/>
      <c r="J53" s="10"/>
    </row>
    <row r="54" spans="1:10" x14ac:dyDescent="0.25">
      <c r="C54" s="9"/>
      <c r="D54" s="9"/>
      <c r="E54" s="9"/>
      <c r="F54" s="9"/>
      <c r="G54" s="9"/>
      <c r="H54" s="9"/>
      <c r="I54" s="10"/>
      <c r="J54" s="10"/>
    </row>
    <row r="55" spans="1:10" x14ac:dyDescent="0.25">
      <c r="A55" s="21" t="s">
        <v>68</v>
      </c>
      <c r="B55" s="21"/>
      <c r="C55" s="15" t="s">
        <v>2</v>
      </c>
      <c r="D55" s="15" t="s">
        <v>328</v>
      </c>
      <c r="E55" s="15" t="s">
        <v>70</v>
      </c>
      <c r="F55" s="15" t="s">
        <v>71</v>
      </c>
      <c r="G55" s="15" t="s">
        <v>72</v>
      </c>
      <c r="H55" s="14"/>
      <c r="I55" s="18"/>
      <c r="J55" s="18"/>
    </row>
    <row r="56" spans="1:10" x14ac:dyDescent="0.25">
      <c r="A56" s="20" t="s">
        <v>73</v>
      </c>
      <c r="B56" s="20"/>
      <c r="C56" s="17"/>
      <c r="D56" s="17"/>
      <c r="E56" s="17">
        <v>81.84</v>
      </c>
      <c r="F56" s="17">
        <v>48</v>
      </c>
      <c r="G56" s="17">
        <f>12/4*C56</f>
        <v>0</v>
      </c>
      <c r="H56" s="9"/>
      <c r="I56" s="10"/>
      <c r="J56" s="10"/>
    </row>
    <row r="57" spans="1:10" x14ac:dyDescent="0.25">
      <c r="A57" s="20" t="s">
        <v>74</v>
      </c>
      <c r="B57" s="20"/>
      <c r="C57" s="17"/>
      <c r="D57" s="17"/>
      <c r="E57" s="17">
        <v>55.63</v>
      </c>
      <c r="F57" s="17">
        <v>55.33</v>
      </c>
      <c r="G57" s="17">
        <f>12/4*C57</f>
        <v>0</v>
      </c>
      <c r="H57" s="9"/>
      <c r="I57" s="10"/>
      <c r="J57" s="10"/>
    </row>
    <row r="58" spans="1:10" x14ac:dyDescent="0.25">
      <c r="A58" s="20" t="s">
        <v>75</v>
      </c>
      <c r="B58" s="20"/>
      <c r="C58" s="17">
        <v>27.22</v>
      </c>
      <c r="D58" s="17">
        <v>80.81</v>
      </c>
      <c r="E58" s="17">
        <v>257.88</v>
      </c>
      <c r="F58" s="17">
        <v>242.78</v>
      </c>
      <c r="G58" s="17">
        <f>12/4*C58</f>
        <v>81.66</v>
      </c>
      <c r="H58" s="9"/>
      <c r="I58" s="10"/>
      <c r="J58" s="10"/>
    </row>
    <row r="59" spans="1:10" x14ac:dyDescent="0.25">
      <c r="A59" s="20" t="s">
        <v>76</v>
      </c>
      <c r="B59" s="20"/>
      <c r="C59" s="17">
        <v>3.16</v>
      </c>
      <c r="D59" s="17">
        <v>8.51</v>
      </c>
      <c r="E59" s="17">
        <v>103.14</v>
      </c>
      <c r="F59" s="17">
        <v>68.31</v>
      </c>
      <c r="G59" s="17">
        <f>12/4*C59</f>
        <v>9.48</v>
      </c>
      <c r="H59" s="9"/>
      <c r="I59" s="10"/>
      <c r="J59" s="10"/>
    </row>
    <row r="60" spans="1:10" x14ac:dyDescent="0.25">
      <c r="C60" s="9"/>
      <c r="D60" s="9"/>
      <c r="E60" s="9"/>
      <c r="F60" s="9"/>
      <c r="G60" s="9"/>
      <c r="H60" s="9"/>
      <c r="I60" s="10"/>
      <c r="J60" s="10"/>
    </row>
    <row r="61" spans="1:10" x14ac:dyDescent="0.25">
      <c r="C61" s="9"/>
      <c r="D61" s="9"/>
      <c r="E61" s="9"/>
      <c r="F61" s="9"/>
      <c r="G61" s="9"/>
      <c r="H61" s="9"/>
      <c r="I61" s="10"/>
      <c r="J61" s="10"/>
    </row>
    <row r="62" spans="1:10" x14ac:dyDescent="0.25">
      <c r="A62" s="19" t="s">
        <v>60</v>
      </c>
      <c r="B62" s="26"/>
      <c r="C62" s="9"/>
      <c r="D62" s="9"/>
      <c r="E62" s="9"/>
      <c r="F62" s="9"/>
      <c r="G62" s="9"/>
      <c r="H62" s="9"/>
      <c r="I62" s="10"/>
      <c r="J62" s="10"/>
    </row>
    <row r="63" spans="1:10" x14ac:dyDescent="0.25">
      <c r="A63" s="3" t="s">
        <v>77</v>
      </c>
      <c r="B63" s="1" t="s">
        <v>329</v>
      </c>
      <c r="C63" s="9"/>
      <c r="D63" s="9"/>
      <c r="E63" s="9"/>
      <c r="F63" s="9"/>
      <c r="G63" s="9"/>
      <c r="H63" s="9"/>
      <c r="I63" s="10"/>
      <c r="J63" s="10"/>
    </row>
    <row r="64" spans="1:10" x14ac:dyDescent="0.25">
      <c r="A64" s="3" t="s">
        <v>70</v>
      </c>
      <c r="B64" s="1" t="s">
        <v>79</v>
      </c>
      <c r="C64" s="9"/>
      <c r="D64" s="9"/>
      <c r="E64" s="9"/>
      <c r="F64" s="9"/>
      <c r="G64" s="9"/>
      <c r="H64" s="9"/>
      <c r="I64" s="10"/>
      <c r="J64" s="10"/>
    </row>
    <row r="65" spans="1:10" x14ac:dyDescent="0.25">
      <c r="A65" s="3" t="s">
        <v>71</v>
      </c>
      <c r="B65" s="1" t="s">
        <v>80</v>
      </c>
      <c r="C65" s="9"/>
      <c r="D65" s="9"/>
      <c r="E65" s="9"/>
      <c r="F65" s="9"/>
      <c r="G65" s="9"/>
      <c r="H65" s="9"/>
      <c r="I65" s="10"/>
      <c r="J65" s="10"/>
    </row>
    <row r="66" spans="1:10" x14ac:dyDescent="0.25">
      <c r="A66" s="3" t="s">
        <v>72</v>
      </c>
      <c r="B66" s="1" t="s">
        <v>81</v>
      </c>
      <c r="C66" s="9"/>
      <c r="D66" s="9"/>
      <c r="E66" s="9"/>
      <c r="F66" s="9"/>
      <c r="G66" s="9"/>
      <c r="H66" s="9"/>
      <c r="I66" s="10"/>
      <c r="J66" s="10"/>
    </row>
    <row r="67" spans="1:10" x14ac:dyDescent="0.25">
      <c r="C67" s="9"/>
      <c r="D67" s="9"/>
      <c r="E67" s="9"/>
      <c r="F67" s="9"/>
      <c r="G67" s="9"/>
      <c r="H67" s="9"/>
      <c r="I67" s="10"/>
      <c r="J67" s="10"/>
    </row>
    <row r="68" spans="1:10" x14ac:dyDescent="0.25">
      <c r="C68" s="9"/>
      <c r="D68" s="9"/>
      <c r="E68" s="9"/>
      <c r="F68" s="9"/>
      <c r="G68" s="9"/>
      <c r="H68" s="9"/>
      <c r="I68" s="10"/>
      <c r="J68" s="10"/>
    </row>
    <row r="69" spans="1:10" x14ac:dyDescent="0.25">
      <c r="C69" s="9"/>
      <c r="D69" s="9"/>
      <c r="E69" s="9"/>
      <c r="F69" s="9"/>
      <c r="G69" s="9"/>
      <c r="H69" s="9"/>
      <c r="I69" s="10"/>
      <c r="J69" s="10"/>
    </row>
    <row r="70" spans="1:10" x14ac:dyDescent="0.25">
      <c r="C70" s="9"/>
      <c r="D70" s="9"/>
      <c r="E70" s="9"/>
      <c r="F70" s="9"/>
      <c r="G70" s="9"/>
      <c r="H70" s="9"/>
      <c r="I70" s="10"/>
      <c r="J70" s="10"/>
    </row>
    <row r="71" spans="1:10" x14ac:dyDescent="0.25">
      <c r="C71" s="9"/>
      <c r="D71" s="9"/>
      <c r="E71" s="9"/>
      <c r="F71" s="9"/>
      <c r="G71" s="9"/>
      <c r="H71" s="9"/>
      <c r="I71" s="10"/>
      <c r="J71" s="10"/>
    </row>
    <row r="72" spans="1:10" x14ac:dyDescent="0.25">
      <c r="C72" s="9"/>
      <c r="D72" s="9"/>
      <c r="E72" s="9"/>
      <c r="F72" s="9"/>
      <c r="G72" s="9"/>
      <c r="H72" s="9"/>
      <c r="I72" s="10"/>
      <c r="J72" s="10"/>
    </row>
    <row r="73" spans="1:10" x14ac:dyDescent="0.25">
      <c r="C73" s="9"/>
      <c r="D73" s="9"/>
      <c r="E73" s="9"/>
      <c r="F73" s="9"/>
      <c r="G73" s="9"/>
      <c r="H73" s="9"/>
      <c r="I73" s="10"/>
      <c r="J73" s="10"/>
    </row>
    <row r="74" spans="1:10" x14ac:dyDescent="0.25">
      <c r="C74" s="9"/>
      <c r="D74" s="9"/>
      <c r="E74" s="9"/>
      <c r="F74" s="9"/>
      <c r="G74" s="9"/>
      <c r="H74" s="9"/>
      <c r="I74" s="10"/>
      <c r="J74" s="10"/>
    </row>
    <row r="75" spans="1:10" x14ac:dyDescent="0.25">
      <c r="C75" s="9"/>
      <c r="D75" s="9"/>
      <c r="E75" s="9"/>
      <c r="F75" s="9"/>
      <c r="G75" s="9"/>
      <c r="H75" s="9"/>
      <c r="I75" s="10"/>
      <c r="J75" s="10"/>
    </row>
    <row r="76" spans="1:10" x14ac:dyDescent="0.25">
      <c r="C76" s="9"/>
      <c r="D76" s="9"/>
      <c r="E76" s="9"/>
      <c r="F76" s="9"/>
      <c r="G76" s="9"/>
      <c r="H76" s="9"/>
      <c r="I76" s="10"/>
      <c r="J76" s="10"/>
    </row>
    <row r="77" spans="1:10" x14ac:dyDescent="0.25">
      <c r="C77" s="9"/>
      <c r="D77" s="9"/>
      <c r="E77" s="9"/>
      <c r="F77" s="9"/>
      <c r="G77" s="9"/>
      <c r="H77" s="9"/>
      <c r="I77" s="10"/>
      <c r="J77" s="10"/>
    </row>
    <row r="78" spans="1:10" x14ac:dyDescent="0.25">
      <c r="C78" s="9"/>
      <c r="D78" s="9"/>
      <c r="E78" s="9"/>
      <c r="F78" s="9"/>
      <c r="G78" s="9"/>
      <c r="H78" s="9"/>
      <c r="I78" s="10"/>
      <c r="J78" s="10"/>
    </row>
  </sheetData>
  <mergeCells count="19">
    <mergeCell ref="A57:B57"/>
    <mergeCell ref="A58:B58"/>
    <mergeCell ref="A59:B59"/>
    <mergeCell ref="A62:B62"/>
    <mergeCell ref="I50:I51"/>
    <mergeCell ref="J50:J51"/>
    <mergeCell ref="A51:B51"/>
    <mergeCell ref="A55:B55"/>
    <mergeCell ref="A56:B56"/>
    <mergeCell ref="A43:B43"/>
    <mergeCell ref="A44:B44"/>
    <mergeCell ref="A49:B49"/>
    <mergeCell ref="A50:B50"/>
    <mergeCell ref="H50:H51"/>
    <mergeCell ref="C7:G7"/>
    <mergeCell ref="A35:B35"/>
    <mergeCell ref="A36:B36"/>
    <mergeCell ref="A41:B41"/>
    <mergeCell ref="A42:B42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dimension ref="A2:J78"/>
  <sheetViews>
    <sheetView workbookViewId="0">
      <selection activeCell="C9" sqref="C9:J76"/>
    </sheetView>
  </sheetViews>
  <sheetFormatPr defaultRowHeight="15" x14ac:dyDescent="0.25"/>
  <cols>
    <col min="1" max="1" width="38.85546875" bestFit="1" customWidth="1"/>
    <col min="2" max="2" width="79" bestFit="1" customWidth="1"/>
    <col min="3" max="3" width="14" bestFit="1" customWidth="1"/>
    <col min="4" max="4" width="24.7109375" bestFit="1" customWidth="1"/>
    <col min="5" max="5" width="16.42578125" bestFit="1" customWidth="1"/>
    <col min="6" max="6" width="10.5703125" bestFit="1" customWidth="1"/>
    <col min="7" max="7" width="68.28515625" bestFit="1" customWidth="1"/>
    <col min="8" max="9" width="20" bestFit="1" customWidth="1"/>
    <col min="10" max="10" width="30.5703125" bestFit="1" customWidth="1"/>
  </cols>
  <sheetData>
    <row r="2" spans="1:10" ht="18.75" x14ac:dyDescent="0.3">
      <c r="A2" s="3" t="s">
        <v>0</v>
      </c>
      <c r="B2" s="4" t="s">
        <v>330</v>
      </c>
    </row>
    <row r="3" spans="1:10" x14ac:dyDescent="0.25">
      <c r="A3" s="3" t="s">
        <v>2</v>
      </c>
      <c r="B3" s="1" t="s">
        <v>3</v>
      </c>
    </row>
    <row r="4" spans="1:10" x14ac:dyDescent="0.25">
      <c r="A4" s="3" t="s">
        <v>4</v>
      </c>
      <c r="B4" s="1">
        <v>9781</v>
      </c>
    </row>
    <row r="7" spans="1:10" x14ac:dyDescent="0.25">
      <c r="C7" s="19" t="s">
        <v>5</v>
      </c>
      <c r="D7" s="20"/>
      <c r="E7" s="20"/>
      <c r="F7" s="20"/>
      <c r="G7" s="20"/>
    </row>
    <row r="8" spans="1:10" x14ac:dyDescent="0.25">
      <c r="A8" s="3" t="s">
        <v>6</v>
      </c>
      <c r="B8" s="3" t="s">
        <v>7</v>
      </c>
      <c r="C8" s="3" t="s">
        <v>8</v>
      </c>
      <c r="D8" s="3" t="s">
        <v>9</v>
      </c>
      <c r="E8" s="3" t="s">
        <v>10</v>
      </c>
      <c r="F8" s="3" t="s">
        <v>11</v>
      </c>
      <c r="G8" s="3" t="s">
        <v>12</v>
      </c>
      <c r="H8" s="3" t="s">
        <v>13</v>
      </c>
      <c r="I8" s="3" t="s">
        <v>14</v>
      </c>
      <c r="J8" s="3" t="s">
        <v>15</v>
      </c>
    </row>
    <row r="9" spans="1:10" x14ac:dyDescent="0.25">
      <c r="A9" s="1" t="s">
        <v>16</v>
      </c>
      <c r="B9" s="1" t="s">
        <v>17</v>
      </c>
      <c r="C9" s="11"/>
      <c r="D9" s="11"/>
      <c r="E9" s="11">
        <v>189</v>
      </c>
      <c r="F9" s="11"/>
      <c r="G9" s="11">
        <f t="shared" ref="G9:G46" si="0">SUM(C9:F9)</f>
        <v>189</v>
      </c>
      <c r="H9" s="17">
        <f t="shared" ref="H9:H46" si="1">ROUND(G9/9781,2)</f>
        <v>0.02</v>
      </c>
      <c r="I9" s="16">
        <f t="shared" ref="I9:I46" si="2">ROUND(G9/$G$47,3)</f>
        <v>0</v>
      </c>
      <c r="J9" s="16">
        <f>ROUND(G9/453-1,2)</f>
        <v>-0.57999999999999996</v>
      </c>
    </row>
    <row r="10" spans="1:10" x14ac:dyDescent="0.25">
      <c r="A10" s="1" t="s">
        <v>16</v>
      </c>
      <c r="B10" s="1" t="s">
        <v>18</v>
      </c>
      <c r="C10" s="11"/>
      <c r="D10" s="11"/>
      <c r="E10" s="11">
        <v>10923</v>
      </c>
      <c r="F10" s="11">
        <v>4880</v>
      </c>
      <c r="G10" s="11">
        <f t="shared" si="0"/>
        <v>15803</v>
      </c>
      <c r="H10" s="17">
        <f t="shared" si="1"/>
        <v>1.62</v>
      </c>
      <c r="I10" s="16">
        <f t="shared" si="2"/>
        <v>0.01</v>
      </c>
      <c r="J10" s="16">
        <f>ROUND(G10/24820-1,2)</f>
        <v>-0.36</v>
      </c>
    </row>
    <row r="11" spans="1:10" x14ac:dyDescent="0.25">
      <c r="A11" s="1" t="s">
        <v>16</v>
      </c>
      <c r="B11" s="1" t="s">
        <v>19</v>
      </c>
      <c r="C11" s="11">
        <v>106090</v>
      </c>
      <c r="D11" s="11"/>
      <c r="E11" s="11">
        <v>20485</v>
      </c>
      <c r="F11" s="11">
        <v>8830</v>
      </c>
      <c r="G11" s="11">
        <f t="shared" si="0"/>
        <v>135405</v>
      </c>
      <c r="H11" s="17">
        <f t="shared" si="1"/>
        <v>13.84</v>
      </c>
      <c r="I11" s="16">
        <f t="shared" si="2"/>
        <v>8.4000000000000005E-2</v>
      </c>
      <c r="J11" s="16">
        <f>ROUND(G11/145939.9-1,2)</f>
        <v>-7.0000000000000007E-2</v>
      </c>
    </row>
    <row r="12" spans="1:10" x14ac:dyDescent="0.25">
      <c r="A12" s="1" t="s">
        <v>16</v>
      </c>
      <c r="B12" s="1" t="s">
        <v>20</v>
      </c>
      <c r="C12" s="11">
        <v>132305</v>
      </c>
      <c r="D12" s="11"/>
      <c r="E12" s="11"/>
      <c r="F12" s="11"/>
      <c r="G12" s="11">
        <f t="shared" si="0"/>
        <v>132305</v>
      </c>
      <c r="H12" s="17">
        <f t="shared" si="1"/>
        <v>13.53</v>
      </c>
      <c r="I12" s="16">
        <f t="shared" si="2"/>
        <v>8.2000000000000003E-2</v>
      </c>
      <c r="J12" s="16">
        <f>ROUND(G12/140235.12-1,2)</f>
        <v>-0.06</v>
      </c>
    </row>
    <row r="13" spans="1:10" x14ac:dyDescent="0.25">
      <c r="A13" s="1" t="s">
        <v>16</v>
      </c>
      <c r="B13" s="1" t="s">
        <v>21</v>
      </c>
      <c r="C13" s="11"/>
      <c r="D13" s="11"/>
      <c r="E13" s="11">
        <v>102</v>
      </c>
      <c r="F13" s="11"/>
      <c r="G13" s="11">
        <f t="shared" si="0"/>
        <v>102</v>
      </c>
      <c r="H13" s="17">
        <f t="shared" si="1"/>
        <v>0.01</v>
      </c>
      <c r="I13" s="16">
        <f t="shared" si="2"/>
        <v>0</v>
      </c>
      <c r="J13" s="16">
        <f>ROUND(G13/380-1,2)</f>
        <v>-0.73</v>
      </c>
    </row>
    <row r="14" spans="1:10" x14ac:dyDescent="0.25">
      <c r="A14" s="1" t="s">
        <v>16</v>
      </c>
      <c r="B14" s="1" t="s">
        <v>22</v>
      </c>
      <c r="C14" s="11"/>
      <c r="D14" s="11"/>
      <c r="E14" s="11">
        <v>681</v>
      </c>
      <c r="F14" s="11"/>
      <c r="G14" s="11">
        <f t="shared" si="0"/>
        <v>681</v>
      </c>
      <c r="H14" s="17">
        <f t="shared" si="1"/>
        <v>7.0000000000000007E-2</v>
      </c>
      <c r="I14" s="16">
        <f t="shared" si="2"/>
        <v>0</v>
      </c>
      <c r="J14" s="16">
        <f>ROUND(G14/1718.75-1,2)</f>
        <v>-0.6</v>
      </c>
    </row>
    <row r="15" spans="1:10" x14ac:dyDescent="0.25">
      <c r="A15" s="1" t="s">
        <v>16</v>
      </c>
      <c r="B15" s="1" t="s">
        <v>23</v>
      </c>
      <c r="C15" s="11"/>
      <c r="D15" s="11"/>
      <c r="E15" s="11">
        <v>92557</v>
      </c>
      <c r="F15" s="11"/>
      <c r="G15" s="11">
        <f t="shared" si="0"/>
        <v>92557</v>
      </c>
      <c r="H15" s="17">
        <f t="shared" si="1"/>
        <v>9.4600000000000009</v>
      </c>
      <c r="I15" s="16">
        <f t="shared" si="2"/>
        <v>5.7000000000000002E-2</v>
      </c>
      <c r="J15" s="16">
        <f>ROUND(G15/110093.49-1,2)</f>
        <v>-0.16</v>
      </c>
    </row>
    <row r="16" spans="1:10" x14ac:dyDescent="0.25">
      <c r="A16" s="1" t="s">
        <v>16</v>
      </c>
      <c r="B16" s="1" t="s">
        <v>24</v>
      </c>
      <c r="C16" s="11">
        <v>152230</v>
      </c>
      <c r="D16" s="11"/>
      <c r="E16" s="11">
        <v>48145</v>
      </c>
      <c r="F16" s="11">
        <v>4700</v>
      </c>
      <c r="G16" s="11">
        <f t="shared" si="0"/>
        <v>205075</v>
      </c>
      <c r="H16" s="17">
        <f t="shared" si="1"/>
        <v>20.97</v>
      </c>
      <c r="I16" s="16">
        <f t="shared" si="2"/>
        <v>0.127</v>
      </c>
      <c r="J16" s="16">
        <f>ROUND(G16/221057.69-1,2)</f>
        <v>-7.0000000000000007E-2</v>
      </c>
    </row>
    <row r="17" spans="1:10" x14ac:dyDescent="0.25">
      <c r="A17" s="1" t="s">
        <v>16</v>
      </c>
      <c r="B17" s="1" t="s">
        <v>25</v>
      </c>
      <c r="C17" s="11"/>
      <c r="D17" s="11"/>
      <c r="E17" s="11">
        <v>7943</v>
      </c>
      <c r="F17" s="11"/>
      <c r="G17" s="11">
        <f t="shared" si="0"/>
        <v>7943</v>
      </c>
      <c r="H17" s="17">
        <f t="shared" si="1"/>
        <v>0.81</v>
      </c>
      <c r="I17" s="16">
        <f t="shared" si="2"/>
        <v>5.0000000000000001E-3</v>
      </c>
      <c r="J17" s="16">
        <f>ROUND(G17/3970-1,2)</f>
        <v>1</v>
      </c>
    </row>
    <row r="18" spans="1:10" x14ac:dyDescent="0.25">
      <c r="A18" s="1" t="s">
        <v>16</v>
      </c>
      <c r="B18" s="1" t="s">
        <v>26</v>
      </c>
      <c r="C18" s="11">
        <v>242200</v>
      </c>
      <c r="D18" s="11"/>
      <c r="E18" s="11"/>
      <c r="F18" s="11">
        <v>40</v>
      </c>
      <c r="G18" s="11">
        <f t="shared" si="0"/>
        <v>242240</v>
      </c>
      <c r="H18" s="17">
        <f t="shared" si="1"/>
        <v>24.77</v>
      </c>
      <c r="I18" s="16">
        <f t="shared" si="2"/>
        <v>0.15</v>
      </c>
      <c r="J18" s="16">
        <f>ROUND(G18/203350-1,2)</f>
        <v>0.19</v>
      </c>
    </row>
    <row r="19" spans="1:10" x14ac:dyDescent="0.25">
      <c r="A19" s="1" t="s">
        <v>16</v>
      </c>
      <c r="B19" s="1" t="s">
        <v>27</v>
      </c>
      <c r="C19" s="11"/>
      <c r="D19" s="11"/>
      <c r="E19" s="11">
        <v>609</v>
      </c>
      <c r="F19" s="11"/>
      <c r="G19" s="11">
        <f t="shared" si="0"/>
        <v>609</v>
      </c>
      <c r="H19" s="17">
        <f t="shared" si="1"/>
        <v>0.06</v>
      </c>
      <c r="I19" s="16">
        <f t="shared" si="2"/>
        <v>0</v>
      </c>
      <c r="J19" s="16">
        <f>ROUND(G19/1321-1,2)</f>
        <v>-0.54</v>
      </c>
    </row>
    <row r="20" spans="1:10" x14ac:dyDescent="0.25">
      <c r="A20" s="1" t="s">
        <v>16</v>
      </c>
      <c r="B20" s="1" t="s">
        <v>28</v>
      </c>
      <c r="C20" s="11"/>
      <c r="D20" s="11"/>
      <c r="E20" s="11">
        <v>231</v>
      </c>
      <c r="F20" s="11"/>
      <c r="G20" s="11">
        <f t="shared" si="0"/>
        <v>231</v>
      </c>
      <c r="H20" s="17">
        <f t="shared" si="1"/>
        <v>0.02</v>
      </c>
      <c r="I20" s="16">
        <f t="shared" si="2"/>
        <v>0</v>
      </c>
      <c r="J20" s="16">
        <f>ROUND(G20/492-1,2)</f>
        <v>-0.53</v>
      </c>
    </row>
    <row r="21" spans="1:10" x14ac:dyDescent="0.25">
      <c r="A21" s="1" t="s">
        <v>16</v>
      </c>
      <c r="B21" s="1" t="s">
        <v>29</v>
      </c>
      <c r="C21" s="11"/>
      <c r="D21" s="11"/>
      <c r="E21" s="11">
        <v>1309</v>
      </c>
      <c r="F21" s="11"/>
      <c r="G21" s="11">
        <f t="shared" si="0"/>
        <v>1309</v>
      </c>
      <c r="H21" s="17">
        <f t="shared" si="1"/>
        <v>0.13</v>
      </c>
      <c r="I21" s="16">
        <f t="shared" si="2"/>
        <v>1E-3</v>
      </c>
      <c r="J21" s="16">
        <f>ROUND(G21/1431.76-1,2)</f>
        <v>-0.09</v>
      </c>
    </row>
    <row r="22" spans="1:10" x14ac:dyDescent="0.25">
      <c r="A22" s="1" t="s">
        <v>16</v>
      </c>
      <c r="B22" s="1" t="s">
        <v>30</v>
      </c>
      <c r="C22" s="11"/>
      <c r="D22" s="11"/>
      <c r="E22" s="11">
        <v>318</v>
      </c>
      <c r="F22" s="11"/>
      <c r="G22" s="11">
        <f t="shared" si="0"/>
        <v>318</v>
      </c>
      <c r="H22" s="17">
        <f t="shared" si="1"/>
        <v>0.03</v>
      </c>
      <c r="I22" s="16">
        <f t="shared" si="2"/>
        <v>0</v>
      </c>
      <c r="J22" s="16">
        <f>ROUND(G22/384.62-1,2)</f>
        <v>-0.17</v>
      </c>
    </row>
    <row r="23" spans="1:10" x14ac:dyDescent="0.25">
      <c r="A23" s="1" t="s">
        <v>16</v>
      </c>
      <c r="B23" s="1" t="s">
        <v>31</v>
      </c>
      <c r="C23" s="11"/>
      <c r="D23" s="11"/>
      <c r="E23" s="11">
        <v>1789</v>
      </c>
      <c r="F23" s="11"/>
      <c r="G23" s="11">
        <f t="shared" si="0"/>
        <v>1789</v>
      </c>
      <c r="H23" s="17">
        <f t="shared" si="1"/>
        <v>0.18</v>
      </c>
      <c r="I23" s="16">
        <f t="shared" si="2"/>
        <v>1E-3</v>
      </c>
      <c r="J23" s="16">
        <f>ROUND(G23/1301.99-1,2)</f>
        <v>0.37</v>
      </c>
    </row>
    <row r="24" spans="1:10" x14ac:dyDescent="0.25">
      <c r="A24" s="1" t="s">
        <v>16</v>
      </c>
      <c r="B24" s="1" t="s">
        <v>32</v>
      </c>
      <c r="C24" s="11"/>
      <c r="D24" s="11">
        <v>590</v>
      </c>
      <c r="E24" s="11">
        <v>764</v>
      </c>
      <c r="F24" s="11"/>
      <c r="G24" s="11">
        <f t="shared" si="0"/>
        <v>1354</v>
      </c>
      <c r="H24" s="17">
        <f t="shared" si="1"/>
        <v>0.14000000000000001</v>
      </c>
      <c r="I24" s="16">
        <f t="shared" si="2"/>
        <v>1E-3</v>
      </c>
      <c r="J24" s="16">
        <f>ROUND(G24/935-1,2)</f>
        <v>0.45</v>
      </c>
    </row>
    <row r="25" spans="1:10" x14ac:dyDescent="0.25">
      <c r="A25" s="1" t="s">
        <v>16</v>
      </c>
      <c r="B25" s="1" t="s">
        <v>33</v>
      </c>
      <c r="C25" s="11"/>
      <c r="D25" s="11"/>
      <c r="E25" s="11">
        <v>756</v>
      </c>
      <c r="F25" s="11"/>
      <c r="G25" s="11">
        <f t="shared" si="0"/>
        <v>756</v>
      </c>
      <c r="H25" s="17">
        <f t="shared" si="1"/>
        <v>0.08</v>
      </c>
      <c r="I25" s="16">
        <f t="shared" si="2"/>
        <v>0</v>
      </c>
      <c r="J25" s="16">
        <f>ROUND(G25/2440-1,2)</f>
        <v>-0.69</v>
      </c>
    </row>
    <row r="26" spans="1:10" x14ac:dyDescent="0.25">
      <c r="A26" s="1" t="s">
        <v>16</v>
      </c>
      <c r="B26" s="1" t="s">
        <v>34</v>
      </c>
      <c r="C26" s="11"/>
      <c r="D26" s="11"/>
      <c r="E26" s="11">
        <v>2601</v>
      </c>
      <c r="F26" s="11"/>
      <c r="G26" s="11">
        <f t="shared" si="0"/>
        <v>2601</v>
      </c>
      <c r="H26" s="17">
        <f t="shared" si="1"/>
        <v>0.27</v>
      </c>
      <c r="I26" s="16">
        <f t="shared" si="2"/>
        <v>2E-3</v>
      </c>
      <c r="J26" s="16">
        <f>ROUND(G26/598.14-1,2)</f>
        <v>3.35</v>
      </c>
    </row>
    <row r="27" spans="1:10" x14ac:dyDescent="0.25">
      <c r="A27" s="1" t="s">
        <v>16</v>
      </c>
      <c r="B27" s="1" t="s">
        <v>35</v>
      </c>
      <c r="C27" s="11"/>
      <c r="D27" s="11"/>
      <c r="E27" s="11">
        <v>110081</v>
      </c>
      <c r="F27" s="11"/>
      <c r="G27" s="11">
        <f t="shared" si="0"/>
        <v>110081</v>
      </c>
      <c r="H27" s="17">
        <f t="shared" si="1"/>
        <v>11.25</v>
      </c>
      <c r="I27" s="16">
        <f t="shared" si="2"/>
        <v>6.8000000000000005E-2</v>
      </c>
      <c r="J27" s="16">
        <f>ROUND(G27/105896.8-1,2)</f>
        <v>0.04</v>
      </c>
    </row>
    <row r="28" spans="1:10" x14ac:dyDescent="0.25">
      <c r="A28" s="1" t="s">
        <v>16</v>
      </c>
      <c r="B28" s="1" t="s">
        <v>36</v>
      </c>
      <c r="C28" s="11"/>
      <c r="D28" s="11"/>
      <c r="E28" s="11">
        <v>10030</v>
      </c>
      <c r="F28" s="11"/>
      <c r="G28" s="11">
        <f t="shared" si="0"/>
        <v>10030</v>
      </c>
      <c r="H28" s="17">
        <f t="shared" si="1"/>
        <v>1.03</v>
      </c>
      <c r="I28" s="16">
        <f t="shared" si="2"/>
        <v>6.0000000000000001E-3</v>
      </c>
      <c r="J28" s="16">
        <f>ROUND(G28/8528.52-1,2)</f>
        <v>0.18</v>
      </c>
    </row>
    <row r="29" spans="1:10" x14ac:dyDescent="0.25">
      <c r="A29" s="1" t="s">
        <v>16</v>
      </c>
      <c r="B29" s="1" t="s">
        <v>37</v>
      </c>
      <c r="C29" s="11"/>
      <c r="D29" s="11"/>
      <c r="E29" s="11">
        <v>36797</v>
      </c>
      <c r="F29" s="11"/>
      <c r="G29" s="11">
        <f t="shared" si="0"/>
        <v>36797</v>
      </c>
      <c r="H29" s="17">
        <f t="shared" si="1"/>
        <v>3.76</v>
      </c>
      <c r="I29" s="16">
        <f t="shared" si="2"/>
        <v>2.3E-2</v>
      </c>
      <c r="J29" s="16">
        <f>ROUND(G29/36288.78-1,2)</f>
        <v>0.01</v>
      </c>
    </row>
    <row r="30" spans="1:10" x14ac:dyDescent="0.25">
      <c r="A30" s="1" t="s">
        <v>16</v>
      </c>
      <c r="B30" s="1" t="s">
        <v>38</v>
      </c>
      <c r="C30" s="11"/>
      <c r="D30" s="11"/>
      <c r="E30" s="11">
        <v>57145</v>
      </c>
      <c r="F30" s="11"/>
      <c r="G30" s="11">
        <f t="shared" si="0"/>
        <v>57145</v>
      </c>
      <c r="H30" s="17">
        <f t="shared" si="1"/>
        <v>5.84</v>
      </c>
      <c r="I30" s="16">
        <f t="shared" si="2"/>
        <v>3.5000000000000003E-2</v>
      </c>
      <c r="J30" s="16">
        <f>ROUND(G30/70029.7-1,2)</f>
        <v>-0.18</v>
      </c>
    </row>
    <row r="31" spans="1:10" x14ac:dyDescent="0.25">
      <c r="A31" s="1" t="s">
        <v>16</v>
      </c>
      <c r="B31" s="1" t="s">
        <v>39</v>
      </c>
      <c r="C31" s="11"/>
      <c r="D31" s="11"/>
      <c r="E31" s="11"/>
      <c r="F31" s="11"/>
      <c r="G31" s="11">
        <f t="shared" si="0"/>
        <v>0</v>
      </c>
      <c r="H31" s="17">
        <f t="shared" si="1"/>
        <v>0</v>
      </c>
      <c r="I31" s="16">
        <f t="shared" si="2"/>
        <v>0</v>
      </c>
      <c r="J31" s="16">
        <f>ROUND(G31/366.39-1,2)</f>
        <v>-1</v>
      </c>
    </row>
    <row r="32" spans="1:10" x14ac:dyDescent="0.25">
      <c r="A32" s="1" t="s">
        <v>16</v>
      </c>
      <c r="B32" s="1" t="s">
        <v>40</v>
      </c>
      <c r="C32" s="11"/>
      <c r="D32" s="11"/>
      <c r="E32" s="11"/>
      <c r="F32" s="11"/>
      <c r="G32" s="11">
        <f t="shared" si="0"/>
        <v>0</v>
      </c>
      <c r="H32" s="17">
        <f t="shared" si="1"/>
        <v>0</v>
      </c>
      <c r="I32" s="16">
        <f t="shared" si="2"/>
        <v>0</v>
      </c>
      <c r="J32" s="16">
        <f>ROUND(G32/6510.08-1,2)</f>
        <v>-1</v>
      </c>
    </row>
    <row r="33" spans="1:10" x14ac:dyDescent="0.25">
      <c r="A33" s="1" t="s">
        <v>16</v>
      </c>
      <c r="B33" s="1" t="s">
        <v>41</v>
      </c>
      <c r="C33" s="11"/>
      <c r="D33" s="11"/>
      <c r="E33" s="11"/>
      <c r="F33" s="11"/>
      <c r="G33" s="11">
        <f t="shared" si="0"/>
        <v>0</v>
      </c>
      <c r="H33" s="17">
        <f t="shared" si="1"/>
        <v>0</v>
      </c>
      <c r="I33" s="16">
        <f t="shared" si="2"/>
        <v>0</v>
      </c>
      <c r="J33" s="16">
        <f>ROUND(G33/4057.49-1,2)</f>
        <v>-1</v>
      </c>
    </row>
    <row r="34" spans="1:10" x14ac:dyDescent="0.25">
      <c r="A34" s="1" t="s">
        <v>16</v>
      </c>
      <c r="B34" s="1" t="s">
        <v>42</v>
      </c>
      <c r="C34" s="11"/>
      <c r="D34" s="11"/>
      <c r="E34" s="11"/>
      <c r="F34" s="11"/>
      <c r="G34" s="11">
        <f t="shared" si="0"/>
        <v>0</v>
      </c>
      <c r="H34" s="17">
        <f t="shared" si="1"/>
        <v>0</v>
      </c>
      <c r="I34" s="16">
        <f t="shared" si="2"/>
        <v>0</v>
      </c>
      <c r="J34" s="16">
        <f>ROUND(G34/16242.66-1,2)</f>
        <v>-1</v>
      </c>
    </row>
    <row r="35" spans="1:10" x14ac:dyDescent="0.25">
      <c r="A35" s="1" t="s">
        <v>16</v>
      </c>
      <c r="B35" s="1" t="s">
        <v>43</v>
      </c>
      <c r="C35" s="11"/>
      <c r="D35" s="11"/>
      <c r="E35" s="11"/>
      <c r="F35" s="11"/>
      <c r="G35" s="11">
        <f t="shared" si="0"/>
        <v>0</v>
      </c>
      <c r="H35" s="17">
        <f t="shared" si="1"/>
        <v>0</v>
      </c>
      <c r="I35" s="16">
        <f t="shared" si="2"/>
        <v>0</v>
      </c>
      <c r="J35" s="16">
        <f>ROUND(G35/5989-1,2)</f>
        <v>-1</v>
      </c>
    </row>
    <row r="36" spans="1:10" x14ac:dyDescent="0.25">
      <c r="A36" s="1" t="s">
        <v>16</v>
      </c>
      <c r="B36" s="1" t="s">
        <v>242</v>
      </c>
      <c r="C36" s="11"/>
      <c r="D36" s="11"/>
      <c r="E36" s="11"/>
      <c r="F36" s="11"/>
      <c r="G36" s="11">
        <f t="shared" si="0"/>
        <v>0</v>
      </c>
      <c r="H36" s="17">
        <f t="shared" si="1"/>
        <v>0</v>
      </c>
      <c r="I36" s="16">
        <f t="shared" si="2"/>
        <v>0</v>
      </c>
      <c r="J36" s="16"/>
    </row>
    <row r="37" spans="1:10" x14ac:dyDescent="0.25">
      <c r="A37" s="1" t="s">
        <v>16</v>
      </c>
      <c r="B37" s="1" t="s">
        <v>118</v>
      </c>
      <c r="C37" s="11"/>
      <c r="D37" s="11"/>
      <c r="E37" s="11"/>
      <c r="F37" s="11"/>
      <c r="G37" s="11">
        <f t="shared" si="0"/>
        <v>0</v>
      </c>
      <c r="H37" s="17">
        <f t="shared" si="1"/>
        <v>0</v>
      </c>
      <c r="I37" s="16">
        <f t="shared" si="2"/>
        <v>0</v>
      </c>
      <c r="J37" s="16"/>
    </row>
    <row r="38" spans="1:10" x14ac:dyDescent="0.25">
      <c r="A38" s="1" t="s">
        <v>16</v>
      </c>
      <c r="B38" s="1" t="s">
        <v>127</v>
      </c>
      <c r="C38" s="11"/>
      <c r="D38" s="11"/>
      <c r="E38" s="11"/>
      <c r="F38" s="11"/>
      <c r="G38" s="11">
        <f t="shared" si="0"/>
        <v>0</v>
      </c>
      <c r="H38" s="17">
        <f t="shared" si="1"/>
        <v>0</v>
      </c>
      <c r="I38" s="16">
        <f t="shared" si="2"/>
        <v>0</v>
      </c>
      <c r="J38" s="16"/>
    </row>
    <row r="39" spans="1:10" x14ac:dyDescent="0.25">
      <c r="A39" s="1" t="s">
        <v>16</v>
      </c>
      <c r="B39" s="1" t="s">
        <v>114</v>
      </c>
      <c r="C39" s="11"/>
      <c r="D39" s="11"/>
      <c r="E39" s="11"/>
      <c r="F39" s="11"/>
      <c r="G39" s="11">
        <f t="shared" si="0"/>
        <v>0</v>
      </c>
      <c r="H39" s="17">
        <f t="shared" si="1"/>
        <v>0</v>
      </c>
      <c r="I39" s="16">
        <f t="shared" si="2"/>
        <v>0</v>
      </c>
      <c r="J39" s="16"/>
    </row>
    <row r="40" spans="1:10" x14ac:dyDescent="0.25">
      <c r="A40" s="1" t="s">
        <v>44</v>
      </c>
      <c r="B40" s="1" t="s">
        <v>45</v>
      </c>
      <c r="C40" s="11">
        <v>438390</v>
      </c>
      <c r="D40" s="11"/>
      <c r="E40" s="11"/>
      <c r="F40" s="11">
        <v>220</v>
      </c>
      <c r="G40" s="11">
        <f t="shared" si="0"/>
        <v>438610</v>
      </c>
      <c r="H40" s="17">
        <f t="shared" si="1"/>
        <v>44.84</v>
      </c>
      <c r="I40" s="16">
        <f t="shared" si="2"/>
        <v>0.27100000000000002</v>
      </c>
      <c r="J40" s="16">
        <f>ROUND(G40/383070-1,2)</f>
        <v>0.14000000000000001</v>
      </c>
    </row>
    <row r="41" spans="1:10" x14ac:dyDescent="0.25">
      <c r="A41" s="1" t="s">
        <v>44</v>
      </c>
      <c r="B41" s="1" t="s">
        <v>47</v>
      </c>
      <c r="C41" s="11"/>
      <c r="D41" s="11"/>
      <c r="E41" s="11"/>
      <c r="F41" s="11">
        <v>38445</v>
      </c>
      <c r="G41" s="11">
        <f t="shared" si="0"/>
        <v>38445</v>
      </c>
      <c r="H41" s="17">
        <f t="shared" si="1"/>
        <v>3.93</v>
      </c>
      <c r="I41" s="16">
        <f t="shared" si="2"/>
        <v>2.4E-2</v>
      </c>
      <c r="J41" s="16">
        <f>ROUND(G41/21420-1,2)</f>
        <v>0.79</v>
      </c>
    </row>
    <row r="42" spans="1:10" x14ac:dyDescent="0.25">
      <c r="A42" s="1" t="s">
        <v>44</v>
      </c>
      <c r="B42" s="1" t="s">
        <v>46</v>
      </c>
      <c r="C42" s="11"/>
      <c r="D42" s="11"/>
      <c r="E42" s="11">
        <v>83184</v>
      </c>
      <c r="F42" s="11"/>
      <c r="G42" s="11">
        <f t="shared" si="0"/>
        <v>83184</v>
      </c>
      <c r="H42" s="17">
        <f t="shared" si="1"/>
        <v>8.5</v>
      </c>
      <c r="I42" s="16">
        <f t="shared" si="2"/>
        <v>5.0999999999999997E-2</v>
      </c>
      <c r="J42" s="16">
        <f>ROUND(G42/97024.65-1,2)</f>
        <v>-0.14000000000000001</v>
      </c>
    </row>
    <row r="43" spans="1:10" x14ac:dyDescent="0.25">
      <c r="A43" s="1" t="s">
        <v>48</v>
      </c>
      <c r="B43" s="1" t="s">
        <v>51</v>
      </c>
      <c r="C43" s="11"/>
      <c r="D43" s="11"/>
      <c r="E43" s="11"/>
      <c r="F43" s="11"/>
      <c r="G43" s="11">
        <f t="shared" si="0"/>
        <v>0</v>
      </c>
      <c r="H43" s="17">
        <f t="shared" si="1"/>
        <v>0</v>
      </c>
      <c r="I43" s="16">
        <f t="shared" si="2"/>
        <v>0</v>
      </c>
      <c r="J43" s="16">
        <f>ROUND(G43/13-1,2)</f>
        <v>-1</v>
      </c>
    </row>
    <row r="44" spans="1:10" x14ac:dyDescent="0.25">
      <c r="A44" s="1" t="s">
        <v>48</v>
      </c>
      <c r="B44" s="1" t="s">
        <v>86</v>
      </c>
      <c r="C44" s="11"/>
      <c r="D44" s="11"/>
      <c r="E44" s="11"/>
      <c r="F44" s="11"/>
      <c r="G44" s="11">
        <f t="shared" si="0"/>
        <v>0</v>
      </c>
      <c r="H44" s="17">
        <f t="shared" si="1"/>
        <v>0</v>
      </c>
      <c r="I44" s="16">
        <f t="shared" si="2"/>
        <v>0</v>
      </c>
      <c r="J44" s="16"/>
    </row>
    <row r="45" spans="1:10" x14ac:dyDescent="0.25">
      <c r="A45" s="1" t="s">
        <v>48</v>
      </c>
      <c r="B45" s="1" t="s">
        <v>50</v>
      </c>
      <c r="C45" s="11"/>
      <c r="D45" s="11"/>
      <c r="E45" s="11"/>
      <c r="F45" s="11"/>
      <c r="G45" s="11">
        <f t="shared" si="0"/>
        <v>0</v>
      </c>
      <c r="H45" s="17">
        <f t="shared" si="1"/>
        <v>0</v>
      </c>
      <c r="I45" s="16">
        <f t="shared" si="2"/>
        <v>0</v>
      </c>
      <c r="J45" s="16"/>
    </row>
    <row r="46" spans="1:10" x14ac:dyDescent="0.25">
      <c r="A46" s="1" t="s">
        <v>48</v>
      </c>
      <c r="B46" s="1" t="s">
        <v>166</v>
      </c>
      <c r="C46" s="11"/>
      <c r="D46" s="11"/>
      <c r="E46" s="11"/>
      <c r="F46" s="11"/>
      <c r="G46" s="11">
        <f t="shared" si="0"/>
        <v>0</v>
      </c>
      <c r="H46" s="17">
        <f t="shared" si="1"/>
        <v>0</v>
      </c>
      <c r="I46" s="16">
        <f t="shared" si="2"/>
        <v>0</v>
      </c>
      <c r="J46" s="16"/>
    </row>
    <row r="47" spans="1:10" x14ac:dyDescent="0.25">
      <c r="A47" s="21" t="s">
        <v>12</v>
      </c>
      <c r="B47" s="21"/>
      <c r="C47" s="12">
        <f t="shared" ref="C47:H47" si="3">SUM(C8:C46)</f>
        <v>1071215</v>
      </c>
      <c r="D47" s="12">
        <f t="shared" si="3"/>
        <v>590</v>
      </c>
      <c r="E47" s="12">
        <f t="shared" si="3"/>
        <v>486639</v>
      </c>
      <c r="F47" s="12">
        <f t="shared" si="3"/>
        <v>57115</v>
      </c>
      <c r="G47" s="12">
        <f t="shared" si="3"/>
        <v>1615559</v>
      </c>
      <c r="H47" s="15">
        <f t="shared" si="3"/>
        <v>165.16000000000003</v>
      </c>
      <c r="I47" s="18"/>
      <c r="J47" s="18"/>
    </row>
    <row r="48" spans="1:10" x14ac:dyDescent="0.25">
      <c r="A48" s="21" t="s">
        <v>14</v>
      </c>
      <c r="B48" s="21"/>
      <c r="C48" s="13">
        <f>ROUND(C47/G47,2)</f>
        <v>0.66</v>
      </c>
      <c r="D48" s="13">
        <f>ROUND(D47/G47,2)</f>
        <v>0</v>
      </c>
      <c r="E48" s="13">
        <f>ROUND(E47/G47,2)</f>
        <v>0.3</v>
      </c>
      <c r="F48" s="13">
        <f>ROUND(F47/G47,2)</f>
        <v>0.04</v>
      </c>
      <c r="G48" s="14"/>
      <c r="H48" s="14"/>
      <c r="I48" s="18"/>
      <c r="J48" s="18"/>
    </row>
    <row r="49" spans="1:10" x14ac:dyDescent="0.25">
      <c r="A49" s="2" t="s">
        <v>52</v>
      </c>
      <c r="B49" s="2"/>
      <c r="C49" s="14"/>
      <c r="D49" s="14"/>
      <c r="E49" s="14"/>
      <c r="F49" s="14"/>
      <c r="G49" s="14"/>
      <c r="H49" s="14"/>
      <c r="I49" s="18"/>
      <c r="J49" s="18"/>
    </row>
    <row r="50" spans="1:10" x14ac:dyDescent="0.25">
      <c r="C50" s="9"/>
      <c r="D50" s="9"/>
      <c r="E50" s="9"/>
      <c r="F50" s="9"/>
      <c r="G50" s="9"/>
      <c r="H50" s="9"/>
      <c r="I50" s="10"/>
      <c r="J50" s="10"/>
    </row>
    <row r="51" spans="1:10" x14ac:dyDescent="0.25">
      <c r="C51" s="9"/>
      <c r="D51" s="9"/>
      <c r="E51" s="9"/>
      <c r="F51" s="9"/>
      <c r="G51" s="9"/>
      <c r="H51" s="9"/>
      <c r="I51" s="10"/>
      <c r="J51" s="10"/>
    </row>
    <row r="52" spans="1:10" x14ac:dyDescent="0.25">
      <c r="C52" s="9"/>
      <c r="D52" s="9"/>
      <c r="E52" s="9"/>
      <c r="F52" s="9"/>
      <c r="G52" s="9"/>
      <c r="H52" s="9"/>
      <c r="I52" s="10"/>
      <c r="J52" s="10"/>
    </row>
    <row r="53" spans="1:10" x14ac:dyDescent="0.25">
      <c r="A53" s="21" t="s">
        <v>53</v>
      </c>
      <c r="B53" s="21"/>
      <c r="C53" s="12" t="s">
        <v>8</v>
      </c>
      <c r="D53" s="12" t="s">
        <v>9</v>
      </c>
      <c r="E53" s="12" t="s">
        <v>10</v>
      </c>
      <c r="F53" s="12" t="s">
        <v>11</v>
      </c>
      <c r="G53" s="12" t="s">
        <v>12</v>
      </c>
      <c r="H53" s="15" t="s">
        <v>13</v>
      </c>
      <c r="I53" s="18"/>
      <c r="J53" s="18"/>
    </row>
    <row r="54" spans="1:10" x14ac:dyDescent="0.25">
      <c r="A54" s="20" t="s">
        <v>54</v>
      </c>
      <c r="B54" s="20"/>
      <c r="C54" s="11">
        <v>632825</v>
      </c>
      <c r="D54" s="11">
        <v>590</v>
      </c>
      <c r="E54" s="11">
        <v>403455</v>
      </c>
      <c r="F54" s="11">
        <v>18450</v>
      </c>
      <c r="G54" s="11">
        <f>SUM(C54:F54)</f>
        <v>1055320</v>
      </c>
      <c r="H54" s="17">
        <f>ROUND(G54/9781,2)</f>
        <v>107.89</v>
      </c>
      <c r="I54" s="10"/>
      <c r="J54" s="10"/>
    </row>
    <row r="55" spans="1:10" x14ac:dyDescent="0.25">
      <c r="A55" s="20" t="s">
        <v>55</v>
      </c>
      <c r="B55" s="20"/>
      <c r="C55" s="11">
        <v>438390</v>
      </c>
      <c r="D55" s="11">
        <v>0</v>
      </c>
      <c r="E55" s="11">
        <v>83184</v>
      </c>
      <c r="F55" s="11">
        <v>38665</v>
      </c>
      <c r="G55" s="11">
        <f>SUM(C55:F55)</f>
        <v>560239</v>
      </c>
      <c r="H55" s="17">
        <f>ROUND(G55/9781,2)</f>
        <v>57.28</v>
      </c>
      <c r="I55" s="10"/>
      <c r="J55" s="10"/>
    </row>
    <row r="56" spans="1:10" x14ac:dyDescent="0.25">
      <c r="A56" s="20" t="s">
        <v>56</v>
      </c>
      <c r="B56" s="20"/>
      <c r="C56" s="11">
        <v>0</v>
      </c>
      <c r="D56" s="11">
        <v>0</v>
      </c>
      <c r="E56" s="11">
        <v>0</v>
      </c>
      <c r="F56" s="11">
        <v>0</v>
      </c>
      <c r="G56" s="11">
        <f>SUM(C56:F56)</f>
        <v>0</v>
      </c>
      <c r="H56" s="17">
        <f>ROUND(G56/9781,2)</f>
        <v>0</v>
      </c>
      <c r="I56" s="10"/>
      <c r="J56" s="10"/>
    </row>
    <row r="57" spans="1:10" x14ac:dyDescent="0.25">
      <c r="C57" s="9"/>
      <c r="D57" s="9"/>
      <c r="E57" s="9"/>
      <c r="F57" s="9"/>
      <c r="G57" s="9"/>
      <c r="H57" s="9"/>
      <c r="I57" s="10"/>
      <c r="J57" s="10"/>
    </row>
    <row r="58" spans="1:10" x14ac:dyDescent="0.25">
      <c r="C58" s="9"/>
      <c r="D58" s="9"/>
      <c r="E58" s="9"/>
      <c r="F58" s="9"/>
      <c r="G58" s="9"/>
      <c r="H58" s="9"/>
      <c r="I58" s="10"/>
      <c r="J58" s="10"/>
    </row>
    <row r="59" spans="1:10" x14ac:dyDescent="0.25">
      <c r="C59" s="9"/>
      <c r="D59" s="9"/>
      <c r="E59" s="9"/>
      <c r="F59" s="9"/>
      <c r="G59" s="9"/>
      <c r="H59" s="9"/>
      <c r="I59" s="10"/>
      <c r="J59" s="10"/>
    </row>
    <row r="60" spans="1:10" x14ac:dyDescent="0.25">
      <c r="C60" s="9"/>
      <c r="D60" s="9"/>
      <c r="E60" s="9"/>
      <c r="F60" s="9"/>
      <c r="G60" s="9"/>
      <c r="H60" s="9"/>
      <c r="I60" s="10"/>
      <c r="J60" s="10"/>
    </row>
    <row r="61" spans="1:10" x14ac:dyDescent="0.25">
      <c r="A61" s="21" t="s">
        <v>57</v>
      </c>
      <c r="B61" s="21"/>
      <c r="C61" s="15" t="s">
        <v>2</v>
      </c>
      <c r="D61" s="15">
        <v>2023</v>
      </c>
      <c r="E61" s="15" t="s">
        <v>59</v>
      </c>
      <c r="F61" s="14"/>
      <c r="G61" s="15" t="s">
        <v>60</v>
      </c>
      <c r="H61" s="15" t="s">
        <v>2</v>
      </c>
      <c r="I61" s="13" t="s">
        <v>61</v>
      </c>
      <c r="J61" s="13" t="s">
        <v>59</v>
      </c>
    </row>
    <row r="62" spans="1:10" x14ac:dyDescent="0.25">
      <c r="A62" s="20" t="s">
        <v>58</v>
      </c>
      <c r="B62" s="20"/>
      <c r="C62" s="16">
        <f>ROUND(0.7024, 4)</f>
        <v>0.70240000000000002</v>
      </c>
      <c r="D62" s="16">
        <f>ROUND(0.7412, 4)</f>
        <v>0.74119999999999997</v>
      </c>
      <c r="E62" s="16">
        <f>ROUND(0.777, 4)</f>
        <v>0.77700000000000002</v>
      </c>
      <c r="F62" s="9"/>
      <c r="G62" s="15" t="s">
        <v>62</v>
      </c>
      <c r="H62" s="22" t="s">
        <v>63</v>
      </c>
      <c r="I62" s="24" t="s">
        <v>64</v>
      </c>
      <c r="J62" s="24" t="s">
        <v>65</v>
      </c>
    </row>
    <row r="63" spans="1:10" x14ac:dyDescent="0.25">
      <c r="A63" s="20" t="s">
        <v>66</v>
      </c>
      <c r="B63" s="20"/>
      <c r="C63" s="16">
        <f>ROUND(0.6693, 4)</f>
        <v>0.66930000000000001</v>
      </c>
      <c r="D63" s="16">
        <f>ROUND(0.7088, 4)</f>
        <v>0.70879999999999999</v>
      </c>
      <c r="E63" s="16">
        <f>ROUND(0.7608, 4)</f>
        <v>0.76080000000000003</v>
      </c>
      <c r="F63" s="9"/>
      <c r="G63" s="15" t="s">
        <v>67</v>
      </c>
      <c r="H63" s="23"/>
      <c r="I63" s="25"/>
      <c r="J63" s="25"/>
    </row>
    <row r="64" spans="1:10" x14ac:dyDescent="0.25">
      <c r="C64" s="9"/>
      <c r="D64" s="9"/>
      <c r="E64" s="9"/>
      <c r="F64" s="9"/>
      <c r="G64" s="9"/>
      <c r="H64" s="9"/>
      <c r="I64" s="10"/>
      <c r="J64" s="10"/>
    </row>
    <row r="65" spans="1:10" x14ac:dyDescent="0.25">
      <c r="C65" s="9"/>
      <c r="D65" s="9"/>
      <c r="E65" s="9"/>
      <c r="F65" s="9"/>
      <c r="G65" s="9"/>
      <c r="H65" s="9"/>
      <c r="I65" s="10"/>
      <c r="J65" s="10"/>
    </row>
    <row r="66" spans="1:10" x14ac:dyDescent="0.25">
      <c r="C66" s="9"/>
      <c r="D66" s="9"/>
      <c r="E66" s="9"/>
      <c r="F66" s="9"/>
      <c r="G66" s="9"/>
      <c r="H66" s="9"/>
      <c r="I66" s="10"/>
      <c r="J66" s="10"/>
    </row>
    <row r="67" spans="1:10" x14ac:dyDescent="0.25">
      <c r="A67" s="21" t="s">
        <v>68</v>
      </c>
      <c r="B67" s="21"/>
      <c r="C67" s="15" t="s">
        <v>2</v>
      </c>
      <c r="D67" s="15" t="s">
        <v>331</v>
      </c>
      <c r="E67" s="15" t="s">
        <v>70</v>
      </c>
      <c r="F67" s="15" t="s">
        <v>71</v>
      </c>
      <c r="G67" s="15" t="s">
        <v>72</v>
      </c>
      <c r="H67" s="14"/>
      <c r="I67" s="18"/>
      <c r="J67" s="18"/>
    </row>
    <row r="68" spans="1:10" x14ac:dyDescent="0.25">
      <c r="A68" s="20" t="s">
        <v>73</v>
      </c>
      <c r="B68" s="20"/>
      <c r="C68" s="17">
        <v>44.84</v>
      </c>
      <c r="D68" s="17">
        <v>107.65</v>
      </c>
      <c r="E68" s="17">
        <v>81.84</v>
      </c>
      <c r="F68" s="17">
        <v>48</v>
      </c>
      <c r="G68" s="17">
        <f>12/4*C68</f>
        <v>134.52000000000001</v>
      </c>
      <c r="H68" s="9"/>
      <c r="I68" s="10"/>
      <c r="J68" s="10"/>
    </row>
    <row r="69" spans="1:10" x14ac:dyDescent="0.25">
      <c r="A69" s="20" t="s">
        <v>74</v>
      </c>
      <c r="B69" s="20"/>
      <c r="C69" s="17">
        <v>24.77</v>
      </c>
      <c r="D69" s="17">
        <v>66.709999999999994</v>
      </c>
      <c r="E69" s="17">
        <v>55.63</v>
      </c>
      <c r="F69" s="17">
        <v>55.33</v>
      </c>
      <c r="G69" s="17">
        <f>12/4*C69</f>
        <v>74.31</v>
      </c>
      <c r="H69" s="9"/>
      <c r="I69" s="10"/>
      <c r="J69" s="10"/>
    </row>
    <row r="70" spans="1:10" x14ac:dyDescent="0.25">
      <c r="A70" s="20" t="s">
        <v>75</v>
      </c>
      <c r="B70" s="20"/>
      <c r="C70" s="17">
        <v>107.89</v>
      </c>
      <c r="D70" s="17">
        <v>322.93</v>
      </c>
      <c r="E70" s="17">
        <v>257.88</v>
      </c>
      <c r="F70" s="17">
        <v>242.78</v>
      </c>
      <c r="G70" s="17">
        <f>12/4*C70</f>
        <v>323.67</v>
      </c>
      <c r="H70" s="9"/>
      <c r="I70" s="10"/>
      <c r="J70" s="10"/>
    </row>
    <row r="71" spans="1:10" x14ac:dyDescent="0.25">
      <c r="A71" s="20" t="s">
        <v>76</v>
      </c>
      <c r="B71" s="20"/>
      <c r="C71" s="17">
        <v>57.28</v>
      </c>
      <c r="D71" s="17">
        <v>136.32</v>
      </c>
      <c r="E71" s="17">
        <v>103.14</v>
      </c>
      <c r="F71" s="17">
        <v>68.31</v>
      </c>
      <c r="G71" s="17">
        <f>12/4*C71</f>
        <v>171.84</v>
      </c>
      <c r="H71" s="9"/>
      <c r="I71" s="10"/>
      <c r="J71" s="10"/>
    </row>
    <row r="72" spans="1:10" x14ac:dyDescent="0.25">
      <c r="C72" s="9"/>
      <c r="D72" s="9"/>
      <c r="E72" s="9"/>
      <c r="F72" s="9"/>
      <c r="G72" s="9"/>
      <c r="H72" s="9"/>
      <c r="I72" s="10"/>
      <c r="J72" s="10"/>
    </row>
    <row r="73" spans="1:10" x14ac:dyDescent="0.25">
      <c r="C73" s="9"/>
      <c r="D73" s="9"/>
      <c r="E73" s="9"/>
      <c r="F73" s="9"/>
      <c r="G73" s="9"/>
      <c r="H73" s="9"/>
      <c r="I73" s="10"/>
      <c r="J73" s="10"/>
    </row>
    <row r="74" spans="1:10" x14ac:dyDescent="0.25">
      <c r="A74" s="19" t="s">
        <v>60</v>
      </c>
      <c r="B74" s="26"/>
      <c r="C74" s="9"/>
      <c r="D74" s="9"/>
      <c r="E74" s="9"/>
      <c r="F74" s="9"/>
      <c r="G74" s="9"/>
      <c r="H74" s="9"/>
      <c r="I74" s="10"/>
      <c r="J74" s="10"/>
    </row>
    <row r="75" spans="1:10" x14ac:dyDescent="0.25">
      <c r="A75" s="3" t="s">
        <v>77</v>
      </c>
      <c r="B75" s="1" t="s">
        <v>332</v>
      </c>
      <c r="C75" s="9"/>
      <c r="D75" s="9"/>
      <c r="E75" s="9"/>
      <c r="F75" s="9"/>
      <c r="G75" s="9"/>
      <c r="H75" s="9"/>
      <c r="I75" s="10"/>
      <c r="J75" s="10"/>
    </row>
    <row r="76" spans="1:10" x14ac:dyDescent="0.25">
      <c r="A76" s="3" t="s">
        <v>70</v>
      </c>
      <c r="B76" s="1" t="s">
        <v>79</v>
      </c>
      <c r="C76" s="9"/>
      <c r="D76" s="9"/>
      <c r="E76" s="9"/>
      <c r="F76" s="9"/>
      <c r="G76" s="9"/>
      <c r="H76" s="9"/>
      <c r="I76" s="10"/>
      <c r="J76" s="10"/>
    </row>
    <row r="77" spans="1:10" x14ac:dyDescent="0.25">
      <c r="A77" s="3" t="s">
        <v>71</v>
      </c>
      <c r="B77" s="1" t="s">
        <v>80</v>
      </c>
    </row>
    <row r="78" spans="1:10" x14ac:dyDescent="0.25">
      <c r="A78" s="3" t="s">
        <v>72</v>
      </c>
      <c r="B78" s="1" t="s">
        <v>81</v>
      </c>
    </row>
  </sheetData>
  <mergeCells count="19">
    <mergeCell ref="A69:B69"/>
    <mergeCell ref="A70:B70"/>
    <mergeCell ref="A71:B71"/>
    <mergeCell ref="A74:B74"/>
    <mergeCell ref="I62:I63"/>
    <mergeCell ref="J62:J63"/>
    <mergeCell ref="A63:B63"/>
    <mergeCell ref="A67:B67"/>
    <mergeCell ref="A68:B68"/>
    <mergeCell ref="A55:B55"/>
    <mergeCell ref="A56:B56"/>
    <mergeCell ref="A61:B61"/>
    <mergeCell ref="A62:B62"/>
    <mergeCell ref="H62:H63"/>
    <mergeCell ref="C7:G7"/>
    <mergeCell ref="A47:B47"/>
    <mergeCell ref="A48:B48"/>
    <mergeCell ref="A53:B53"/>
    <mergeCell ref="A54:B54"/>
  </mergeCell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dimension ref="A2:J76"/>
  <sheetViews>
    <sheetView workbookViewId="0">
      <selection activeCell="C9" sqref="C9:J50"/>
    </sheetView>
  </sheetViews>
  <sheetFormatPr defaultRowHeight="15" x14ac:dyDescent="0.25"/>
  <cols>
    <col min="1" max="1" width="38.85546875" bestFit="1" customWidth="1"/>
    <col min="2" max="2" width="79" bestFit="1" customWidth="1"/>
    <col min="3" max="3" width="14" bestFit="1" customWidth="1"/>
    <col min="4" max="4" width="25.85546875" bestFit="1" customWidth="1"/>
    <col min="5" max="5" width="16.42578125" bestFit="1" customWidth="1"/>
    <col min="6" max="6" width="10.5703125" bestFit="1" customWidth="1"/>
    <col min="7" max="7" width="68.28515625" bestFit="1" customWidth="1"/>
    <col min="8" max="9" width="20" bestFit="1" customWidth="1"/>
    <col min="10" max="10" width="30.5703125" bestFit="1" customWidth="1"/>
  </cols>
  <sheetData>
    <row r="2" spans="1:10" ht="18.75" x14ac:dyDescent="0.3">
      <c r="A2" s="3" t="s">
        <v>0</v>
      </c>
      <c r="B2" s="4" t="s">
        <v>333</v>
      </c>
    </row>
    <row r="3" spans="1:10" x14ac:dyDescent="0.25">
      <c r="A3" s="3" t="s">
        <v>2</v>
      </c>
      <c r="B3" s="1" t="s">
        <v>3</v>
      </c>
    </row>
    <row r="4" spans="1:10" x14ac:dyDescent="0.25">
      <c r="A4" s="3" t="s">
        <v>4</v>
      </c>
      <c r="B4" s="1">
        <v>2084</v>
      </c>
    </row>
    <row r="7" spans="1:10" x14ac:dyDescent="0.25">
      <c r="C7" s="19" t="s">
        <v>5</v>
      </c>
      <c r="D7" s="20"/>
      <c r="E7" s="20"/>
      <c r="F7" s="20"/>
      <c r="G7" s="20"/>
    </row>
    <row r="8" spans="1:10" x14ac:dyDescent="0.25">
      <c r="A8" s="3" t="s">
        <v>6</v>
      </c>
      <c r="B8" s="3" t="s">
        <v>7</v>
      </c>
      <c r="C8" s="3" t="s">
        <v>8</v>
      </c>
      <c r="D8" s="3" t="s">
        <v>9</v>
      </c>
      <c r="E8" s="3" t="s">
        <v>10</v>
      </c>
      <c r="F8" s="3" t="s">
        <v>11</v>
      </c>
      <c r="G8" s="3" t="s">
        <v>12</v>
      </c>
      <c r="H8" s="3" t="s">
        <v>13</v>
      </c>
      <c r="I8" s="3" t="s">
        <v>14</v>
      </c>
      <c r="J8" s="3" t="s">
        <v>15</v>
      </c>
    </row>
    <row r="9" spans="1:10" x14ac:dyDescent="0.25">
      <c r="A9" s="1" t="s">
        <v>16</v>
      </c>
      <c r="B9" s="1" t="s">
        <v>19</v>
      </c>
      <c r="C9" s="11">
        <v>22085</v>
      </c>
      <c r="D9" s="11"/>
      <c r="E9" s="11"/>
      <c r="F9" s="11"/>
      <c r="G9" s="11">
        <f t="shared" ref="G9:G44" si="0">SUM(C9:F9)</f>
        <v>22085</v>
      </c>
      <c r="H9" s="17">
        <f t="shared" ref="H9:H44" si="1">ROUND(G9/2084,2)</f>
        <v>10.6</v>
      </c>
      <c r="I9" s="16">
        <f t="shared" ref="I9:I44" si="2">ROUND(G9/$G$45,3)</f>
        <v>0.08</v>
      </c>
      <c r="J9" s="16">
        <f>ROUND(G9/19420-1,2)</f>
        <v>0.14000000000000001</v>
      </c>
    </row>
    <row r="10" spans="1:10" x14ac:dyDescent="0.25">
      <c r="A10" s="1" t="s">
        <v>16</v>
      </c>
      <c r="B10" s="1" t="s">
        <v>20</v>
      </c>
      <c r="C10" s="11">
        <v>27215</v>
      </c>
      <c r="D10" s="11"/>
      <c r="E10" s="11"/>
      <c r="F10" s="11"/>
      <c r="G10" s="11">
        <f t="shared" si="0"/>
        <v>27215</v>
      </c>
      <c r="H10" s="17">
        <f t="shared" si="1"/>
        <v>13.06</v>
      </c>
      <c r="I10" s="16">
        <f t="shared" si="2"/>
        <v>9.9000000000000005E-2</v>
      </c>
      <c r="J10" s="16">
        <f>ROUND(G10/27985-1,2)</f>
        <v>-0.03</v>
      </c>
    </row>
    <row r="11" spans="1:10" x14ac:dyDescent="0.25">
      <c r="A11" s="1" t="s">
        <v>16</v>
      </c>
      <c r="B11" s="1" t="s">
        <v>94</v>
      </c>
      <c r="C11" s="11"/>
      <c r="D11" s="11"/>
      <c r="E11" s="11">
        <v>49</v>
      </c>
      <c r="F11" s="11"/>
      <c r="G11" s="11">
        <f t="shared" si="0"/>
        <v>49</v>
      </c>
      <c r="H11" s="17">
        <f t="shared" si="1"/>
        <v>0.02</v>
      </c>
      <c r="I11" s="16">
        <f t="shared" si="2"/>
        <v>0</v>
      </c>
      <c r="J11" s="16">
        <f>ROUND(G11/33-1,2)</f>
        <v>0.48</v>
      </c>
    </row>
    <row r="12" spans="1:10" x14ac:dyDescent="0.25">
      <c r="A12" s="1" t="s">
        <v>16</v>
      </c>
      <c r="B12" s="1" t="s">
        <v>21</v>
      </c>
      <c r="C12" s="11"/>
      <c r="D12" s="11"/>
      <c r="E12" s="11">
        <v>106</v>
      </c>
      <c r="F12" s="11"/>
      <c r="G12" s="11">
        <f t="shared" si="0"/>
        <v>106</v>
      </c>
      <c r="H12" s="17">
        <f t="shared" si="1"/>
        <v>0.05</v>
      </c>
      <c r="I12" s="16">
        <f t="shared" si="2"/>
        <v>0</v>
      </c>
      <c r="J12" s="16">
        <f>ROUND(G12/69-1,2)</f>
        <v>0.54</v>
      </c>
    </row>
    <row r="13" spans="1:10" x14ac:dyDescent="0.25">
      <c r="A13" s="1" t="s">
        <v>16</v>
      </c>
      <c r="B13" s="1" t="s">
        <v>22</v>
      </c>
      <c r="C13" s="11"/>
      <c r="D13" s="11"/>
      <c r="E13" s="11">
        <v>900</v>
      </c>
      <c r="F13" s="11"/>
      <c r="G13" s="11">
        <f t="shared" si="0"/>
        <v>900</v>
      </c>
      <c r="H13" s="17">
        <f t="shared" si="1"/>
        <v>0.43</v>
      </c>
      <c r="I13" s="16">
        <f t="shared" si="2"/>
        <v>3.0000000000000001E-3</v>
      </c>
      <c r="J13" s="16">
        <f>ROUND(G13/1060-1,2)</f>
        <v>-0.15</v>
      </c>
    </row>
    <row r="14" spans="1:10" x14ac:dyDescent="0.25">
      <c r="A14" s="1" t="s">
        <v>16</v>
      </c>
      <c r="B14" s="1" t="s">
        <v>23</v>
      </c>
      <c r="C14" s="11"/>
      <c r="D14" s="11"/>
      <c r="E14" s="11">
        <v>30460</v>
      </c>
      <c r="F14" s="11"/>
      <c r="G14" s="11">
        <f t="shared" si="0"/>
        <v>30460</v>
      </c>
      <c r="H14" s="17">
        <f t="shared" si="1"/>
        <v>14.62</v>
      </c>
      <c r="I14" s="16">
        <f t="shared" si="2"/>
        <v>0.11</v>
      </c>
      <c r="J14" s="16">
        <f>ROUND(G14/48960-1,2)</f>
        <v>-0.38</v>
      </c>
    </row>
    <row r="15" spans="1:10" x14ac:dyDescent="0.25">
      <c r="A15" s="1" t="s">
        <v>16</v>
      </c>
      <c r="B15" s="1" t="s">
        <v>24</v>
      </c>
      <c r="C15" s="11">
        <v>26140</v>
      </c>
      <c r="D15" s="11"/>
      <c r="E15" s="11"/>
      <c r="F15" s="11"/>
      <c r="G15" s="11">
        <f t="shared" si="0"/>
        <v>26140</v>
      </c>
      <c r="H15" s="17">
        <f t="shared" si="1"/>
        <v>12.54</v>
      </c>
      <c r="I15" s="16">
        <f t="shared" si="2"/>
        <v>9.5000000000000001E-2</v>
      </c>
      <c r="J15" s="16">
        <f>ROUND(G15/25660-1,2)</f>
        <v>0.02</v>
      </c>
    </row>
    <row r="16" spans="1:10" x14ac:dyDescent="0.25">
      <c r="A16" s="1" t="s">
        <v>16</v>
      </c>
      <c r="B16" s="1" t="s">
        <v>25</v>
      </c>
      <c r="C16" s="11"/>
      <c r="D16" s="11"/>
      <c r="E16" s="11">
        <v>1320</v>
      </c>
      <c r="F16" s="11"/>
      <c r="G16" s="11">
        <f t="shared" si="0"/>
        <v>1320</v>
      </c>
      <c r="H16" s="17">
        <f t="shared" si="1"/>
        <v>0.63</v>
      </c>
      <c r="I16" s="16">
        <f t="shared" si="2"/>
        <v>5.0000000000000001E-3</v>
      </c>
      <c r="J16" s="16">
        <f>ROUND(G16/2640-1,2)</f>
        <v>-0.5</v>
      </c>
    </row>
    <row r="17" spans="1:10" x14ac:dyDescent="0.25">
      <c r="A17" s="1" t="s">
        <v>16</v>
      </c>
      <c r="B17" s="1" t="s">
        <v>26</v>
      </c>
      <c r="C17" s="11">
        <v>40240</v>
      </c>
      <c r="D17" s="11"/>
      <c r="E17" s="11"/>
      <c r="F17" s="11"/>
      <c r="G17" s="11">
        <f t="shared" si="0"/>
        <v>40240</v>
      </c>
      <c r="H17" s="17">
        <f t="shared" si="1"/>
        <v>19.309999999999999</v>
      </c>
      <c r="I17" s="16">
        <f t="shared" si="2"/>
        <v>0.14599999999999999</v>
      </c>
      <c r="J17" s="16">
        <f>ROUND(G17/35320-1,2)</f>
        <v>0.14000000000000001</v>
      </c>
    </row>
    <row r="18" spans="1:10" x14ac:dyDescent="0.25">
      <c r="A18" s="1" t="s">
        <v>16</v>
      </c>
      <c r="B18" s="1" t="s">
        <v>27</v>
      </c>
      <c r="C18" s="11"/>
      <c r="D18" s="11"/>
      <c r="E18" s="11">
        <v>70</v>
      </c>
      <c r="F18" s="11"/>
      <c r="G18" s="11">
        <f t="shared" si="0"/>
        <v>70</v>
      </c>
      <c r="H18" s="17">
        <f t="shared" si="1"/>
        <v>0.03</v>
      </c>
      <c r="I18" s="16">
        <f t="shared" si="2"/>
        <v>0</v>
      </c>
      <c r="J18" s="16"/>
    </row>
    <row r="19" spans="1:10" x14ac:dyDescent="0.25">
      <c r="A19" s="1" t="s">
        <v>16</v>
      </c>
      <c r="B19" s="1" t="s">
        <v>28</v>
      </c>
      <c r="C19" s="11"/>
      <c r="D19" s="11"/>
      <c r="E19" s="11">
        <v>43</v>
      </c>
      <c r="F19" s="11"/>
      <c r="G19" s="11">
        <f t="shared" si="0"/>
        <v>43</v>
      </c>
      <c r="H19" s="17">
        <f t="shared" si="1"/>
        <v>0.02</v>
      </c>
      <c r="I19" s="16">
        <f t="shared" si="2"/>
        <v>0</v>
      </c>
      <c r="J19" s="16"/>
    </row>
    <row r="20" spans="1:10" x14ac:dyDescent="0.25">
      <c r="A20" s="1" t="s">
        <v>16</v>
      </c>
      <c r="B20" s="1" t="s">
        <v>29</v>
      </c>
      <c r="C20" s="11"/>
      <c r="D20" s="11"/>
      <c r="E20" s="11">
        <v>150</v>
      </c>
      <c r="F20" s="11"/>
      <c r="G20" s="11">
        <f t="shared" si="0"/>
        <v>150</v>
      </c>
      <c r="H20" s="17">
        <f t="shared" si="1"/>
        <v>7.0000000000000007E-2</v>
      </c>
      <c r="I20" s="16">
        <f t="shared" si="2"/>
        <v>1E-3</v>
      </c>
      <c r="J20" s="16">
        <f>ROUND(G20/90-1,2)</f>
        <v>0.67</v>
      </c>
    </row>
    <row r="21" spans="1:10" x14ac:dyDescent="0.25">
      <c r="A21" s="1" t="s">
        <v>16</v>
      </c>
      <c r="B21" s="1" t="s">
        <v>31</v>
      </c>
      <c r="C21" s="11"/>
      <c r="D21" s="11"/>
      <c r="E21" s="11">
        <v>830</v>
      </c>
      <c r="F21" s="11"/>
      <c r="G21" s="11">
        <f t="shared" si="0"/>
        <v>830</v>
      </c>
      <c r="H21" s="17">
        <f t="shared" si="1"/>
        <v>0.4</v>
      </c>
      <c r="I21" s="16">
        <f t="shared" si="2"/>
        <v>3.0000000000000001E-3</v>
      </c>
      <c r="J21" s="16">
        <f>ROUND(G21/610-1,2)</f>
        <v>0.36</v>
      </c>
    </row>
    <row r="22" spans="1:10" x14ac:dyDescent="0.25">
      <c r="A22" s="1" t="s">
        <v>16</v>
      </c>
      <c r="B22" s="1" t="s">
        <v>32</v>
      </c>
      <c r="C22" s="11"/>
      <c r="D22" s="11">
        <v>90</v>
      </c>
      <c r="E22" s="11"/>
      <c r="F22" s="11"/>
      <c r="G22" s="11">
        <f t="shared" si="0"/>
        <v>90</v>
      </c>
      <c r="H22" s="17">
        <f t="shared" si="1"/>
        <v>0.04</v>
      </c>
      <c r="I22" s="16">
        <f t="shared" si="2"/>
        <v>0</v>
      </c>
      <c r="J22" s="16">
        <f>ROUND(G22/91-1,2)</f>
        <v>-0.01</v>
      </c>
    </row>
    <row r="23" spans="1:10" x14ac:dyDescent="0.25">
      <c r="A23" s="1" t="s">
        <v>16</v>
      </c>
      <c r="B23" s="1" t="s">
        <v>34</v>
      </c>
      <c r="C23" s="11"/>
      <c r="D23" s="11">
        <v>25</v>
      </c>
      <c r="E23" s="11"/>
      <c r="F23" s="11"/>
      <c r="G23" s="11">
        <f t="shared" si="0"/>
        <v>25</v>
      </c>
      <c r="H23" s="17">
        <f t="shared" si="1"/>
        <v>0.01</v>
      </c>
      <c r="I23" s="16">
        <f t="shared" si="2"/>
        <v>0</v>
      </c>
      <c r="J23" s="16">
        <f>ROUND(G23/130-1,2)</f>
        <v>-0.81</v>
      </c>
    </row>
    <row r="24" spans="1:10" x14ac:dyDescent="0.25">
      <c r="A24" s="1" t="s">
        <v>16</v>
      </c>
      <c r="B24" s="1" t="s">
        <v>35</v>
      </c>
      <c r="C24" s="11"/>
      <c r="D24" s="11"/>
      <c r="E24" s="11">
        <v>19980</v>
      </c>
      <c r="F24" s="11"/>
      <c r="G24" s="11">
        <f t="shared" si="0"/>
        <v>19980</v>
      </c>
      <c r="H24" s="17">
        <f t="shared" si="1"/>
        <v>9.59</v>
      </c>
      <c r="I24" s="16">
        <f t="shared" si="2"/>
        <v>7.1999999999999995E-2</v>
      </c>
      <c r="J24" s="16">
        <f>ROUND(G24/15580-1,2)</f>
        <v>0.28000000000000003</v>
      </c>
    </row>
    <row r="25" spans="1:10" x14ac:dyDescent="0.25">
      <c r="A25" s="1" t="s">
        <v>16</v>
      </c>
      <c r="B25" s="1" t="s">
        <v>36</v>
      </c>
      <c r="C25" s="11"/>
      <c r="D25" s="11"/>
      <c r="E25" s="11">
        <v>1750</v>
      </c>
      <c r="F25" s="11"/>
      <c r="G25" s="11">
        <f t="shared" si="0"/>
        <v>1750</v>
      </c>
      <c r="H25" s="17">
        <f t="shared" si="1"/>
        <v>0.84</v>
      </c>
      <c r="I25" s="16">
        <f t="shared" si="2"/>
        <v>6.0000000000000001E-3</v>
      </c>
      <c r="J25" s="16">
        <f>ROUND(G25/3440-1,2)</f>
        <v>-0.49</v>
      </c>
    </row>
    <row r="26" spans="1:10" x14ac:dyDescent="0.25">
      <c r="A26" s="1" t="s">
        <v>16</v>
      </c>
      <c r="B26" s="1" t="s">
        <v>37</v>
      </c>
      <c r="C26" s="11"/>
      <c r="D26" s="11"/>
      <c r="E26" s="11">
        <v>3930</v>
      </c>
      <c r="F26" s="11"/>
      <c r="G26" s="11">
        <f t="shared" si="0"/>
        <v>3930</v>
      </c>
      <c r="H26" s="17">
        <f t="shared" si="1"/>
        <v>1.89</v>
      </c>
      <c r="I26" s="16">
        <f t="shared" si="2"/>
        <v>1.4E-2</v>
      </c>
      <c r="J26" s="16">
        <f>ROUND(G26/2770-1,2)</f>
        <v>0.42</v>
      </c>
    </row>
    <row r="27" spans="1:10" x14ac:dyDescent="0.25">
      <c r="A27" s="1" t="s">
        <v>16</v>
      </c>
      <c r="B27" s="1" t="s">
        <v>38</v>
      </c>
      <c r="C27" s="11"/>
      <c r="D27" s="11"/>
      <c r="E27" s="11">
        <v>15440</v>
      </c>
      <c r="F27" s="11"/>
      <c r="G27" s="11">
        <f t="shared" si="0"/>
        <v>15440</v>
      </c>
      <c r="H27" s="17">
        <f t="shared" si="1"/>
        <v>7.41</v>
      </c>
      <c r="I27" s="16">
        <f t="shared" si="2"/>
        <v>5.6000000000000001E-2</v>
      </c>
      <c r="J27" s="16">
        <f>ROUND(G27/11210-1,2)</f>
        <v>0.38</v>
      </c>
    </row>
    <row r="28" spans="1:10" x14ac:dyDescent="0.25">
      <c r="A28" s="1" t="s">
        <v>16</v>
      </c>
      <c r="B28" s="1" t="s">
        <v>17</v>
      </c>
      <c r="C28" s="11"/>
      <c r="D28" s="11"/>
      <c r="E28" s="11"/>
      <c r="F28" s="11"/>
      <c r="G28" s="11">
        <f t="shared" si="0"/>
        <v>0</v>
      </c>
      <c r="H28" s="17">
        <f t="shared" si="1"/>
        <v>0</v>
      </c>
      <c r="I28" s="16">
        <f t="shared" si="2"/>
        <v>0</v>
      </c>
      <c r="J28" s="16">
        <f>ROUND(G28/30-1,2)</f>
        <v>-1</v>
      </c>
    </row>
    <row r="29" spans="1:10" x14ac:dyDescent="0.25">
      <c r="A29" s="1" t="s">
        <v>16</v>
      </c>
      <c r="B29" s="1" t="s">
        <v>40</v>
      </c>
      <c r="C29" s="11"/>
      <c r="D29" s="11"/>
      <c r="E29" s="11"/>
      <c r="F29" s="11"/>
      <c r="G29" s="11">
        <f t="shared" si="0"/>
        <v>0</v>
      </c>
      <c r="H29" s="17">
        <f t="shared" si="1"/>
        <v>0</v>
      </c>
      <c r="I29" s="16">
        <f t="shared" si="2"/>
        <v>0</v>
      </c>
      <c r="J29" s="16">
        <f>ROUND(G29/1570-1,2)</f>
        <v>-1</v>
      </c>
    </row>
    <row r="30" spans="1:10" x14ac:dyDescent="0.25">
      <c r="A30" s="1" t="s">
        <v>16</v>
      </c>
      <c r="B30" s="1" t="s">
        <v>41</v>
      </c>
      <c r="C30" s="11"/>
      <c r="D30" s="11"/>
      <c r="E30" s="11"/>
      <c r="F30" s="11"/>
      <c r="G30" s="11">
        <f t="shared" si="0"/>
        <v>0</v>
      </c>
      <c r="H30" s="17">
        <f t="shared" si="1"/>
        <v>0</v>
      </c>
      <c r="I30" s="16">
        <f t="shared" si="2"/>
        <v>0</v>
      </c>
      <c r="J30" s="16">
        <f>ROUND(G30/1570-1,2)</f>
        <v>-1</v>
      </c>
    </row>
    <row r="31" spans="1:10" x14ac:dyDescent="0.25">
      <c r="A31" s="1" t="s">
        <v>16</v>
      </c>
      <c r="B31" s="1" t="s">
        <v>42</v>
      </c>
      <c r="C31" s="11"/>
      <c r="D31" s="11"/>
      <c r="E31" s="11"/>
      <c r="F31" s="11"/>
      <c r="G31" s="11">
        <f t="shared" si="0"/>
        <v>0</v>
      </c>
      <c r="H31" s="17">
        <f t="shared" si="1"/>
        <v>0</v>
      </c>
      <c r="I31" s="16">
        <f t="shared" si="2"/>
        <v>0</v>
      </c>
      <c r="J31" s="16">
        <f>ROUND(G31/800-1,2)</f>
        <v>-1</v>
      </c>
    </row>
    <row r="32" spans="1:10" x14ac:dyDescent="0.25">
      <c r="A32" s="1" t="s">
        <v>16</v>
      </c>
      <c r="B32" s="1" t="s">
        <v>43</v>
      </c>
      <c r="C32" s="11"/>
      <c r="D32" s="11"/>
      <c r="E32" s="11"/>
      <c r="F32" s="11"/>
      <c r="G32" s="11">
        <f t="shared" si="0"/>
        <v>0</v>
      </c>
      <c r="H32" s="17">
        <f t="shared" si="1"/>
        <v>0</v>
      </c>
      <c r="I32" s="16">
        <f t="shared" si="2"/>
        <v>0</v>
      </c>
      <c r="J32" s="16">
        <f>ROUND(G32/1231-1,2)</f>
        <v>-1</v>
      </c>
    </row>
    <row r="33" spans="1:10" x14ac:dyDescent="0.25">
      <c r="A33" s="1" t="s">
        <v>16</v>
      </c>
      <c r="B33" s="1" t="s">
        <v>30</v>
      </c>
      <c r="C33" s="11"/>
      <c r="D33" s="11"/>
      <c r="E33" s="11"/>
      <c r="F33" s="11"/>
      <c r="G33" s="11">
        <f t="shared" si="0"/>
        <v>0</v>
      </c>
      <c r="H33" s="17">
        <f t="shared" si="1"/>
        <v>0</v>
      </c>
      <c r="I33" s="16">
        <f t="shared" si="2"/>
        <v>0</v>
      </c>
      <c r="J33" s="16">
        <f>ROUND(G33/360-1,2)</f>
        <v>-1</v>
      </c>
    </row>
    <row r="34" spans="1:10" x14ac:dyDescent="0.25">
      <c r="A34" s="1" t="s">
        <v>16</v>
      </c>
      <c r="B34" s="1" t="s">
        <v>33</v>
      </c>
      <c r="C34" s="11"/>
      <c r="D34" s="11"/>
      <c r="E34" s="11"/>
      <c r="F34" s="11"/>
      <c r="G34" s="11">
        <f t="shared" si="0"/>
        <v>0</v>
      </c>
      <c r="H34" s="17">
        <f t="shared" si="1"/>
        <v>0</v>
      </c>
      <c r="I34" s="16">
        <f t="shared" si="2"/>
        <v>0</v>
      </c>
      <c r="J34" s="16"/>
    </row>
    <row r="35" spans="1:10" x14ac:dyDescent="0.25">
      <c r="A35" s="1" t="s">
        <v>16</v>
      </c>
      <c r="B35" s="1" t="s">
        <v>225</v>
      </c>
      <c r="C35" s="11"/>
      <c r="D35" s="11"/>
      <c r="E35" s="11"/>
      <c r="F35" s="11"/>
      <c r="G35" s="11">
        <f t="shared" si="0"/>
        <v>0</v>
      </c>
      <c r="H35" s="17">
        <f t="shared" si="1"/>
        <v>0</v>
      </c>
      <c r="I35" s="16">
        <f t="shared" si="2"/>
        <v>0</v>
      </c>
      <c r="J35" s="16"/>
    </row>
    <row r="36" spans="1:10" x14ac:dyDescent="0.25">
      <c r="A36" s="1" t="s">
        <v>16</v>
      </c>
      <c r="B36" s="1" t="s">
        <v>39</v>
      </c>
      <c r="C36" s="11"/>
      <c r="D36" s="11"/>
      <c r="E36" s="11"/>
      <c r="F36" s="11"/>
      <c r="G36" s="11">
        <f t="shared" si="0"/>
        <v>0</v>
      </c>
      <c r="H36" s="17">
        <f t="shared" si="1"/>
        <v>0</v>
      </c>
      <c r="I36" s="16">
        <f t="shared" si="2"/>
        <v>0</v>
      </c>
      <c r="J36" s="16"/>
    </row>
    <row r="37" spans="1:10" x14ac:dyDescent="0.25">
      <c r="A37" s="1" t="s">
        <v>16</v>
      </c>
      <c r="B37" s="1" t="s">
        <v>95</v>
      </c>
      <c r="C37" s="11"/>
      <c r="D37" s="11"/>
      <c r="E37" s="11"/>
      <c r="F37" s="11"/>
      <c r="G37" s="11">
        <f t="shared" si="0"/>
        <v>0</v>
      </c>
      <c r="H37" s="17">
        <f t="shared" si="1"/>
        <v>0</v>
      </c>
      <c r="I37" s="16">
        <f t="shared" si="2"/>
        <v>0</v>
      </c>
      <c r="J37" s="16"/>
    </row>
    <row r="38" spans="1:10" x14ac:dyDescent="0.25">
      <c r="A38" s="1" t="s">
        <v>44</v>
      </c>
      <c r="B38" s="1" t="s">
        <v>45</v>
      </c>
      <c r="C38" s="11">
        <v>73525</v>
      </c>
      <c r="D38" s="11"/>
      <c r="E38" s="11"/>
      <c r="F38" s="11"/>
      <c r="G38" s="11">
        <f t="shared" si="0"/>
        <v>73525</v>
      </c>
      <c r="H38" s="17">
        <f t="shared" si="1"/>
        <v>35.28</v>
      </c>
      <c r="I38" s="16">
        <f t="shared" si="2"/>
        <v>0.26700000000000002</v>
      </c>
      <c r="J38" s="16">
        <f>ROUND(G38/68275-1,2)</f>
        <v>0.08</v>
      </c>
    </row>
    <row r="39" spans="1:10" x14ac:dyDescent="0.25">
      <c r="A39" s="1" t="s">
        <v>44</v>
      </c>
      <c r="B39" s="1" t="s">
        <v>46</v>
      </c>
      <c r="C39" s="11"/>
      <c r="D39" s="11"/>
      <c r="E39" s="11">
        <v>11540</v>
      </c>
      <c r="F39" s="11"/>
      <c r="G39" s="11">
        <f t="shared" si="0"/>
        <v>11540</v>
      </c>
      <c r="H39" s="17">
        <f t="shared" si="1"/>
        <v>5.54</v>
      </c>
      <c r="I39" s="16">
        <f t="shared" si="2"/>
        <v>4.2000000000000003E-2</v>
      </c>
      <c r="J39" s="16">
        <f>ROUND(G39/7160-1,2)</f>
        <v>0.61</v>
      </c>
    </row>
    <row r="40" spans="1:10" x14ac:dyDescent="0.25">
      <c r="A40" s="1" t="s">
        <v>44</v>
      </c>
      <c r="B40" s="1" t="s">
        <v>47</v>
      </c>
      <c r="C40" s="11"/>
      <c r="D40" s="11"/>
      <c r="E40" s="11"/>
      <c r="F40" s="11"/>
      <c r="G40" s="11">
        <f t="shared" si="0"/>
        <v>0</v>
      </c>
      <c r="H40" s="17">
        <f t="shared" si="1"/>
        <v>0</v>
      </c>
      <c r="I40" s="16">
        <f t="shared" si="2"/>
        <v>0</v>
      </c>
      <c r="J40" s="16">
        <f>ROUND(G40/19990-1,2)</f>
        <v>-1</v>
      </c>
    </row>
    <row r="41" spans="1:10" x14ac:dyDescent="0.25">
      <c r="A41" s="1" t="s">
        <v>48</v>
      </c>
      <c r="B41" s="1" t="s">
        <v>49</v>
      </c>
      <c r="C41" s="11"/>
      <c r="D41" s="11"/>
      <c r="E41" s="11"/>
      <c r="F41" s="11"/>
      <c r="G41" s="11">
        <f t="shared" si="0"/>
        <v>0</v>
      </c>
      <c r="H41" s="17">
        <f t="shared" si="1"/>
        <v>0</v>
      </c>
      <c r="I41" s="16">
        <f t="shared" si="2"/>
        <v>0</v>
      </c>
      <c r="J41" s="16"/>
    </row>
    <row r="42" spans="1:10" x14ac:dyDescent="0.25">
      <c r="A42" s="1" t="s">
        <v>48</v>
      </c>
      <c r="B42" s="1" t="s">
        <v>51</v>
      </c>
      <c r="C42" s="11"/>
      <c r="D42" s="11"/>
      <c r="E42" s="11"/>
      <c r="F42" s="11"/>
      <c r="G42" s="11">
        <f t="shared" si="0"/>
        <v>0</v>
      </c>
      <c r="H42" s="17">
        <f t="shared" si="1"/>
        <v>0</v>
      </c>
      <c r="I42" s="16">
        <f t="shared" si="2"/>
        <v>0</v>
      </c>
      <c r="J42" s="16"/>
    </row>
    <row r="43" spans="1:10" x14ac:dyDescent="0.25">
      <c r="A43" s="1" t="s">
        <v>48</v>
      </c>
      <c r="B43" s="1" t="s">
        <v>50</v>
      </c>
      <c r="C43" s="11"/>
      <c r="D43" s="11"/>
      <c r="E43" s="11"/>
      <c r="F43" s="11"/>
      <c r="G43" s="11">
        <f t="shared" si="0"/>
        <v>0</v>
      </c>
      <c r="H43" s="17">
        <f t="shared" si="1"/>
        <v>0</v>
      </c>
      <c r="I43" s="16">
        <f t="shared" si="2"/>
        <v>0</v>
      </c>
      <c r="J43" s="16"/>
    </row>
    <row r="44" spans="1:10" x14ac:dyDescent="0.25">
      <c r="A44" s="1" t="s">
        <v>48</v>
      </c>
      <c r="B44" s="1" t="s">
        <v>86</v>
      </c>
      <c r="C44" s="11"/>
      <c r="D44" s="11"/>
      <c r="E44" s="11"/>
      <c r="F44" s="11"/>
      <c r="G44" s="11">
        <f t="shared" si="0"/>
        <v>0</v>
      </c>
      <c r="H44" s="17">
        <f t="shared" si="1"/>
        <v>0</v>
      </c>
      <c r="I44" s="16">
        <f t="shared" si="2"/>
        <v>0</v>
      </c>
      <c r="J44" s="16"/>
    </row>
    <row r="45" spans="1:10" x14ac:dyDescent="0.25">
      <c r="A45" s="21" t="s">
        <v>12</v>
      </c>
      <c r="B45" s="21"/>
      <c r="C45" s="12">
        <f t="shared" ref="C45:H45" si="3">SUM(C8:C44)</f>
        <v>189205</v>
      </c>
      <c r="D45" s="12">
        <f t="shared" si="3"/>
        <v>115</v>
      </c>
      <c r="E45" s="12">
        <f t="shared" si="3"/>
        <v>86568</v>
      </c>
      <c r="F45" s="12">
        <f t="shared" si="3"/>
        <v>0</v>
      </c>
      <c r="G45" s="12">
        <f t="shared" si="3"/>
        <v>275888</v>
      </c>
      <c r="H45" s="15">
        <f t="shared" si="3"/>
        <v>132.38000000000002</v>
      </c>
      <c r="I45" s="18"/>
      <c r="J45" s="18"/>
    </row>
    <row r="46" spans="1:10" x14ac:dyDescent="0.25">
      <c r="A46" s="21" t="s">
        <v>14</v>
      </c>
      <c r="B46" s="21"/>
      <c r="C46" s="13">
        <f>ROUND(C45/G45,2)</f>
        <v>0.69</v>
      </c>
      <c r="D46" s="13">
        <f>ROUND(D45/G45,2)</f>
        <v>0</v>
      </c>
      <c r="E46" s="13">
        <f>ROUND(E45/G45,2)</f>
        <v>0.31</v>
      </c>
      <c r="F46" s="13">
        <f>ROUND(F45/G45,2)</f>
        <v>0</v>
      </c>
      <c r="G46" s="14"/>
      <c r="H46" s="14"/>
      <c r="I46" s="18"/>
      <c r="J46" s="18"/>
    </row>
    <row r="47" spans="1:10" x14ac:dyDescent="0.25">
      <c r="A47" s="2" t="s">
        <v>52</v>
      </c>
      <c r="B47" s="2"/>
      <c r="C47" s="14"/>
      <c r="D47" s="14"/>
      <c r="E47" s="14"/>
      <c r="F47" s="14"/>
      <c r="G47" s="14"/>
      <c r="H47" s="14"/>
      <c r="I47" s="18"/>
      <c r="J47" s="18"/>
    </row>
    <row r="48" spans="1:10" x14ac:dyDescent="0.25">
      <c r="C48" s="9"/>
      <c r="D48" s="9"/>
      <c r="E48" s="9"/>
      <c r="F48" s="9"/>
      <c r="G48" s="9"/>
      <c r="H48" s="9"/>
      <c r="I48" s="10"/>
      <c r="J48" s="10"/>
    </row>
    <row r="49" spans="1:10" x14ac:dyDescent="0.25">
      <c r="C49" s="9"/>
      <c r="D49" s="9"/>
      <c r="E49" s="9"/>
      <c r="F49" s="9"/>
      <c r="G49" s="9"/>
      <c r="H49" s="9"/>
      <c r="I49" s="10"/>
      <c r="J49" s="10"/>
    </row>
    <row r="50" spans="1:10" x14ac:dyDescent="0.25">
      <c r="C50" s="9"/>
      <c r="D50" s="9"/>
      <c r="E50" s="9"/>
      <c r="F50" s="9"/>
      <c r="G50" s="9"/>
      <c r="H50" s="9"/>
      <c r="I50" s="10"/>
      <c r="J50" s="10"/>
    </row>
    <row r="51" spans="1:10" x14ac:dyDescent="0.25">
      <c r="A51" s="21" t="s">
        <v>53</v>
      </c>
      <c r="B51" s="21"/>
      <c r="C51" s="6" t="s">
        <v>8</v>
      </c>
      <c r="D51" s="6" t="s">
        <v>9</v>
      </c>
      <c r="E51" s="6" t="s">
        <v>10</v>
      </c>
      <c r="F51" s="6" t="s">
        <v>11</v>
      </c>
      <c r="G51" s="6" t="s">
        <v>12</v>
      </c>
      <c r="H51" s="3" t="s">
        <v>13</v>
      </c>
      <c r="I51" s="2"/>
      <c r="J51" s="2"/>
    </row>
    <row r="52" spans="1:10" x14ac:dyDescent="0.25">
      <c r="A52" s="20" t="s">
        <v>54</v>
      </c>
      <c r="B52" s="20"/>
      <c r="C52" s="5">
        <v>115680</v>
      </c>
      <c r="D52" s="5">
        <v>115</v>
      </c>
      <c r="E52" s="5">
        <v>75028</v>
      </c>
      <c r="F52" s="5">
        <v>0</v>
      </c>
      <c r="G52" s="5">
        <f>SUM(C52:F52)</f>
        <v>190823</v>
      </c>
      <c r="H52" s="1">
        <f>ROUND(G52/2084,2)</f>
        <v>91.57</v>
      </c>
    </row>
    <row r="53" spans="1:10" x14ac:dyDescent="0.25">
      <c r="A53" s="20" t="s">
        <v>55</v>
      </c>
      <c r="B53" s="20"/>
      <c r="C53" s="5">
        <v>73525</v>
      </c>
      <c r="D53" s="5">
        <v>0</v>
      </c>
      <c r="E53" s="5">
        <v>11540</v>
      </c>
      <c r="F53" s="5">
        <v>0</v>
      </c>
      <c r="G53" s="5">
        <f>SUM(C53:F53)</f>
        <v>85065</v>
      </c>
      <c r="H53" s="1">
        <f>ROUND(G53/2084,2)</f>
        <v>40.82</v>
      </c>
    </row>
    <row r="54" spans="1:10" x14ac:dyDescent="0.25">
      <c r="A54" s="20" t="s">
        <v>56</v>
      </c>
      <c r="B54" s="20"/>
      <c r="C54" s="5">
        <v>0</v>
      </c>
      <c r="D54" s="5">
        <v>0</v>
      </c>
      <c r="E54" s="5">
        <v>0</v>
      </c>
      <c r="F54" s="5">
        <v>0</v>
      </c>
      <c r="G54" s="5">
        <f>SUM(C54:F54)</f>
        <v>0</v>
      </c>
      <c r="H54" s="1">
        <f>ROUND(G54/2084,2)</f>
        <v>0</v>
      </c>
    </row>
    <row r="59" spans="1:10" x14ac:dyDescent="0.25">
      <c r="A59" s="21" t="s">
        <v>57</v>
      </c>
      <c r="B59" s="21"/>
      <c r="C59" s="3" t="s">
        <v>2</v>
      </c>
      <c r="D59" s="3">
        <v>2023</v>
      </c>
      <c r="E59" s="3" t="s">
        <v>59</v>
      </c>
      <c r="F59" s="2"/>
      <c r="G59" s="3" t="s">
        <v>60</v>
      </c>
      <c r="H59" s="3" t="s">
        <v>2</v>
      </c>
      <c r="I59" s="3" t="s">
        <v>61</v>
      </c>
      <c r="J59" s="3" t="s">
        <v>59</v>
      </c>
    </row>
    <row r="60" spans="1:10" x14ac:dyDescent="0.25">
      <c r="A60" s="20" t="s">
        <v>58</v>
      </c>
      <c r="B60" s="20"/>
      <c r="C60" s="8">
        <f>ROUND(0.6968, 4)</f>
        <v>0.69679999999999997</v>
      </c>
      <c r="D60" s="8">
        <f>ROUND(0.712, 4)</f>
        <v>0.71199999999999997</v>
      </c>
      <c r="E60" s="8">
        <f>ROUND(0.777, 4)</f>
        <v>0.77700000000000002</v>
      </c>
      <c r="G60" s="3" t="s">
        <v>62</v>
      </c>
      <c r="H60" s="27" t="s">
        <v>63</v>
      </c>
      <c r="I60" s="27" t="s">
        <v>64</v>
      </c>
      <c r="J60" s="27" t="s">
        <v>65</v>
      </c>
    </row>
    <row r="61" spans="1:10" x14ac:dyDescent="0.25">
      <c r="A61" s="20" t="s">
        <v>66</v>
      </c>
      <c r="B61" s="20"/>
      <c r="C61" s="8">
        <f>ROUND(0.6852, 4)</f>
        <v>0.68520000000000003</v>
      </c>
      <c r="D61" s="8">
        <f>ROUND(0.7016, 4)</f>
        <v>0.7016</v>
      </c>
      <c r="E61" s="8">
        <f>ROUND(0.7608, 4)</f>
        <v>0.76080000000000003</v>
      </c>
      <c r="G61" s="3" t="s">
        <v>67</v>
      </c>
      <c r="H61" s="20"/>
      <c r="I61" s="20"/>
      <c r="J61" s="20"/>
    </row>
    <row r="65" spans="1:10" x14ac:dyDescent="0.25">
      <c r="A65" s="21" t="s">
        <v>68</v>
      </c>
      <c r="B65" s="21"/>
      <c r="C65" s="3" t="s">
        <v>2</v>
      </c>
      <c r="D65" s="3" t="s">
        <v>334</v>
      </c>
      <c r="E65" s="3" t="s">
        <v>70</v>
      </c>
      <c r="F65" s="3" t="s">
        <v>71</v>
      </c>
      <c r="G65" s="3" t="s">
        <v>72</v>
      </c>
      <c r="H65" s="2"/>
      <c r="I65" s="2"/>
      <c r="J65" s="2"/>
    </row>
    <row r="66" spans="1:10" x14ac:dyDescent="0.25">
      <c r="A66" s="20" t="s">
        <v>73</v>
      </c>
      <c r="B66" s="20"/>
      <c r="C66" s="1">
        <v>35.28</v>
      </c>
      <c r="D66" s="1">
        <v>94.2</v>
      </c>
      <c r="E66" s="1">
        <v>81.84</v>
      </c>
      <c r="F66" s="1">
        <v>48</v>
      </c>
      <c r="G66" s="1">
        <f>12/4*C66</f>
        <v>105.84</v>
      </c>
    </row>
    <row r="67" spans="1:10" x14ac:dyDescent="0.25">
      <c r="A67" s="20" t="s">
        <v>74</v>
      </c>
      <c r="B67" s="20"/>
      <c r="C67" s="1">
        <v>19.309999999999999</v>
      </c>
      <c r="D67" s="1">
        <v>54.12</v>
      </c>
      <c r="E67" s="1">
        <v>55.63</v>
      </c>
      <c r="F67" s="1">
        <v>55.33</v>
      </c>
      <c r="G67" s="1">
        <f>12/4*C67</f>
        <v>57.929999999999993</v>
      </c>
    </row>
    <row r="68" spans="1:10" x14ac:dyDescent="0.25">
      <c r="A68" s="20" t="s">
        <v>75</v>
      </c>
      <c r="B68" s="20"/>
      <c r="C68" s="1">
        <v>91.57</v>
      </c>
      <c r="D68" s="1">
        <v>259.99</v>
      </c>
      <c r="E68" s="1">
        <v>257.88</v>
      </c>
      <c r="F68" s="1">
        <v>242.78</v>
      </c>
      <c r="G68" s="1">
        <f>12/4*C68</f>
        <v>274.70999999999998</v>
      </c>
    </row>
    <row r="69" spans="1:10" x14ac:dyDescent="0.25">
      <c r="A69" s="20" t="s">
        <v>76</v>
      </c>
      <c r="B69" s="20"/>
      <c r="C69" s="1">
        <v>40.82</v>
      </c>
      <c r="D69" s="1">
        <v>107.29</v>
      </c>
      <c r="E69" s="1">
        <v>103.14</v>
      </c>
      <c r="F69" s="1">
        <v>68.31</v>
      </c>
      <c r="G69" s="1">
        <f>12/4*C69</f>
        <v>122.46000000000001</v>
      </c>
    </row>
    <row r="72" spans="1:10" x14ac:dyDescent="0.25">
      <c r="A72" s="19" t="s">
        <v>60</v>
      </c>
      <c r="B72" s="26"/>
    </row>
    <row r="73" spans="1:10" x14ac:dyDescent="0.25">
      <c r="A73" s="3" t="s">
        <v>77</v>
      </c>
      <c r="B73" s="1" t="s">
        <v>335</v>
      </c>
    </row>
    <row r="74" spans="1:10" x14ac:dyDescent="0.25">
      <c r="A74" s="3" t="s">
        <v>70</v>
      </c>
      <c r="B74" s="1" t="s">
        <v>79</v>
      </c>
    </row>
    <row r="75" spans="1:10" x14ac:dyDescent="0.25">
      <c r="A75" s="3" t="s">
        <v>71</v>
      </c>
      <c r="B75" s="1" t="s">
        <v>80</v>
      </c>
    </row>
    <row r="76" spans="1:10" x14ac:dyDescent="0.25">
      <c r="A76" s="3" t="s">
        <v>72</v>
      </c>
      <c r="B76" s="1" t="s">
        <v>81</v>
      </c>
    </row>
  </sheetData>
  <mergeCells count="19">
    <mergeCell ref="A67:B67"/>
    <mergeCell ref="A68:B68"/>
    <mergeCell ref="A69:B69"/>
    <mergeCell ref="A72:B72"/>
    <mergeCell ref="I60:I61"/>
    <mergeCell ref="J60:J61"/>
    <mergeCell ref="A61:B61"/>
    <mergeCell ref="A65:B65"/>
    <mergeCell ref="A66:B66"/>
    <mergeCell ref="A53:B53"/>
    <mergeCell ref="A54:B54"/>
    <mergeCell ref="A59:B59"/>
    <mergeCell ref="A60:B60"/>
    <mergeCell ref="H60:H61"/>
    <mergeCell ref="C7:G7"/>
    <mergeCell ref="A45:B45"/>
    <mergeCell ref="A46:B46"/>
    <mergeCell ref="A51:B51"/>
    <mergeCell ref="A52:B52"/>
  </mergeCells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dimension ref="A2:J68"/>
  <sheetViews>
    <sheetView workbookViewId="0">
      <selection activeCell="C9" sqref="C9:J68"/>
    </sheetView>
  </sheetViews>
  <sheetFormatPr defaultRowHeight="15" x14ac:dyDescent="0.25"/>
  <cols>
    <col min="1" max="1" width="38.85546875" bestFit="1" customWidth="1"/>
    <col min="2" max="2" width="79" bestFit="1" customWidth="1"/>
    <col min="3" max="3" width="14" bestFit="1" customWidth="1"/>
    <col min="4" max="4" width="30.5703125" bestFit="1" customWidth="1"/>
    <col min="5" max="5" width="16.42578125" bestFit="1" customWidth="1"/>
    <col min="6" max="6" width="10.5703125" bestFit="1" customWidth="1"/>
    <col min="7" max="7" width="68.28515625" bestFit="1" customWidth="1"/>
    <col min="8" max="9" width="20" bestFit="1" customWidth="1"/>
    <col min="10" max="10" width="30.5703125" bestFit="1" customWidth="1"/>
  </cols>
  <sheetData>
    <row r="2" spans="1:10" ht="18.75" x14ac:dyDescent="0.3">
      <c r="A2" s="3" t="s">
        <v>0</v>
      </c>
      <c r="B2" s="4" t="s">
        <v>336</v>
      </c>
    </row>
    <row r="3" spans="1:10" x14ac:dyDescent="0.25">
      <c r="A3" s="3" t="s">
        <v>2</v>
      </c>
      <c r="B3" s="1" t="s">
        <v>3</v>
      </c>
    </row>
    <row r="4" spans="1:10" x14ac:dyDescent="0.25">
      <c r="A4" s="3" t="s">
        <v>4</v>
      </c>
      <c r="B4" s="1">
        <v>1715</v>
      </c>
    </row>
    <row r="7" spans="1:10" x14ac:dyDescent="0.25">
      <c r="C7" s="19" t="s">
        <v>5</v>
      </c>
      <c r="D7" s="20"/>
      <c r="E7" s="20"/>
      <c r="F7" s="20"/>
      <c r="G7" s="20"/>
    </row>
    <row r="8" spans="1:10" x14ac:dyDescent="0.25">
      <c r="A8" s="3" t="s">
        <v>6</v>
      </c>
      <c r="B8" s="3" t="s">
        <v>7</v>
      </c>
      <c r="C8" s="3" t="s">
        <v>8</v>
      </c>
      <c r="D8" s="3" t="s">
        <v>9</v>
      </c>
      <c r="E8" s="3" t="s">
        <v>10</v>
      </c>
      <c r="F8" s="3" t="s">
        <v>11</v>
      </c>
      <c r="G8" s="3" t="s">
        <v>12</v>
      </c>
      <c r="H8" s="3" t="s">
        <v>13</v>
      </c>
      <c r="I8" s="3" t="s">
        <v>14</v>
      </c>
      <c r="J8" s="3" t="s">
        <v>15</v>
      </c>
    </row>
    <row r="9" spans="1:10" x14ac:dyDescent="0.25">
      <c r="A9" s="1" t="s">
        <v>16</v>
      </c>
      <c r="B9" s="1" t="s">
        <v>19</v>
      </c>
      <c r="C9" s="11">
        <v>13690</v>
      </c>
      <c r="D9" s="11"/>
      <c r="E9" s="11"/>
      <c r="F9" s="11"/>
      <c r="G9" s="11">
        <f t="shared" ref="G9:G18" si="0">SUM(C9:F9)</f>
        <v>13690</v>
      </c>
      <c r="H9" s="17">
        <f t="shared" ref="H9:H18" si="1">ROUND(G9/1715,2)</f>
        <v>7.98</v>
      </c>
      <c r="I9" s="16">
        <f t="shared" ref="I9:I18" si="2">ROUND(G9/$G$19,3)</f>
        <v>0.106</v>
      </c>
      <c r="J9" s="16">
        <f>ROUND(G9/13690-1,2)</f>
        <v>0</v>
      </c>
    </row>
    <row r="10" spans="1:10" x14ac:dyDescent="0.25">
      <c r="A10" s="1" t="s">
        <v>16</v>
      </c>
      <c r="B10" s="1" t="s">
        <v>20</v>
      </c>
      <c r="C10" s="11">
        <v>17990</v>
      </c>
      <c r="D10" s="11"/>
      <c r="E10" s="11"/>
      <c r="F10" s="11"/>
      <c r="G10" s="11">
        <f t="shared" si="0"/>
        <v>17990</v>
      </c>
      <c r="H10" s="17">
        <f t="shared" si="1"/>
        <v>10.49</v>
      </c>
      <c r="I10" s="16">
        <f t="shared" si="2"/>
        <v>0.13900000000000001</v>
      </c>
      <c r="J10" s="16">
        <f>ROUND(G10/17420-1,2)</f>
        <v>0.03</v>
      </c>
    </row>
    <row r="11" spans="1:10" x14ac:dyDescent="0.25">
      <c r="A11" s="1" t="s">
        <v>16</v>
      </c>
      <c r="B11" s="1" t="s">
        <v>24</v>
      </c>
      <c r="C11" s="11">
        <v>17460</v>
      </c>
      <c r="D11" s="11"/>
      <c r="E11" s="11"/>
      <c r="F11" s="11"/>
      <c r="G11" s="11">
        <f t="shared" si="0"/>
        <v>17460</v>
      </c>
      <c r="H11" s="17">
        <f t="shared" si="1"/>
        <v>10.18</v>
      </c>
      <c r="I11" s="16">
        <f t="shared" si="2"/>
        <v>0.13500000000000001</v>
      </c>
      <c r="J11" s="16">
        <f>ROUND(G11/16800-1,2)</f>
        <v>0.04</v>
      </c>
    </row>
    <row r="12" spans="1:10" x14ac:dyDescent="0.25">
      <c r="A12" s="1" t="s">
        <v>16</v>
      </c>
      <c r="B12" s="1" t="s">
        <v>26</v>
      </c>
      <c r="C12" s="11">
        <v>35960</v>
      </c>
      <c r="D12" s="11"/>
      <c r="E12" s="11"/>
      <c r="F12" s="11"/>
      <c r="G12" s="11">
        <f t="shared" si="0"/>
        <v>35960</v>
      </c>
      <c r="H12" s="17">
        <f t="shared" si="1"/>
        <v>20.97</v>
      </c>
      <c r="I12" s="16">
        <f t="shared" si="2"/>
        <v>0.27800000000000002</v>
      </c>
      <c r="J12" s="16">
        <f>ROUND(G12/40580-1,2)</f>
        <v>-0.11</v>
      </c>
    </row>
    <row r="13" spans="1:10" x14ac:dyDescent="0.25">
      <c r="A13" s="1" t="s">
        <v>16</v>
      </c>
      <c r="B13" s="1" t="s">
        <v>32</v>
      </c>
      <c r="C13" s="11"/>
      <c r="D13" s="11">
        <v>60</v>
      </c>
      <c r="E13" s="11"/>
      <c r="F13" s="11"/>
      <c r="G13" s="11">
        <f t="shared" si="0"/>
        <v>60</v>
      </c>
      <c r="H13" s="17">
        <f t="shared" si="1"/>
        <v>0.03</v>
      </c>
      <c r="I13" s="16">
        <f t="shared" si="2"/>
        <v>0</v>
      </c>
      <c r="J13" s="16">
        <f>ROUND(G13/43-1,2)</f>
        <v>0.4</v>
      </c>
    </row>
    <row r="14" spans="1:10" x14ac:dyDescent="0.25">
      <c r="A14" s="1" t="s">
        <v>16</v>
      </c>
      <c r="B14" s="1" t="s">
        <v>34</v>
      </c>
      <c r="C14" s="11"/>
      <c r="D14" s="11">
        <v>50</v>
      </c>
      <c r="E14" s="11"/>
      <c r="F14" s="11"/>
      <c r="G14" s="11">
        <f t="shared" si="0"/>
        <v>50</v>
      </c>
      <c r="H14" s="17">
        <f t="shared" si="1"/>
        <v>0.03</v>
      </c>
      <c r="I14" s="16">
        <f t="shared" si="2"/>
        <v>0</v>
      </c>
      <c r="J14" s="16">
        <f>ROUND(G14/105-1,2)</f>
        <v>-0.52</v>
      </c>
    </row>
    <row r="15" spans="1:10" x14ac:dyDescent="0.25">
      <c r="A15" s="1" t="s">
        <v>16</v>
      </c>
      <c r="B15" s="1" t="s">
        <v>23</v>
      </c>
      <c r="C15" s="11"/>
      <c r="D15" s="11"/>
      <c r="E15" s="11"/>
      <c r="F15" s="11"/>
      <c r="G15" s="11">
        <f t="shared" si="0"/>
        <v>0</v>
      </c>
      <c r="H15" s="17">
        <f t="shared" si="1"/>
        <v>0</v>
      </c>
      <c r="I15" s="16">
        <f t="shared" si="2"/>
        <v>0</v>
      </c>
      <c r="J15" s="16"/>
    </row>
    <row r="16" spans="1:10" x14ac:dyDescent="0.25">
      <c r="A16" s="1" t="s">
        <v>44</v>
      </c>
      <c r="B16" s="1" t="s">
        <v>45</v>
      </c>
      <c r="C16" s="11">
        <v>44160</v>
      </c>
      <c r="D16" s="11"/>
      <c r="E16" s="11"/>
      <c r="F16" s="11"/>
      <c r="G16" s="11">
        <f t="shared" si="0"/>
        <v>44160</v>
      </c>
      <c r="H16" s="17">
        <f t="shared" si="1"/>
        <v>25.75</v>
      </c>
      <c r="I16" s="16">
        <f t="shared" si="2"/>
        <v>0.34100000000000003</v>
      </c>
      <c r="J16" s="16">
        <f>ROUND(G16/40480-1,2)</f>
        <v>0.09</v>
      </c>
    </row>
    <row r="17" spans="1:10" x14ac:dyDescent="0.25">
      <c r="A17" s="1" t="s">
        <v>44</v>
      </c>
      <c r="B17" s="1" t="s">
        <v>47</v>
      </c>
      <c r="C17" s="11"/>
      <c r="D17" s="11"/>
      <c r="E17" s="11"/>
      <c r="F17" s="11"/>
      <c r="G17" s="11">
        <f t="shared" si="0"/>
        <v>0</v>
      </c>
      <c r="H17" s="17">
        <f t="shared" si="1"/>
        <v>0</v>
      </c>
      <c r="I17" s="16">
        <f t="shared" si="2"/>
        <v>0</v>
      </c>
      <c r="J17" s="16"/>
    </row>
    <row r="18" spans="1:10" x14ac:dyDescent="0.25">
      <c r="A18" s="1" t="s">
        <v>48</v>
      </c>
      <c r="B18" s="1" t="s">
        <v>51</v>
      </c>
      <c r="C18" s="11"/>
      <c r="D18" s="11"/>
      <c r="E18" s="11"/>
      <c r="F18" s="11"/>
      <c r="G18" s="11">
        <f t="shared" si="0"/>
        <v>0</v>
      </c>
      <c r="H18" s="17">
        <f t="shared" si="1"/>
        <v>0</v>
      </c>
      <c r="I18" s="16">
        <f t="shared" si="2"/>
        <v>0</v>
      </c>
      <c r="J18" s="16"/>
    </row>
    <row r="19" spans="1:10" x14ac:dyDescent="0.25">
      <c r="A19" s="21" t="s">
        <v>12</v>
      </c>
      <c r="B19" s="21"/>
      <c r="C19" s="12">
        <f t="shared" ref="C19:H19" si="3">SUM(C8:C18)</f>
        <v>129260</v>
      </c>
      <c r="D19" s="12">
        <f t="shared" si="3"/>
        <v>110</v>
      </c>
      <c r="E19" s="12">
        <f t="shared" si="3"/>
        <v>0</v>
      </c>
      <c r="F19" s="12">
        <f t="shared" si="3"/>
        <v>0</v>
      </c>
      <c r="G19" s="12">
        <f t="shared" si="3"/>
        <v>129370</v>
      </c>
      <c r="H19" s="15">
        <f t="shared" si="3"/>
        <v>75.430000000000007</v>
      </c>
      <c r="I19" s="18"/>
      <c r="J19" s="18"/>
    </row>
    <row r="20" spans="1:10" x14ac:dyDescent="0.25">
      <c r="A20" s="21" t="s">
        <v>14</v>
      </c>
      <c r="B20" s="21"/>
      <c r="C20" s="13">
        <f>ROUND(C19/G19,2)</f>
        <v>1</v>
      </c>
      <c r="D20" s="13">
        <f>ROUND(D19/G19,2)</f>
        <v>0</v>
      </c>
      <c r="E20" s="13">
        <f>ROUND(E19/G19,2)</f>
        <v>0</v>
      </c>
      <c r="F20" s="13">
        <f>ROUND(F19/G19,2)</f>
        <v>0</v>
      </c>
      <c r="G20" s="14"/>
      <c r="H20" s="14"/>
      <c r="I20" s="18"/>
      <c r="J20" s="18"/>
    </row>
    <row r="21" spans="1:10" x14ac:dyDescent="0.25">
      <c r="A21" s="2" t="s">
        <v>52</v>
      </c>
      <c r="B21" s="2"/>
      <c r="C21" s="14"/>
      <c r="D21" s="14"/>
      <c r="E21" s="14"/>
      <c r="F21" s="14"/>
      <c r="G21" s="14"/>
      <c r="H21" s="14"/>
      <c r="I21" s="18"/>
      <c r="J21" s="18"/>
    </row>
    <row r="22" spans="1:10" x14ac:dyDescent="0.25">
      <c r="C22" s="9"/>
      <c r="D22" s="9"/>
      <c r="E22" s="9"/>
      <c r="F22" s="9"/>
      <c r="G22" s="9"/>
      <c r="H22" s="9"/>
      <c r="I22" s="10"/>
      <c r="J22" s="10"/>
    </row>
    <row r="23" spans="1:10" x14ac:dyDescent="0.25">
      <c r="C23" s="9"/>
      <c r="D23" s="9"/>
      <c r="E23" s="9"/>
      <c r="F23" s="9"/>
      <c r="G23" s="9"/>
      <c r="H23" s="9"/>
      <c r="I23" s="10"/>
      <c r="J23" s="10"/>
    </row>
    <row r="24" spans="1:10" x14ac:dyDescent="0.25">
      <c r="C24" s="9"/>
      <c r="D24" s="9"/>
      <c r="E24" s="9"/>
      <c r="F24" s="9"/>
      <c r="G24" s="9"/>
      <c r="H24" s="9"/>
      <c r="I24" s="10"/>
      <c r="J24" s="10"/>
    </row>
    <row r="25" spans="1:10" x14ac:dyDescent="0.25">
      <c r="A25" s="21" t="s">
        <v>53</v>
      </c>
      <c r="B25" s="21"/>
      <c r="C25" s="12" t="s">
        <v>8</v>
      </c>
      <c r="D25" s="12" t="s">
        <v>9</v>
      </c>
      <c r="E25" s="12" t="s">
        <v>10</v>
      </c>
      <c r="F25" s="12" t="s">
        <v>11</v>
      </c>
      <c r="G25" s="12" t="s">
        <v>12</v>
      </c>
      <c r="H25" s="15" t="s">
        <v>13</v>
      </c>
      <c r="I25" s="18"/>
      <c r="J25" s="18"/>
    </row>
    <row r="26" spans="1:10" x14ac:dyDescent="0.25">
      <c r="A26" s="20" t="s">
        <v>54</v>
      </c>
      <c r="B26" s="20"/>
      <c r="C26" s="11">
        <v>85100</v>
      </c>
      <c r="D26" s="11">
        <v>110</v>
      </c>
      <c r="E26" s="11">
        <v>0</v>
      </c>
      <c r="F26" s="11">
        <v>0</v>
      </c>
      <c r="G26" s="11">
        <f>SUM(C26:F26)</f>
        <v>85210</v>
      </c>
      <c r="H26" s="17">
        <f>ROUND(G26/1715,2)</f>
        <v>49.69</v>
      </c>
      <c r="I26" s="10"/>
      <c r="J26" s="10"/>
    </row>
    <row r="27" spans="1:10" x14ac:dyDescent="0.25">
      <c r="A27" s="20" t="s">
        <v>55</v>
      </c>
      <c r="B27" s="20"/>
      <c r="C27" s="11">
        <v>44160</v>
      </c>
      <c r="D27" s="11">
        <v>0</v>
      </c>
      <c r="E27" s="11">
        <v>0</v>
      </c>
      <c r="F27" s="11">
        <v>0</v>
      </c>
      <c r="G27" s="11">
        <f>SUM(C27:F27)</f>
        <v>44160</v>
      </c>
      <c r="H27" s="17">
        <f>ROUND(G27/1715,2)</f>
        <v>25.75</v>
      </c>
      <c r="I27" s="10"/>
      <c r="J27" s="10"/>
    </row>
    <row r="28" spans="1:10" x14ac:dyDescent="0.25">
      <c r="A28" s="20" t="s">
        <v>56</v>
      </c>
      <c r="B28" s="20"/>
      <c r="C28" s="11">
        <v>0</v>
      </c>
      <c r="D28" s="11">
        <v>0</v>
      </c>
      <c r="E28" s="11">
        <v>0</v>
      </c>
      <c r="F28" s="11">
        <v>0</v>
      </c>
      <c r="G28" s="11">
        <f>SUM(C28:F28)</f>
        <v>0</v>
      </c>
      <c r="H28" s="17">
        <f>ROUND(G28/1715,2)</f>
        <v>0</v>
      </c>
      <c r="I28" s="10"/>
      <c r="J28" s="10"/>
    </row>
    <row r="29" spans="1:10" x14ac:dyDescent="0.25">
      <c r="C29" s="9"/>
      <c r="D29" s="9"/>
      <c r="E29" s="9"/>
      <c r="F29" s="9"/>
      <c r="G29" s="9"/>
      <c r="H29" s="9"/>
      <c r="I29" s="10"/>
      <c r="J29" s="10"/>
    </row>
    <row r="30" spans="1:10" x14ac:dyDescent="0.25">
      <c r="C30" s="9"/>
      <c r="D30" s="9"/>
      <c r="E30" s="9"/>
      <c r="F30" s="9"/>
      <c r="G30" s="9"/>
      <c r="H30" s="9"/>
      <c r="I30" s="10"/>
      <c r="J30" s="10"/>
    </row>
    <row r="31" spans="1:10" x14ac:dyDescent="0.25">
      <c r="C31" s="9"/>
      <c r="D31" s="9"/>
      <c r="E31" s="9"/>
      <c r="F31" s="9"/>
      <c r="G31" s="9"/>
      <c r="H31" s="9"/>
      <c r="I31" s="10"/>
      <c r="J31" s="10"/>
    </row>
    <row r="32" spans="1:10" x14ac:dyDescent="0.25">
      <c r="C32" s="9"/>
      <c r="D32" s="9"/>
      <c r="E32" s="9"/>
      <c r="F32" s="9"/>
      <c r="G32" s="9"/>
      <c r="H32" s="9"/>
      <c r="I32" s="10"/>
      <c r="J32" s="10"/>
    </row>
    <row r="33" spans="1:10" x14ac:dyDescent="0.25">
      <c r="A33" s="21" t="s">
        <v>57</v>
      </c>
      <c r="B33" s="21"/>
      <c r="C33" s="15" t="s">
        <v>2</v>
      </c>
      <c r="D33" s="15">
        <v>2023</v>
      </c>
      <c r="E33" s="15" t="s">
        <v>59</v>
      </c>
      <c r="F33" s="14"/>
      <c r="G33" s="15" t="s">
        <v>60</v>
      </c>
      <c r="H33" s="15" t="s">
        <v>2</v>
      </c>
      <c r="I33" s="13" t="s">
        <v>61</v>
      </c>
      <c r="J33" s="13" t="s">
        <v>59</v>
      </c>
    </row>
    <row r="34" spans="1:10" x14ac:dyDescent="0.25">
      <c r="A34" s="20" t="s">
        <v>58</v>
      </c>
      <c r="B34" s="20"/>
      <c r="C34" s="16">
        <f>ROUND(0.6587, 4)</f>
        <v>0.65869999999999995</v>
      </c>
      <c r="D34" s="16">
        <f>ROUND(0.6864, 4)</f>
        <v>0.68640000000000001</v>
      </c>
      <c r="E34" s="16">
        <f>ROUND(0.777, 4)</f>
        <v>0.77700000000000002</v>
      </c>
      <c r="F34" s="9"/>
      <c r="G34" s="15" t="s">
        <v>62</v>
      </c>
      <c r="H34" s="22" t="s">
        <v>63</v>
      </c>
      <c r="I34" s="24" t="s">
        <v>64</v>
      </c>
      <c r="J34" s="24" t="s">
        <v>65</v>
      </c>
    </row>
    <row r="35" spans="1:10" x14ac:dyDescent="0.25">
      <c r="A35" s="20" t="s">
        <v>66</v>
      </c>
      <c r="B35" s="20"/>
      <c r="C35" s="16">
        <f>ROUND(0.6451, 4)</f>
        <v>0.64510000000000001</v>
      </c>
      <c r="D35" s="16">
        <f>ROUND(0.673, 4)</f>
        <v>0.67300000000000004</v>
      </c>
      <c r="E35" s="16">
        <f>ROUND(0.7608, 4)</f>
        <v>0.76080000000000003</v>
      </c>
      <c r="F35" s="9"/>
      <c r="G35" s="15" t="s">
        <v>67</v>
      </c>
      <c r="H35" s="23"/>
      <c r="I35" s="25"/>
      <c r="J35" s="25"/>
    </row>
    <row r="36" spans="1:10" x14ac:dyDescent="0.25">
      <c r="C36" s="9"/>
      <c r="D36" s="9"/>
      <c r="E36" s="9"/>
      <c r="F36" s="9"/>
      <c r="G36" s="9"/>
      <c r="H36" s="9"/>
      <c r="I36" s="10"/>
      <c r="J36" s="10"/>
    </row>
    <row r="37" spans="1:10" x14ac:dyDescent="0.25">
      <c r="C37" s="9"/>
      <c r="D37" s="9"/>
      <c r="E37" s="9"/>
      <c r="F37" s="9"/>
      <c r="G37" s="9"/>
      <c r="H37" s="9"/>
      <c r="I37" s="10"/>
      <c r="J37" s="10"/>
    </row>
    <row r="38" spans="1:10" x14ac:dyDescent="0.25">
      <c r="C38" s="9"/>
      <c r="D38" s="9"/>
      <c r="E38" s="9"/>
      <c r="F38" s="9"/>
      <c r="G38" s="9"/>
      <c r="H38" s="9"/>
      <c r="I38" s="10"/>
      <c r="J38" s="10"/>
    </row>
    <row r="39" spans="1:10" x14ac:dyDescent="0.25">
      <c r="A39" s="21" t="s">
        <v>68</v>
      </c>
      <c r="B39" s="21"/>
      <c r="C39" s="15" t="s">
        <v>2</v>
      </c>
      <c r="D39" s="15" t="s">
        <v>337</v>
      </c>
      <c r="E39" s="15" t="s">
        <v>70</v>
      </c>
      <c r="F39" s="15" t="s">
        <v>71</v>
      </c>
      <c r="G39" s="15" t="s">
        <v>72</v>
      </c>
      <c r="H39" s="14"/>
      <c r="I39" s="18"/>
      <c r="J39" s="18"/>
    </row>
    <row r="40" spans="1:10" x14ac:dyDescent="0.25">
      <c r="A40" s="20" t="s">
        <v>73</v>
      </c>
      <c r="B40" s="20"/>
      <c r="C40" s="17">
        <v>25.75</v>
      </c>
      <c r="D40" s="17">
        <v>64.92</v>
      </c>
      <c r="E40" s="17">
        <v>81.84</v>
      </c>
      <c r="F40" s="17">
        <v>48</v>
      </c>
      <c r="G40" s="17">
        <f>12/4*C40</f>
        <v>77.25</v>
      </c>
      <c r="H40" s="9"/>
      <c r="I40" s="10"/>
      <c r="J40" s="10"/>
    </row>
    <row r="41" spans="1:10" x14ac:dyDescent="0.25">
      <c r="A41" s="20" t="s">
        <v>74</v>
      </c>
      <c r="B41" s="20"/>
      <c r="C41" s="17">
        <v>20.97</v>
      </c>
      <c r="D41" s="17">
        <v>66.319999999999993</v>
      </c>
      <c r="E41" s="17">
        <v>55.63</v>
      </c>
      <c r="F41" s="17">
        <v>55.33</v>
      </c>
      <c r="G41" s="17">
        <f>12/4*C41</f>
        <v>62.91</v>
      </c>
      <c r="H41" s="9"/>
      <c r="I41" s="10"/>
      <c r="J41" s="10"/>
    </row>
    <row r="42" spans="1:10" x14ac:dyDescent="0.25">
      <c r="A42" s="20" t="s">
        <v>75</v>
      </c>
      <c r="B42" s="20"/>
      <c r="C42" s="17">
        <v>49.69</v>
      </c>
      <c r="D42" s="17">
        <v>154.91999999999999</v>
      </c>
      <c r="E42" s="17">
        <v>257.88</v>
      </c>
      <c r="F42" s="17">
        <v>242.78</v>
      </c>
      <c r="G42" s="17">
        <f>12/4*C42</f>
        <v>149.07</v>
      </c>
      <c r="H42" s="9"/>
      <c r="I42" s="10"/>
      <c r="J42" s="10"/>
    </row>
    <row r="43" spans="1:10" x14ac:dyDescent="0.25">
      <c r="A43" s="20" t="s">
        <v>76</v>
      </c>
      <c r="B43" s="20"/>
      <c r="C43" s="17">
        <v>25.75</v>
      </c>
      <c r="D43" s="17">
        <v>72.849999999999994</v>
      </c>
      <c r="E43" s="17">
        <v>103.14</v>
      </c>
      <c r="F43" s="17">
        <v>68.31</v>
      </c>
      <c r="G43" s="17">
        <f>12/4*C43</f>
        <v>77.25</v>
      </c>
      <c r="H43" s="9"/>
      <c r="I43" s="10"/>
      <c r="J43" s="10"/>
    </row>
    <row r="44" spans="1:10" x14ac:dyDescent="0.25">
      <c r="C44" s="9"/>
      <c r="D44" s="9"/>
      <c r="E44" s="9"/>
      <c r="F44" s="9"/>
      <c r="G44" s="9"/>
      <c r="H44" s="9"/>
      <c r="I44" s="10"/>
      <c r="J44" s="10"/>
    </row>
    <row r="45" spans="1:10" x14ac:dyDescent="0.25">
      <c r="C45" s="9"/>
      <c r="D45" s="9"/>
      <c r="E45" s="9"/>
      <c r="F45" s="9"/>
      <c r="G45" s="9"/>
      <c r="H45" s="9"/>
      <c r="I45" s="10"/>
      <c r="J45" s="10"/>
    </row>
    <row r="46" spans="1:10" x14ac:dyDescent="0.25">
      <c r="A46" s="19" t="s">
        <v>60</v>
      </c>
      <c r="B46" s="26"/>
      <c r="C46" s="9"/>
      <c r="D46" s="9"/>
      <c r="E46" s="9"/>
      <c r="F46" s="9"/>
      <c r="G46" s="9"/>
      <c r="H46" s="9"/>
      <c r="I46" s="10"/>
      <c r="J46" s="10"/>
    </row>
    <row r="47" spans="1:10" x14ac:dyDescent="0.25">
      <c r="A47" s="3" t="s">
        <v>77</v>
      </c>
      <c r="B47" s="1" t="s">
        <v>338</v>
      </c>
      <c r="C47" s="9"/>
      <c r="D47" s="9"/>
      <c r="E47" s="9"/>
      <c r="F47" s="9"/>
      <c r="G47" s="9"/>
      <c r="H47" s="9"/>
      <c r="I47" s="10"/>
      <c r="J47" s="10"/>
    </row>
    <row r="48" spans="1:10" x14ac:dyDescent="0.25">
      <c r="A48" s="3" t="s">
        <v>70</v>
      </c>
      <c r="B48" s="1" t="s">
        <v>79</v>
      </c>
      <c r="C48" s="9"/>
      <c r="D48" s="9"/>
      <c r="E48" s="9"/>
      <c r="F48" s="9"/>
      <c r="G48" s="9"/>
      <c r="H48" s="9"/>
      <c r="I48" s="10"/>
      <c r="J48" s="10"/>
    </row>
    <row r="49" spans="1:10" x14ac:dyDescent="0.25">
      <c r="A49" s="3" t="s">
        <v>71</v>
      </c>
      <c r="B49" s="1" t="s">
        <v>80</v>
      </c>
      <c r="C49" s="9"/>
      <c r="D49" s="9"/>
      <c r="E49" s="9"/>
      <c r="F49" s="9"/>
      <c r="G49" s="9"/>
      <c r="H49" s="9"/>
      <c r="I49" s="10"/>
      <c r="J49" s="10"/>
    </row>
    <row r="50" spans="1:10" x14ac:dyDescent="0.25">
      <c r="A50" s="3" t="s">
        <v>72</v>
      </c>
      <c r="B50" s="1" t="s">
        <v>81</v>
      </c>
      <c r="C50" s="9"/>
      <c r="D50" s="9"/>
      <c r="E50" s="9"/>
      <c r="F50" s="9"/>
      <c r="G50" s="9"/>
      <c r="H50" s="9"/>
      <c r="I50" s="10"/>
      <c r="J50" s="10"/>
    </row>
    <row r="51" spans="1:10" x14ac:dyDescent="0.25">
      <c r="C51" s="9"/>
      <c r="D51" s="9"/>
      <c r="E51" s="9"/>
      <c r="F51" s="9"/>
      <c r="G51" s="9"/>
      <c r="H51" s="9"/>
      <c r="I51" s="10"/>
      <c r="J51" s="10"/>
    </row>
    <row r="52" spans="1:10" x14ac:dyDescent="0.25">
      <c r="C52" s="9"/>
      <c r="D52" s="9"/>
      <c r="E52" s="9"/>
      <c r="F52" s="9"/>
      <c r="G52" s="9"/>
      <c r="H52" s="9"/>
      <c r="I52" s="10"/>
      <c r="J52" s="10"/>
    </row>
    <row r="53" spans="1:10" x14ac:dyDescent="0.25">
      <c r="C53" s="9"/>
      <c r="D53" s="9"/>
      <c r="E53" s="9"/>
      <c r="F53" s="9"/>
      <c r="G53" s="9"/>
      <c r="H53" s="9"/>
      <c r="I53" s="10"/>
      <c r="J53" s="10"/>
    </row>
    <row r="54" spans="1:10" x14ac:dyDescent="0.25">
      <c r="C54" s="9"/>
      <c r="D54" s="9"/>
      <c r="E54" s="9"/>
      <c r="F54" s="9"/>
      <c r="G54" s="9"/>
      <c r="H54" s="9"/>
      <c r="I54" s="10"/>
      <c r="J54" s="10"/>
    </row>
    <row r="55" spans="1:10" x14ac:dyDescent="0.25">
      <c r="C55" s="9"/>
      <c r="D55" s="9"/>
      <c r="E55" s="9"/>
      <c r="F55" s="9"/>
      <c r="G55" s="9"/>
      <c r="H55" s="9"/>
      <c r="I55" s="10"/>
      <c r="J55" s="10"/>
    </row>
    <row r="56" spans="1:10" x14ac:dyDescent="0.25">
      <c r="C56" s="9"/>
      <c r="D56" s="9"/>
      <c r="E56" s="9"/>
      <c r="F56" s="9"/>
      <c r="G56" s="9"/>
      <c r="H56" s="9"/>
      <c r="I56" s="10"/>
      <c r="J56" s="10"/>
    </row>
    <row r="57" spans="1:10" x14ac:dyDescent="0.25">
      <c r="C57" s="9"/>
      <c r="D57" s="9"/>
      <c r="E57" s="9"/>
      <c r="F57" s="9"/>
      <c r="G57" s="9"/>
      <c r="H57" s="9"/>
      <c r="I57" s="10"/>
      <c r="J57" s="10"/>
    </row>
    <row r="58" spans="1:10" x14ac:dyDescent="0.25">
      <c r="C58" s="9"/>
      <c r="D58" s="9"/>
      <c r="E58" s="9"/>
      <c r="F58" s="9"/>
      <c r="G58" s="9"/>
      <c r="H58" s="9"/>
      <c r="I58" s="10"/>
      <c r="J58" s="10"/>
    </row>
    <row r="59" spans="1:10" x14ac:dyDescent="0.25">
      <c r="C59" s="9"/>
      <c r="D59" s="9"/>
      <c r="E59" s="9"/>
      <c r="F59" s="9"/>
      <c r="G59" s="9"/>
      <c r="H59" s="9"/>
      <c r="I59" s="10"/>
      <c r="J59" s="10"/>
    </row>
    <row r="60" spans="1:10" x14ac:dyDescent="0.25">
      <c r="C60" s="9"/>
      <c r="D60" s="9"/>
      <c r="E60" s="9"/>
      <c r="F60" s="9"/>
      <c r="G60" s="9"/>
      <c r="H60" s="9"/>
      <c r="I60" s="10"/>
      <c r="J60" s="10"/>
    </row>
    <row r="61" spans="1:10" x14ac:dyDescent="0.25">
      <c r="C61" s="9"/>
      <c r="D61" s="9"/>
      <c r="E61" s="9"/>
      <c r="F61" s="9"/>
      <c r="G61" s="9"/>
      <c r="H61" s="9"/>
      <c r="I61" s="10"/>
      <c r="J61" s="10"/>
    </row>
    <row r="62" spans="1:10" x14ac:dyDescent="0.25">
      <c r="C62" s="9"/>
      <c r="D62" s="9"/>
      <c r="E62" s="9"/>
      <c r="F62" s="9"/>
      <c r="G62" s="9"/>
      <c r="H62" s="9"/>
      <c r="I62" s="10"/>
      <c r="J62" s="10"/>
    </row>
    <row r="63" spans="1:10" x14ac:dyDescent="0.25">
      <c r="C63" s="9"/>
      <c r="D63" s="9"/>
      <c r="E63" s="9"/>
      <c r="F63" s="9"/>
      <c r="G63" s="9"/>
      <c r="H63" s="9"/>
      <c r="I63" s="10"/>
      <c r="J63" s="10"/>
    </row>
    <row r="64" spans="1:10" x14ac:dyDescent="0.25">
      <c r="C64" s="9"/>
      <c r="D64" s="9"/>
      <c r="E64" s="9"/>
      <c r="F64" s="9"/>
      <c r="G64" s="9"/>
      <c r="H64" s="9"/>
      <c r="I64" s="10"/>
      <c r="J64" s="10"/>
    </row>
    <row r="65" spans="3:10" x14ac:dyDescent="0.25">
      <c r="C65" s="9"/>
      <c r="D65" s="9"/>
      <c r="E65" s="9"/>
      <c r="F65" s="9"/>
      <c r="G65" s="9"/>
      <c r="H65" s="9"/>
      <c r="I65" s="10"/>
      <c r="J65" s="10"/>
    </row>
    <row r="66" spans="3:10" x14ac:dyDescent="0.25">
      <c r="C66" s="9"/>
      <c r="D66" s="9"/>
      <c r="E66" s="9"/>
      <c r="F66" s="9"/>
      <c r="G66" s="9"/>
      <c r="H66" s="9"/>
      <c r="I66" s="10"/>
      <c r="J66" s="10"/>
    </row>
    <row r="67" spans="3:10" x14ac:dyDescent="0.25">
      <c r="C67" s="9"/>
      <c r="D67" s="9"/>
      <c r="E67" s="9"/>
      <c r="F67" s="9"/>
      <c r="G67" s="9"/>
      <c r="H67" s="9"/>
      <c r="I67" s="10"/>
      <c r="J67" s="10"/>
    </row>
    <row r="68" spans="3:10" x14ac:dyDescent="0.25">
      <c r="C68" s="9"/>
      <c r="D68" s="9"/>
      <c r="E68" s="9"/>
      <c r="F68" s="9"/>
      <c r="G68" s="9"/>
      <c r="H68" s="9"/>
      <c r="I68" s="10"/>
      <c r="J68" s="10"/>
    </row>
  </sheetData>
  <mergeCells count="19">
    <mergeCell ref="A41:B41"/>
    <mergeCell ref="A42:B42"/>
    <mergeCell ref="A43:B43"/>
    <mergeCell ref="A46:B46"/>
    <mergeCell ref="I34:I35"/>
    <mergeCell ref="J34:J35"/>
    <mergeCell ref="A35:B35"/>
    <mergeCell ref="A39:B39"/>
    <mergeCell ref="A40:B40"/>
    <mergeCell ref="A27:B27"/>
    <mergeCell ref="A28:B28"/>
    <mergeCell ref="A33:B33"/>
    <mergeCell ref="A34:B34"/>
    <mergeCell ref="H34:H35"/>
    <mergeCell ref="C7:G7"/>
    <mergeCell ref="A19:B19"/>
    <mergeCell ref="A20:B20"/>
    <mergeCell ref="A25:B25"/>
    <mergeCell ref="A26:B26"/>
  </mergeCell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dimension ref="A2:J75"/>
  <sheetViews>
    <sheetView workbookViewId="0">
      <selection activeCell="C9" sqref="C9:J75"/>
    </sheetView>
  </sheetViews>
  <sheetFormatPr defaultRowHeight="15" x14ac:dyDescent="0.25"/>
  <cols>
    <col min="1" max="1" width="38.85546875" bestFit="1" customWidth="1"/>
    <col min="2" max="2" width="79" bestFit="1" customWidth="1"/>
    <col min="3" max="3" width="14" bestFit="1" customWidth="1"/>
    <col min="4" max="4" width="34.140625" bestFit="1" customWidth="1"/>
    <col min="5" max="5" width="16.42578125" bestFit="1" customWidth="1"/>
    <col min="6" max="6" width="10.5703125" bestFit="1" customWidth="1"/>
    <col min="7" max="7" width="68.28515625" bestFit="1" customWidth="1"/>
    <col min="8" max="9" width="20" bestFit="1" customWidth="1"/>
    <col min="10" max="10" width="30.5703125" bestFit="1" customWidth="1"/>
  </cols>
  <sheetData>
    <row r="2" spans="1:10" ht="18.75" x14ac:dyDescent="0.3">
      <c r="A2" s="3" t="s">
        <v>0</v>
      </c>
      <c r="B2" s="4" t="s">
        <v>339</v>
      </c>
    </row>
    <row r="3" spans="1:10" x14ac:dyDescent="0.25">
      <c r="A3" s="3" t="s">
        <v>2</v>
      </c>
      <c r="B3" s="1" t="s">
        <v>3</v>
      </c>
    </row>
    <row r="4" spans="1:10" x14ac:dyDescent="0.25">
      <c r="A4" s="3" t="s">
        <v>4</v>
      </c>
      <c r="B4" s="1">
        <v>679</v>
      </c>
    </row>
    <row r="7" spans="1:10" x14ac:dyDescent="0.25">
      <c r="C7" s="19" t="s">
        <v>5</v>
      </c>
      <c r="D7" s="20"/>
      <c r="E7" s="20"/>
      <c r="F7" s="20"/>
      <c r="G7" s="20"/>
    </row>
    <row r="8" spans="1:10" x14ac:dyDescent="0.25">
      <c r="A8" s="3" t="s">
        <v>6</v>
      </c>
      <c r="B8" s="3" t="s">
        <v>7</v>
      </c>
      <c r="C8" s="3" t="s">
        <v>8</v>
      </c>
      <c r="D8" s="3" t="s">
        <v>9</v>
      </c>
      <c r="E8" s="3" t="s">
        <v>10</v>
      </c>
      <c r="F8" s="3" t="s">
        <v>11</v>
      </c>
      <c r="G8" s="3" t="s">
        <v>12</v>
      </c>
      <c r="H8" s="3" t="s">
        <v>13</v>
      </c>
      <c r="I8" s="3" t="s">
        <v>14</v>
      </c>
      <c r="J8" s="3" t="s">
        <v>15</v>
      </c>
    </row>
    <row r="9" spans="1:10" x14ac:dyDescent="0.25">
      <c r="A9" s="1" t="s">
        <v>16</v>
      </c>
      <c r="B9" s="1" t="s">
        <v>19</v>
      </c>
      <c r="C9" s="11">
        <v>5700</v>
      </c>
      <c r="D9" s="11"/>
      <c r="E9" s="11"/>
      <c r="F9" s="11"/>
      <c r="G9" s="11">
        <f t="shared" ref="G9:G36" si="0">SUM(C9:F9)</f>
        <v>5700</v>
      </c>
      <c r="H9" s="17">
        <f t="shared" ref="H9:H36" si="1">ROUND(G9/679,2)</f>
        <v>8.39</v>
      </c>
      <c r="I9" s="16">
        <f t="shared" ref="I9:I36" si="2">ROUND(G9/$G$37,3)</f>
        <v>6.6000000000000003E-2</v>
      </c>
      <c r="J9" s="16">
        <f>ROUND(G9/4720-1,2)</f>
        <v>0.21</v>
      </c>
    </row>
    <row r="10" spans="1:10" x14ac:dyDescent="0.25">
      <c r="A10" s="1" t="s">
        <v>16</v>
      </c>
      <c r="B10" s="1" t="s">
        <v>20</v>
      </c>
      <c r="C10" s="11">
        <v>11820</v>
      </c>
      <c r="D10" s="11"/>
      <c r="E10" s="11"/>
      <c r="F10" s="11"/>
      <c r="G10" s="11">
        <f t="shared" si="0"/>
        <v>11820</v>
      </c>
      <c r="H10" s="17">
        <f t="shared" si="1"/>
        <v>17.41</v>
      </c>
      <c r="I10" s="16">
        <f t="shared" si="2"/>
        <v>0.13700000000000001</v>
      </c>
      <c r="J10" s="16">
        <f>ROUND(G10/10165-1,2)</f>
        <v>0.16</v>
      </c>
    </row>
    <row r="11" spans="1:10" x14ac:dyDescent="0.25">
      <c r="A11" s="1" t="s">
        <v>16</v>
      </c>
      <c r="B11" s="1" t="s">
        <v>23</v>
      </c>
      <c r="C11" s="11"/>
      <c r="D11" s="11"/>
      <c r="E11" s="11">
        <v>15270</v>
      </c>
      <c r="F11" s="11"/>
      <c r="G11" s="11">
        <f t="shared" si="0"/>
        <v>15270</v>
      </c>
      <c r="H11" s="17">
        <f t="shared" si="1"/>
        <v>22.49</v>
      </c>
      <c r="I11" s="16">
        <f t="shared" si="2"/>
        <v>0.17599999999999999</v>
      </c>
      <c r="J11" s="16">
        <f>ROUND(G11/20890-1,2)</f>
        <v>-0.27</v>
      </c>
    </row>
    <row r="12" spans="1:10" x14ac:dyDescent="0.25">
      <c r="A12" s="1" t="s">
        <v>16</v>
      </c>
      <c r="B12" s="1" t="s">
        <v>24</v>
      </c>
      <c r="C12" s="11">
        <v>5520</v>
      </c>
      <c r="D12" s="11"/>
      <c r="E12" s="11"/>
      <c r="F12" s="11"/>
      <c r="G12" s="11">
        <f t="shared" si="0"/>
        <v>5520</v>
      </c>
      <c r="H12" s="17">
        <f t="shared" si="1"/>
        <v>8.1300000000000008</v>
      </c>
      <c r="I12" s="16">
        <f t="shared" si="2"/>
        <v>6.4000000000000001E-2</v>
      </c>
      <c r="J12" s="16">
        <f>ROUND(G12/6080-1,2)</f>
        <v>-0.09</v>
      </c>
    </row>
    <row r="13" spans="1:10" x14ac:dyDescent="0.25">
      <c r="A13" s="1" t="s">
        <v>16</v>
      </c>
      <c r="B13" s="1" t="s">
        <v>25</v>
      </c>
      <c r="C13" s="11"/>
      <c r="D13" s="11"/>
      <c r="E13" s="11">
        <v>680</v>
      </c>
      <c r="F13" s="11"/>
      <c r="G13" s="11">
        <f t="shared" si="0"/>
        <v>680</v>
      </c>
      <c r="H13" s="17">
        <f t="shared" si="1"/>
        <v>1</v>
      </c>
      <c r="I13" s="16">
        <f t="shared" si="2"/>
        <v>8.0000000000000002E-3</v>
      </c>
      <c r="J13" s="16"/>
    </row>
    <row r="14" spans="1:10" x14ac:dyDescent="0.25">
      <c r="A14" s="1" t="s">
        <v>16</v>
      </c>
      <c r="B14" s="1" t="s">
        <v>26</v>
      </c>
      <c r="C14" s="11">
        <v>5910</v>
      </c>
      <c r="D14" s="11"/>
      <c r="E14" s="11"/>
      <c r="F14" s="11"/>
      <c r="G14" s="11">
        <f t="shared" si="0"/>
        <v>5910</v>
      </c>
      <c r="H14" s="17">
        <f t="shared" si="1"/>
        <v>8.6999999999999993</v>
      </c>
      <c r="I14" s="16">
        <f t="shared" si="2"/>
        <v>6.8000000000000005E-2</v>
      </c>
      <c r="J14" s="16">
        <f>ROUND(G14/10610-1,2)</f>
        <v>-0.44</v>
      </c>
    </row>
    <row r="15" spans="1:10" x14ac:dyDescent="0.25">
      <c r="A15" s="1" t="s">
        <v>16</v>
      </c>
      <c r="B15" s="1" t="s">
        <v>27</v>
      </c>
      <c r="C15" s="11"/>
      <c r="D15" s="11"/>
      <c r="E15" s="11">
        <v>103</v>
      </c>
      <c r="F15" s="11"/>
      <c r="G15" s="11">
        <f t="shared" si="0"/>
        <v>103</v>
      </c>
      <c r="H15" s="17">
        <f t="shared" si="1"/>
        <v>0.15</v>
      </c>
      <c r="I15" s="16">
        <f t="shared" si="2"/>
        <v>1E-3</v>
      </c>
      <c r="J15" s="16">
        <f>ROUND(G15/81-1,2)</f>
        <v>0.27</v>
      </c>
    </row>
    <row r="16" spans="1:10" x14ac:dyDescent="0.25">
      <c r="A16" s="1" t="s">
        <v>16</v>
      </c>
      <c r="B16" s="1" t="s">
        <v>28</v>
      </c>
      <c r="C16" s="11"/>
      <c r="D16" s="11"/>
      <c r="E16" s="11">
        <v>90</v>
      </c>
      <c r="F16" s="11"/>
      <c r="G16" s="11">
        <f t="shared" si="0"/>
        <v>90</v>
      </c>
      <c r="H16" s="17">
        <f t="shared" si="1"/>
        <v>0.13</v>
      </c>
      <c r="I16" s="16">
        <f t="shared" si="2"/>
        <v>1E-3</v>
      </c>
      <c r="J16" s="16">
        <f>ROUND(G16/105-1,2)</f>
        <v>-0.14000000000000001</v>
      </c>
    </row>
    <row r="17" spans="1:10" x14ac:dyDescent="0.25">
      <c r="A17" s="1" t="s">
        <v>16</v>
      </c>
      <c r="B17" s="1" t="s">
        <v>31</v>
      </c>
      <c r="C17" s="11"/>
      <c r="D17" s="11"/>
      <c r="E17" s="11">
        <v>420</v>
      </c>
      <c r="F17" s="11"/>
      <c r="G17" s="11">
        <f t="shared" si="0"/>
        <v>420</v>
      </c>
      <c r="H17" s="17">
        <f t="shared" si="1"/>
        <v>0.62</v>
      </c>
      <c r="I17" s="16">
        <f t="shared" si="2"/>
        <v>5.0000000000000001E-3</v>
      </c>
      <c r="J17" s="16">
        <f>ROUND(G17/920-1,2)</f>
        <v>-0.54</v>
      </c>
    </row>
    <row r="18" spans="1:10" x14ac:dyDescent="0.25">
      <c r="A18" s="1" t="s">
        <v>16</v>
      </c>
      <c r="B18" s="1" t="s">
        <v>35</v>
      </c>
      <c r="C18" s="11"/>
      <c r="D18" s="11"/>
      <c r="E18" s="11">
        <v>6420</v>
      </c>
      <c r="F18" s="11"/>
      <c r="G18" s="11">
        <f t="shared" si="0"/>
        <v>6420</v>
      </c>
      <c r="H18" s="17">
        <f t="shared" si="1"/>
        <v>9.4600000000000009</v>
      </c>
      <c r="I18" s="16">
        <f t="shared" si="2"/>
        <v>7.3999999999999996E-2</v>
      </c>
      <c r="J18" s="16">
        <f>ROUND(G18/5700-1,2)</f>
        <v>0.13</v>
      </c>
    </row>
    <row r="19" spans="1:10" x14ac:dyDescent="0.25">
      <c r="A19" s="1" t="s">
        <v>16</v>
      </c>
      <c r="B19" s="1" t="s">
        <v>37</v>
      </c>
      <c r="C19" s="11"/>
      <c r="D19" s="11"/>
      <c r="E19" s="11">
        <v>4010</v>
      </c>
      <c r="F19" s="11"/>
      <c r="G19" s="11">
        <f t="shared" si="0"/>
        <v>4010</v>
      </c>
      <c r="H19" s="17">
        <f t="shared" si="1"/>
        <v>5.91</v>
      </c>
      <c r="I19" s="16">
        <f t="shared" si="2"/>
        <v>4.5999999999999999E-2</v>
      </c>
      <c r="J19" s="16">
        <f>ROUND(G19/3640-1,2)</f>
        <v>0.1</v>
      </c>
    </row>
    <row r="20" spans="1:10" x14ac:dyDescent="0.25">
      <c r="A20" s="1" t="s">
        <v>16</v>
      </c>
      <c r="B20" s="1" t="s">
        <v>38</v>
      </c>
      <c r="C20" s="11"/>
      <c r="D20" s="11"/>
      <c r="E20" s="11">
        <v>3990</v>
      </c>
      <c r="F20" s="11"/>
      <c r="G20" s="11">
        <f t="shared" si="0"/>
        <v>3990</v>
      </c>
      <c r="H20" s="17">
        <f t="shared" si="1"/>
        <v>5.88</v>
      </c>
      <c r="I20" s="16">
        <f t="shared" si="2"/>
        <v>4.5999999999999999E-2</v>
      </c>
      <c r="J20" s="16">
        <f>ROUND(G20/1740-1,2)</f>
        <v>1.29</v>
      </c>
    </row>
    <row r="21" spans="1:10" x14ac:dyDescent="0.25">
      <c r="A21" s="1" t="s">
        <v>16</v>
      </c>
      <c r="B21" s="1" t="s">
        <v>21</v>
      </c>
      <c r="C21" s="11"/>
      <c r="D21" s="11"/>
      <c r="E21" s="11"/>
      <c r="F21" s="11"/>
      <c r="G21" s="11">
        <f t="shared" si="0"/>
        <v>0</v>
      </c>
      <c r="H21" s="17">
        <f t="shared" si="1"/>
        <v>0</v>
      </c>
      <c r="I21" s="16">
        <f t="shared" si="2"/>
        <v>0</v>
      </c>
      <c r="J21" s="16">
        <f>ROUND(G21/200-1,2)</f>
        <v>-1</v>
      </c>
    </row>
    <row r="22" spans="1:10" x14ac:dyDescent="0.25">
      <c r="A22" s="1" t="s">
        <v>16</v>
      </c>
      <c r="B22" s="1" t="s">
        <v>40</v>
      </c>
      <c r="C22" s="11"/>
      <c r="D22" s="11"/>
      <c r="E22" s="11"/>
      <c r="F22" s="11"/>
      <c r="G22" s="11">
        <f t="shared" si="0"/>
        <v>0</v>
      </c>
      <c r="H22" s="17">
        <f t="shared" si="1"/>
        <v>0</v>
      </c>
      <c r="I22" s="16">
        <f t="shared" si="2"/>
        <v>0</v>
      </c>
      <c r="J22" s="16"/>
    </row>
    <row r="23" spans="1:10" x14ac:dyDescent="0.25">
      <c r="A23" s="1" t="s">
        <v>16</v>
      </c>
      <c r="B23" s="1" t="s">
        <v>41</v>
      </c>
      <c r="C23" s="11"/>
      <c r="D23" s="11"/>
      <c r="E23" s="11"/>
      <c r="F23" s="11"/>
      <c r="G23" s="11">
        <f t="shared" si="0"/>
        <v>0</v>
      </c>
      <c r="H23" s="17">
        <f t="shared" si="1"/>
        <v>0</v>
      </c>
      <c r="I23" s="16">
        <f t="shared" si="2"/>
        <v>0</v>
      </c>
      <c r="J23" s="16">
        <f>ROUND(G23/190-1,2)</f>
        <v>-1</v>
      </c>
    </row>
    <row r="24" spans="1:10" x14ac:dyDescent="0.25">
      <c r="A24" s="1" t="s">
        <v>16</v>
      </c>
      <c r="B24" s="1" t="s">
        <v>43</v>
      </c>
      <c r="C24" s="11"/>
      <c r="D24" s="11"/>
      <c r="E24" s="11"/>
      <c r="F24" s="11"/>
      <c r="G24" s="11">
        <f t="shared" si="0"/>
        <v>0</v>
      </c>
      <c r="H24" s="17">
        <f t="shared" si="1"/>
        <v>0</v>
      </c>
      <c r="I24" s="16">
        <f t="shared" si="2"/>
        <v>0</v>
      </c>
      <c r="J24" s="16">
        <f>ROUND(G24/603-1,2)</f>
        <v>-1</v>
      </c>
    </row>
    <row r="25" spans="1:10" x14ac:dyDescent="0.25">
      <c r="A25" s="1" t="s">
        <v>16</v>
      </c>
      <c r="B25" s="1" t="s">
        <v>42</v>
      </c>
      <c r="C25" s="11"/>
      <c r="D25" s="11"/>
      <c r="E25" s="11"/>
      <c r="F25" s="11"/>
      <c r="G25" s="11">
        <f t="shared" si="0"/>
        <v>0</v>
      </c>
      <c r="H25" s="17">
        <f t="shared" si="1"/>
        <v>0</v>
      </c>
      <c r="I25" s="16">
        <f t="shared" si="2"/>
        <v>0</v>
      </c>
      <c r="J25" s="16"/>
    </row>
    <row r="26" spans="1:10" x14ac:dyDescent="0.25">
      <c r="A26" s="1" t="s">
        <v>16</v>
      </c>
      <c r="B26" s="1" t="s">
        <v>29</v>
      </c>
      <c r="C26" s="11"/>
      <c r="D26" s="11"/>
      <c r="E26" s="11"/>
      <c r="F26" s="11"/>
      <c r="G26" s="11">
        <f t="shared" si="0"/>
        <v>0</v>
      </c>
      <c r="H26" s="17">
        <f t="shared" si="1"/>
        <v>0</v>
      </c>
      <c r="I26" s="16">
        <f t="shared" si="2"/>
        <v>0</v>
      </c>
      <c r="J26" s="16"/>
    </row>
    <row r="27" spans="1:10" x14ac:dyDescent="0.25">
      <c r="A27" s="1" t="s">
        <v>16</v>
      </c>
      <c r="B27" s="1" t="s">
        <v>32</v>
      </c>
      <c r="C27" s="11"/>
      <c r="D27" s="11"/>
      <c r="E27" s="11"/>
      <c r="F27" s="11"/>
      <c r="G27" s="11">
        <f t="shared" si="0"/>
        <v>0</v>
      </c>
      <c r="H27" s="17">
        <f t="shared" si="1"/>
        <v>0</v>
      </c>
      <c r="I27" s="16">
        <f t="shared" si="2"/>
        <v>0</v>
      </c>
      <c r="J27" s="16"/>
    </row>
    <row r="28" spans="1:10" x14ac:dyDescent="0.25">
      <c r="A28" s="1" t="s">
        <v>16</v>
      </c>
      <c r="B28" s="1" t="s">
        <v>22</v>
      </c>
      <c r="C28" s="11"/>
      <c r="D28" s="11"/>
      <c r="E28" s="11"/>
      <c r="F28" s="11"/>
      <c r="G28" s="11">
        <f t="shared" si="0"/>
        <v>0</v>
      </c>
      <c r="H28" s="17">
        <f t="shared" si="1"/>
        <v>0</v>
      </c>
      <c r="I28" s="16">
        <f t="shared" si="2"/>
        <v>0</v>
      </c>
      <c r="J28" s="16"/>
    </row>
    <row r="29" spans="1:10" x14ac:dyDescent="0.25">
      <c r="A29" s="1" t="s">
        <v>16</v>
      </c>
      <c r="B29" s="1" t="s">
        <v>39</v>
      </c>
      <c r="C29" s="11"/>
      <c r="D29" s="11"/>
      <c r="E29" s="11"/>
      <c r="F29" s="11"/>
      <c r="G29" s="11">
        <f t="shared" si="0"/>
        <v>0</v>
      </c>
      <c r="H29" s="17">
        <f t="shared" si="1"/>
        <v>0</v>
      </c>
      <c r="I29" s="16">
        <f t="shared" si="2"/>
        <v>0</v>
      </c>
      <c r="J29" s="16"/>
    </row>
    <row r="30" spans="1:10" x14ac:dyDescent="0.25">
      <c r="A30" s="1" t="s">
        <v>16</v>
      </c>
      <c r="B30" s="1" t="s">
        <v>30</v>
      </c>
      <c r="C30" s="11"/>
      <c r="D30" s="11"/>
      <c r="E30" s="11"/>
      <c r="F30" s="11"/>
      <c r="G30" s="11">
        <f t="shared" si="0"/>
        <v>0</v>
      </c>
      <c r="H30" s="17">
        <f t="shared" si="1"/>
        <v>0</v>
      </c>
      <c r="I30" s="16">
        <f t="shared" si="2"/>
        <v>0</v>
      </c>
      <c r="J30" s="16"/>
    </row>
    <row r="31" spans="1:10" x14ac:dyDescent="0.25">
      <c r="A31" s="1" t="s">
        <v>16</v>
      </c>
      <c r="B31" s="1" t="s">
        <v>34</v>
      </c>
      <c r="C31" s="11"/>
      <c r="D31" s="11"/>
      <c r="E31" s="11"/>
      <c r="F31" s="11"/>
      <c r="G31" s="11">
        <f t="shared" si="0"/>
        <v>0</v>
      </c>
      <c r="H31" s="17">
        <f t="shared" si="1"/>
        <v>0</v>
      </c>
      <c r="I31" s="16">
        <f t="shared" si="2"/>
        <v>0</v>
      </c>
      <c r="J31" s="16"/>
    </row>
    <row r="32" spans="1:10" x14ac:dyDescent="0.25">
      <c r="A32" s="1" t="s">
        <v>16</v>
      </c>
      <c r="B32" s="1" t="s">
        <v>36</v>
      </c>
      <c r="C32" s="11"/>
      <c r="D32" s="11"/>
      <c r="E32" s="11"/>
      <c r="F32" s="11"/>
      <c r="G32" s="11">
        <f t="shared" si="0"/>
        <v>0</v>
      </c>
      <c r="H32" s="17">
        <f t="shared" si="1"/>
        <v>0</v>
      </c>
      <c r="I32" s="16">
        <f t="shared" si="2"/>
        <v>0</v>
      </c>
      <c r="J32" s="16"/>
    </row>
    <row r="33" spans="1:10" x14ac:dyDescent="0.25">
      <c r="A33" s="1" t="s">
        <v>44</v>
      </c>
      <c r="B33" s="1" t="s">
        <v>45</v>
      </c>
      <c r="C33" s="11">
        <v>22380</v>
      </c>
      <c r="D33" s="11"/>
      <c r="E33" s="11"/>
      <c r="F33" s="11"/>
      <c r="G33" s="11">
        <f t="shared" si="0"/>
        <v>22380</v>
      </c>
      <c r="H33" s="17">
        <f t="shared" si="1"/>
        <v>32.96</v>
      </c>
      <c r="I33" s="16">
        <f t="shared" si="2"/>
        <v>0.25900000000000001</v>
      </c>
      <c r="J33" s="16">
        <f>ROUND(G33/18750-1,2)</f>
        <v>0.19</v>
      </c>
    </row>
    <row r="34" spans="1:10" x14ac:dyDescent="0.25">
      <c r="A34" s="1" t="s">
        <v>44</v>
      </c>
      <c r="B34" s="1" t="s">
        <v>46</v>
      </c>
      <c r="C34" s="11"/>
      <c r="D34" s="11"/>
      <c r="E34" s="11">
        <v>4210</v>
      </c>
      <c r="F34" s="11"/>
      <c r="G34" s="11">
        <f t="shared" si="0"/>
        <v>4210</v>
      </c>
      <c r="H34" s="17">
        <f t="shared" si="1"/>
        <v>6.2</v>
      </c>
      <c r="I34" s="16">
        <f t="shared" si="2"/>
        <v>4.9000000000000002E-2</v>
      </c>
      <c r="J34" s="16">
        <f>ROUND(G34/4100-1,2)</f>
        <v>0.03</v>
      </c>
    </row>
    <row r="35" spans="1:10" x14ac:dyDescent="0.25">
      <c r="A35" s="1" t="s">
        <v>44</v>
      </c>
      <c r="B35" s="1" t="s">
        <v>47</v>
      </c>
      <c r="C35" s="11"/>
      <c r="D35" s="11"/>
      <c r="E35" s="11"/>
      <c r="F35" s="11"/>
      <c r="G35" s="11">
        <f t="shared" si="0"/>
        <v>0</v>
      </c>
      <c r="H35" s="17">
        <f t="shared" si="1"/>
        <v>0</v>
      </c>
      <c r="I35" s="16">
        <f t="shared" si="2"/>
        <v>0</v>
      </c>
      <c r="J35" s="16"/>
    </row>
    <row r="36" spans="1:10" x14ac:dyDescent="0.25">
      <c r="A36" s="1" t="s">
        <v>48</v>
      </c>
      <c r="B36" s="1" t="s">
        <v>51</v>
      </c>
      <c r="C36" s="11"/>
      <c r="D36" s="11"/>
      <c r="E36" s="11"/>
      <c r="F36" s="11"/>
      <c r="G36" s="11">
        <f t="shared" si="0"/>
        <v>0</v>
      </c>
      <c r="H36" s="17">
        <f t="shared" si="1"/>
        <v>0</v>
      </c>
      <c r="I36" s="16">
        <f t="shared" si="2"/>
        <v>0</v>
      </c>
      <c r="J36" s="16"/>
    </row>
    <row r="37" spans="1:10" x14ac:dyDescent="0.25">
      <c r="A37" s="21" t="s">
        <v>12</v>
      </c>
      <c r="B37" s="21"/>
      <c r="C37" s="12">
        <f t="shared" ref="C37:H37" si="3">SUM(C8:C36)</f>
        <v>51330</v>
      </c>
      <c r="D37" s="12">
        <f t="shared" si="3"/>
        <v>0</v>
      </c>
      <c r="E37" s="12">
        <f t="shared" si="3"/>
        <v>35193</v>
      </c>
      <c r="F37" s="12">
        <f t="shared" si="3"/>
        <v>0</v>
      </c>
      <c r="G37" s="12">
        <f t="shared" si="3"/>
        <v>86523</v>
      </c>
      <c r="H37" s="15">
        <f t="shared" si="3"/>
        <v>127.43000000000002</v>
      </c>
      <c r="I37" s="18"/>
      <c r="J37" s="18"/>
    </row>
    <row r="38" spans="1:10" x14ac:dyDescent="0.25">
      <c r="A38" s="21" t="s">
        <v>14</v>
      </c>
      <c r="B38" s="21"/>
      <c r="C38" s="13">
        <f>ROUND(C37/G37,2)</f>
        <v>0.59</v>
      </c>
      <c r="D38" s="13">
        <f>ROUND(D37/G37,2)</f>
        <v>0</v>
      </c>
      <c r="E38" s="13">
        <f>ROUND(E37/G37,2)</f>
        <v>0.41</v>
      </c>
      <c r="F38" s="13">
        <f>ROUND(F37/G37,2)</f>
        <v>0</v>
      </c>
      <c r="G38" s="14"/>
      <c r="H38" s="14"/>
      <c r="I38" s="18"/>
      <c r="J38" s="18"/>
    </row>
    <row r="39" spans="1:10" x14ac:dyDescent="0.25">
      <c r="A39" s="2" t="s">
        <v>52</v>
      </c>
      <c r="B39" s="2"/>
      <c r="C39" s="14"/>
      <c r="D39" s="14"/>
      <c r="E39" s="14"/>
      <c r="F39" s="14"/>
      <c r="G39" s="14"/>
      <c r="H39" s="14"/>
      <c r="I39" s="18"/>
      <c r="J39" s="18"/>
    </row>
    <row r="40" spans="1:10" x14ac:dyDescent="0.25">
      <c r="C40" s="9"/>
      <c r="D40" s="9"/>
      <c r="E40" s="9"/>
      <c r="F40" s="9"/>
      <c r="G40" s="9"/>
      <c r="H40" s="9"/>
      <c r="I40" s="10"/>
      <c r="J40" s="10"/>
    </row>
    <row r="41" spans="1:10" x14ac:dyDescent="0.25">
      <c r="C41" s="9"/>
      <c r="D41" s="9"/>
      <c r="E41" s="9"/>
      <c r="F41" s="9"/>
      <c r="G41" s="9"/>
      <c r="H41" s="9"/>
      <c r="I41" s="10"/>
      <c r="J41" s="10"/>
    </row>
    <row r="42" spans="1:10" x14ac:dyDescent="0.25">
      <c r="C42" s="9"/>
      <c r="D42" s="9"/>
      <c r="E42" s="9"/>
      <c r="F42" s="9"/>
      <c r="G42" s="9"/>
      <c r="H42" s="9"/>
      <c r="I42" s="10"/>
      <c r="J42" s="10"/>
    </row>
    <row r="43" spans="1:10" x14ac:dyDescent="0.25">
      <c r="A43" s="21" t="s">
        <v>53</v>
      </c>
      <c r="B43" s="21"/>
      <c r="C43" s="12" t="s">
        <v>8</v>
      </c>
      <c r="D43" s="12" t="s">
        <v>9</v>
      </c>
      <c r="E43" s="12" t="s">
        <v>10</v>
      </c>
      <c r="F43" s="12" t="s">
        <v>11</v>
      </c>
      <c r="G43" s="12" t="s">
        <v>12</v>
      </c>
      <c r="H43" s="15" t="s">
        <v>13</v>
      </c>
      <c r="I43" s="18"/>
      <c r="J43" s="18"/>
    </row>
    <row r="44" spans="1:10" x14ac:dyDescent="0.25">
      <c r="A44" s="20" t="s">
        <v>54</v>
      </c>
      <c r="B44" s="20"/>
      <c r="C44" s="11">
        <v>28950</v>
      </c>
      <c r="D44" s="11">
        <v>0</v>
      </c>
      <c r="E44" s="11">
        <v>30983</v>
      </c>
      <c r="F44" s="11">
        <v>0</v>
      </c>
      <c r="G44" s="11">
        <f>SUM(C44:F44)</f>
        <v>59933</v>
      </c>
      <c r="H44" s="17">
        <f>ROUND(G44/679,2)</f>
        <v>88.27</v>
      </c>
      <c r="I44" s="10"/>
      <c r="J44" s="10"/>
    </row>
    <row r="45" spans="1:10" x14ac:dyDescent="0.25">
      <c r="A45" s="20" t="s">
        <v>55</v>
      </c>
      <c r="B45" s="20"/>
      <c r="C45" s="11">
        <v>22380</v>
      </c>
      <c r="D45" s="11">
        <v>0</v>
      </c>
      <c r="E45" s="11">
        <v>4210</v>
      </c>
      <c r="F45" s="11">
        <v>0</v>
      </c>
      <c r="G45" s="11">
        <f>SUM(C45:F45)</f>
        <v>26590</v>
      </c>
      <c r="H45" s="17">
        <f>ROUND(G45/679,2)</f>
        <v>39.159999999999997</v>
      </c>
      <c r="I45" s="10"/>
      <c r="J45" s="10"/>
    </row>
    <row r="46" spans="1:10" x14ac:dyDescent="0.25">
      <c r="A46" s="20" t="s">
        <v>56</v>
      </c>
      <c r="B46" s="20"/>
      <c r="C46" s="11">
        <v>0</v>
      </c>
      <c r="D46" s="11">
        <v>0</v>
      </c>
      <c r="E46" s="11">
        <v>0</v>
      </c>
      <c r="F46" s="11">
        <v>0</v>
      </c>
      <c r="G46" s="11">
        <f>SUM(C46:F46)</f>
        <v>0</v>
      </c>
      <c r="H46" s="17">
        <f>ROUND(G46/679,2)</f>
        <v>0</v>
      </c>
      <c r="I46" s="10"/>
      <c r="J46" s="10"/>
    </row>
    <row r="47" spans="1:10" x14ac:dyDescent="0.25">
      <c r="C47" s="9"/>
      <c r="D47" s="9"/>
      <c r="E47" s="9"/>
      <c r="F47" s="9"/>
      <c r="G47" s="9"/>
      <c r="H47" s="9"/>
      <c r="I47" s="10"/>
      <c r="J47" s="10"/>
    </row>
    <row r="48" spans="1:10" x14ac:dyDescent="0.25">
      <c r="C48" s="9"/>
      <c r="D48" s="9"/>
      <c r="E48" s="9"/>
      <c r="F48" s="9"/>
      <c r="G48" s="9"/>
      <c r="H48" s="9"/>
      <c r="I48" s="10"/>
      <c r="J48" s="10"/>
    </row>
    <row r="49" spans="1:10" x14ac:dyDescent="0.25">
      <c r="C49" s="9"/>
      <c r="D49" s="9"/>
      <c r="E49" s="9"/>
      <c r="F49" s="9"/>
      <c r="G49" s="9"/>
      <c r="H49" s="9"/>
      <c r="I49" s="10"/>
      <c r="J49" s="10"/>
    </row>
    <row r="50" spans="1:10" x14ac:dyDescent="0.25">
      <c r="C50" s="9"/>
      <c r="D50" s="9"/>
      <c r="E50" s="9"/>
      <c r="F50" s="9"/>
      <c r="G50" s="9"/>
      <c r="H50" s="9"/>
      <c r="I50" s="10"/>
      <c r="J50" s="10"/>
    </row>
    <row r="51" spans="1:10" x14ac:dyDescent="0.25">
      <c r="A51" s="21" t="s">
        <v>57</v>
      </c>
      <c r="B51" s="21"/>
      <c r="C51" s="15" t="s">
        <v>2</v>
      </c>
      <c r="D51" s="15">
        <v>2023</v>
      </c>
      <c r="E51" s="15" t="s">
        <v>59</v>
      </c>
      <c r="F51" s="14"/>
      <c r="G51" s="15" t="s">
        <v>60</v>
      </c>
      <c r="H51" s="15" t="s">
        <v>2</v>
      </c>
      <c r="I51" s="13" t="s">
        <v>61</v>
      </c>
      <c r="J51" s="13" t="s">
        <v>59</v>
      </c>
    </row>
    <row r="52" spans="1:10" x14ac:dyDescent="0.25">
      <c r="A52" s="20" t="s">
        <v>58</v>
      </c>
      <c r="B52" s="20"/>
      <c r="C52" s="16">
        <f>ROUND(0.686, 4)</f>
        <v>0.68600000000000005</v>
      </c>
      <c r="D52" s="16">
        <f>ROUND(0.7317, 4)</f>
        <v>0.73170000000000002</v>
      </c>
      <c r="E52" s="16">
        <f>ROUND(0.777, 4)</f>
        <v>0.77700000000000002</v>
      </c>
      <c r="F52" s="9"/>
      <c r="G52" s="15" t="s">
        <v>62</v>
      </c>
      <c r="H52" s="22" t="s">
        <v>63</v>
      </c>
      <c r="I52" s="24" t="s">
        <v>64</v>
      </c>
      <c r="J52" s="24" t="s">
        <v>65</v>
      </c>
    </row>
    <row r="53" spans="1:10" x14ac:dyDescent="0.25">
      <c r="A53" s="20" t="s">
        <v>66</v>
      </c>
      <c r="B53" s="20"/>
      <c r="C53" s="16">
        <f>ROUND(0.6562, 4)</f>
        <v>0.65620000000000001</v>
      </c>
      <c r="D53" s="16">
        <f>ROUND(0.7044, 4)</f>
        <v>0.70440000000000003</v>
      </c>
      <c r="E53" s="16">
        <f>ROUND(0.7608, 4)</f>
        <v>0.76080000000000003</v>
      </c>
      <c r="F53" s="9"/>
      <c r="G53" s="15" t="s">
        <v>67</v>
      </c>
      <c r="H53" s="23"/>
      <c r="I53" s="25"/>
      <c r="J53" s="25"/>
    </row>
    <row r="54" spans="1:10" x14ac:dyDescent="0.25">
      <c r="C54" s="9"/>
      <c r="D54" s="9"/>
      <c r="E54" s="9"/>
      <c r="F54" s="9"/>
      <c r="G54" s="9"/>
      <c r="H54" s="9"/>
      <c r="I54" s="10"/>
      <c r="J54" s="10"/>
    </row>
    <row r="55" spans="1:10" x14ac:dyDescent="0.25">
      <c r="C55" s="9"/>
      <c r="D55" s="9"/>
      <c r="E55" s="9"/>
      <c r="F55" s="9"/>
      <c r="G55" s="9"/>
      <c r="H55" s="9"/>
      <c r="I55" s="10"/>
      <c r="J55" s="10"/>
    </row>
    <row r="56" spans="1:10" x14ac:dyDescent="0.25">
      <c r="C56" s="9"/>
      <c r="D56" s="9"/>
      <c r="E56" s="9"/>
      <c r="F56" s="9"/>
      <c r="G56" s="9"/>
      <c r="H56" s="9"/>
      <c r="I56" s="10"/>
      <c r="J56" s="10"/>
    </row>
    <row r="57" spans="1:10" x14ac:dyDescent="0.25">
      <c r="A57" s="21" t="s">
        <v>68</v>
      </c>
      <c r="B57" s="21"/>
      <c r="C57" s="15" t="s">
        <v>2</v>
      </c>
      <c r="D57" s="15" t="s">
        <v>340</v>
      </c>
      <c r="E57" s="15" t="s">
        <v>70</v>
      </c>
      <c r="F57" s="15" t="s">
        <v>71</v>
      </c>
      <c r="G57" s="15" t="s">
        <v>72</v>
      </c>
      <c r="H57" s="14"/>
      <c r="I57" s="18"/>
      <c r="J57" s="18"/>
    </row>
    <row r="58" spans="1:10" x14ac:dyDescent="0.25">
      <c r="A58" s="20" t="s">
        <v>73</v>
      </c>
      <c r="B58" s="20"/>
      <c r="C58" s="17">
        <v>32.96</v>
      </c>
      <c r="D58" s="17">
        <v>70.22</v>
      </c>
      <c r="E58" s="17">
        <v>81.84</v>
      </c>
      <c r="F58" s="17">
        <v>48</v>
      </c>
      <c r="G58" s="17">
        <f>12/4*C58</f>
        <v>98.88</v>
      </c>
      <c r="H58" s="9"/>
      <c r="I58" s="10"/>
      <c r="J58" s="10"/>
    </row>
    <row r="59" spans="1:10" x14ac:dyDescent="0.25">
      <c r="A59" s="20" t="s">
        <v>74</v>
      </c>
      <c r="B59" s="20"/>
      <c r="C59" s="17">
        <v>8.6999999999999993</v>
      </c>
      <c r="D59" s="17">
        <v>38.36</v>
      </c>
      <c r="E59" s="17">
        <v>55.63</v>
      </c>
      <c r="F59" s="17">
        <v>55.33</v>
      </c>
      <c r="G59" s="17">
        <f>12/4*C59</f>
        <v>26.099999999999998</v>
      </c>
      <c r="H59" s="9"/>
      <c r="I59" s="10"/>
      <c r="J59" s="10"/>
    </row>
    <row r="60" spans="1:10" x14ac:dyDescent="0.25">
      <c r="A60" s="20" t="s">
        <v>75</v>
      </c>
      <c r="B60" s="20"/>
      <c r="C60" s="17">
        <v>88.27</v>
      </c>
      <c r="D60" s="17">
        <v>220.94</v>
      </c>
      <c r="E60" s="17">
        <v>257.88</v>
      </c>
      <c r="F60" s="17">
        <v>242.78</v>
      </c>
      <c r="G60" s="17">
        <f>12/4*C60</f>
        <v>264.81</v>
      </c>
      <c r="H60" s="9"/>
      <c r="I60" s="10"/>
      <c r="J60" s="10"/>
    </row>
    <row r="61" spans="1:10" x14ac:dyDescent="0.25">
      <c r="A61" s="20" t="s">
        <v>76</v>
      </c>
      <c r="B61" s="20"/>
      <c r="C61" s="17">
        <v>39.159999999999997</v>
      </c>
      <c r="D61" s="17">
        <v>90.19</v>
      </c>
      <c r="E61" s="17">
        <v>103.14</v>
      </c>
      <c r="F61" s="17">
        <v>68.31</v>
      </c>
      <c r="G61" s="17">
        <f>12/4*C61</f>
        <v>117.47999999999999</v>
      </c>
      <c r="H61" s="9"/>
      <c r="I61" s="10"/>
      <c r="J61" s="10"/>
    </row>
    <row r="62" spans="1:10" x14ac:dyDescent="0.25">
      <c r="C62" s="9"/>
      <c r="D62" s="9"/>
      <c r="E62" s="9"/>
      <c r="F62" s="9"/>
      <c r="G62" s="9"/>
      <c r="H62" s="9"/>
      <c r="I62" s="10"/>
      <c r="J62" s="10"/>
    </row>
    <row r="63" spans="1:10" x14ac:dyDescent="0.25">
      <c r="C63" s="9"/>
      <c r="D63" s="9"/>
      <c r="E63" s="9"/>
      <c r="F63" s="9"/>
      <c r="G63" s="9"/>
      <c r="H63" s="9"/>
      <c r="I63" s="10"/>
      <c r="J63" s="10"/>
    </row>
    <row r="64" spans="1:10" x14ac:dyDescent="0.25">
      <c r="A64" s="19" t="s">
        <v>60</v>
      </c>
      <c r="B64" s="26"/>
      <c r="C64" s="9"/>
      <c r="D64" s="9"/>
      <c r="E64" s="9"/>
      <c r="F64" s="9"/>
      <c r="G64" s="9"/>
      <c r="H64" s="9"/>
      <c r="I64" s="10"/>
      <c r="J64" s="10"/>
    </row>
    <row r="65" spans="1:10" x14ac:dyDescent="0.25">
      <c r="A65" s="3" t="s">
        <v>77</v>
      </c>
      <c r="B65" s="1" t="s">
        <v>341</v>
      </c>
      <c r="C65" s="9"/>
      <c r="D65" s="9"/>
      <c r="E65" s="9"/>
      <c r="F65" s="9"/>
      <c r="G65" s="9"/>
      <c r="H65" s="9"/>
      <c r="I65" s="10"/>
      <c r="J65" s="10"/>
    </row>
    <row r="66" spans="1:10" x14ac:dyDescent="0.25">
      <c r="A66" s="3" t="s">
        <v>70</v>
      </c>
      <c r="B66" s="1" t="s">
        <v>79</v>
      </c>
      <c r="C66" s="9"/>
      <c r="D66" s="9"/>
      <c r="E66" s="9"/>
      <c r="F66" s="9"/>
      <c r="G66" s="9"/>
      <c r="H66" s="9"/>
      <c r="I66" s="10"/>
      <c r="J66" s="10"/>
    </row>
    <row r="67" spans="1:10" x14ac:dyDescent="0.25">
      <c r="A67" s="3" t="s">
        <v>71</v>
      </c>
      <c r="B67" s="1" t="s">
        <v>80</v>
      </c>
      <c r="C67" s="9"/>
      <c r="D67" s="9"/>
      <c r="E67" s="9"/>
      <c r="F67" s="9"/>
      <c r="G67" s="9"/>
      <c r="H67" s="9"/>
      <c r="I67" s="10"/>
      <c r="J67" s="10"/>
    </row>
    <row r="68" spans="1:10" x14ac:dyDescent="0.25">
      <c r="A68" s="3" t="s">
        <v>72</v>
      </c>
      <c r="B68" s="1" t="s">
        <v>81</v>
      </c>
      <c r="C68" s="9"/>
      <c r="D68" s="9"/>
      <c r="E68" s="9"/>
      <c r="F68" s="9"/>
      <c r="G68" s="9"/>
      <c r="H68" s="9"/>
      <c r="I68" s="10"/>
      <c r="J68" s="10"/>
    </row>
    <row r="69" spans="1:10" x14ac:dyDescent="0.25">
      <c r="C69" s="9"/>
      <c r="D69" s="9"/>
      <c r="E69" s="9"/>
      <c r="F69" s="9"/>
      <c r="G69" s="9"/>
      <c r="H69" s="9"/>
      <c r="I69" s="10"/>
      <c r="J69" s="10"/>
    </row>
    <row r="70" spans="1:10" x14ac:dyDescent="0.25">
      <c r="C70" s="9"/>
      <c r="D70" s="9"/>
      <c r="E70" s="9"/>
      <c r="F70" s="9"/>
      <c r="G70" s="9"/>
      <c r="H70" s="9"/>
      <c r="I70" s="10"/>
      <c r="J70" s="10"/>
    </row>
    <row r="71" spans="1:10" x14ac:dyDescent="0.25">
      <c r="C71" s="9"/>
      <c r="D71" s="9"/>
      <c r="E71" s="9"/>
      <c r="F71" s="9"/>
      <c r="G71" s="9"/>
      <c r="H71" s="9"/>
      <c r="I71" s="10"/>
      <c r="J71" s="10"/>
    </row>
    <row r="72" spans="1:10" x14ac:dyDescent="0.25">
      <c r="C72" s="9"/>
      <c r="D72" s="9"/>
      <c r="E72" s="9"/>
      <c r="F72" s="9"/>
      <c r="G72" s="9"/>
      <c r="H72" s="9"/>
      <c r="I72" s="10"/>
      <c r="J72" s="10"/>
    </row>
    <row r="73" spans="1:10" x14ac:dyDescent="0.25">
      <c r="C73" s="9"/>
      <c r="D73" s="9"/>
      <c r="E73" s="9"/>
      <c r="F73" s="9"/>
      <c r="G73" s="9"/>
      <c r="H73" s="9"/>
      <c r="I73" s="10"/>
      <c r="J73" s="10"/>
    </row>
    <row r="74" spans="1:10" x14ac:dyDescent="0.25">
      <c r="C74" s="9"/>
      <c r="D74" s="9"/>
      <c r="E74" s="9"/>
      <c r="F74" s="9"/>
      <c r="G74" s="9"/>
      <c r="H74" s="9"/>
      <c r="I74" s="10"/>
      <c r="J74" s="10"/>
    </row>
    <row r="75" spans="1:10" x14ac:dyDescent="0.25">
      <c r="C75" s="9"/>
      <c r="D75" s="9"/>
      <c r="E75" s="9"/>
      <c r="F75" s="9"/>
      <c r="G75" s="9"/>
      <c r="H75" s="9"/>
      <c r="I75" s="10"/>
      <c r="J75" s="10"/>
    </row>
  </sheetData>
  <mergeCells count="19">
    <mergeCell ref="A59:B59"/>
    <mergeCell ref="A60:B60"/>
    <mergeCell ref="A61:B61"/>
    <mergeCell ref="A64:B64"/>
    <mergeCell ref="I52:I53"/>
    <mergeCell ref="J52:J53"/>
    <mergeCell ref="A53:B53"/>
    <mergeCell ref="A57:B57"/>
    <mergeCell ref="A58:B58"/>
    <mergeCell ref="A45:B45"/>
    <mergeCell ref="A46:B46"/>
    <mergeCell ref="A51:B51"/>
    <mergeCell ref="A52:B52"/>
    <mergeCell ref="H52:H53"/>
    <mergeCell ref="C7:G7"/>
    <mergeCell ref="A37:B37"/>
    <mergeCell ref="A38:B38"/>
    <mergeCell ref="A43:B43"/>
    <mergeCell ref="A44:B44"/>
  </mergeCells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dimension ref="A2:J75"/>
  <sheetViews>
    <sheetView workbookViewId="0">
      <selection activeCell="C9" sqref="C9:J68"/>
    </sheetView>
  </sheetViews>
  <sheetFormatPr defaultRowHeight="15" x14ac:dyDescent="0.25"/>
  <cols>
    <col min="1" max="1" width="38.85546875" bestFit="1" customWidth="1"/>
    <col min="2" max="2" width="79" bestFit="1" customWidth="1"/>
    <col min="3" max="3" width="14" bestFit="1" customWidth="1"/>
    <col min="4" max="4" width="21.140625" bestFit="1" customWidth="1"/>
    <col min="5" max="5" width="16.42578125" bestFit="1" customWidth="1"/>
    <col min="6" max="6" width="10.5703125" bestFit="1" customWidth="1"/>
    <col min="7" max="7" width="68.28515625" bestFit="1" customWidth="1"/>
    <col min="8" max="9" width="20" bestFit="1" customWidth="1"/>
    <col min="10" max="10" width="30.5703125" bestFit="1" customWidth="1"/>
  </cols>
  <sheetData>
    <row r="2" spans="1:10" ht="18.75" x14ac:dyDescent="0.3">
      <c r="A2" s="3" t="s">
        <v>0</v>
      </c>
      <c r="B2" s="4" t="s">
        <v>342</v>
      </c>
    </row>
    <row r="3" spans="1:10" x14ac:dyDescent="0.25">
      <c r="A3" s="3" t="s">
        <v>2</v>
      </c>
      <c r="B3" s="1" t="s">
        <v>3</v>
      </c>
    </row>
    <row r="4" spans="1:10" x14ac:dyDescent="0.25">
      <c r="A4" s="3" t="s">
        <v>4</v>
      </c>
      <c r="B4" s="1">
        <v>2645</v>
      </c>
    </row>
    <row r="7" spans="1:10" x14ac:dyDescent="0.25">
      <c r="C7" s="19" t="s">
        <v>5</v>
      </c>
      <c r="D7" s="20"/>
      <c r="E7" s="20"/>
      <c r="F7" s="20"/>
      <c r="G7" s="20"/>
    </row>
    <row r="8" spans="1:10" x14ac:dyDescent="0.25">
      <c r="A8" s="3" t="s">
        <v>6</v>
      </c>
      <c r="B8" s="3" t="s">
        <v>7</v>
      </c>
      <c r="C8" s="3" t="s">
        <v>8</v>
      </c>
      <c r="D8" s="3" t="s">
        <v>9</v>
      </c>
      <c r="E8" s="3" t="s">
        <v>10</v>
      </c>
      <c r="F8" s="3" t="s">
        <v>11</v>
      </c>
      <c r="G8" s="3" t="s">
        <v>12</v>
      </c>
      <c r="H8" s="3" t="s">
        <v>13</v>
      </c>
      <c r="I8" s="3" t="s">
        <v>14</v>
      </c>
      <c r="J8" s="3" t="s">
        <v>15</v>
      </c>
    </row>
    <row r="9" spans="1:10" x14ac:dyDescent="0.25">
      <c r="A9" s="1" t="s">
        <v>16</v>
      </c>
      <c r="B9" s="1" t="s">
        <v>19</v>
      </c>
      <c r="C9" s="11">
        <v>35970</v>
      </c>
      <c r="D9" s="11"/>
      <c r="E9" s="11">
        <v>1380</v>
      </c>
      <c r="F9" s="11"/>
      <c r="G9" s="11">
        <f t="shared" ref="G9:G43" si="0">SUM(C9:F9)</f>
        <v>37350</v>
      </c>
      <c r="H9" s="17">
        <f t="shared" ref="H9:H43" si="1">ROUND(G9/2645,2)</f>
        <v>14.12</v>
      </c>
      <c r="I9" s="16">
        <f t="shared" ref="I9:I43" si="2">ROUND(G9/$G$44,3)</f>
        <v>0.108</v>
      </c>
      <c r="J9" s="16">
        <f>ROUND(G9/26360-1,2)</f>
        <v>0.42</v>
      </c>
    </row>
    <row r="10" spans="1:10" x14ac:dyDescent="0.25">
      <c r="A10" s="1" t="s">
        <v>16</v>
      </c>
      <c r="B10" s="1" t="s">
        <v>20</v>
      </c>
      <c r="C10" s="11">
        <v>40540</v>
      </c>
      <c r="D10" s="11"/>
      <c r="E10" s="11"/>
      <c r="F10" s="11"/>
      <c r="G10" s="11">
        <f t="shared" si="0"/>
        <v>40540</v>
      </c>
      <c r="H10" s="17">
        <f t="shared" si="1"/>
        <v>15.33</v>
      </c>
      <c r="I10" s="16">
        <f t="shared" si="2"/>
        <v>0.11799999999999999</v>
      </c>
      <c r="J10" s="16">
        <f>ROUND(G10/39790-1,2)</f>
        <v>0.02</v>
      </c>
    </row>
    <row r="11" spans="1:10" x14ac:dyDescent="0.25">
      <c r="A11" s="1" t="s">
        <v>16</v>
      </c>
      <c r="B11" s="1" t="s">
        <v>94</v>
      </c>
      <c r="C11" s="11"/>
      <c r="D11" s="11"/>
      <c r="E11" s="11">
        <v>56</v>
      </c>
      <c r="F11" s="11"/>
      <c r="G11" s="11">
        <f t="shared" si="0"/>
        <v>56</v>
      </c>
      <c r="H11" s="17">
        <f t="shared" si="1"/>
        <v>0.02</v>
      </c>
      <c r="I11" s="16">
        <f t="shared" si="2"/>
        <v>0</v>
      </c>
      <c r="J11" s="16">
        <f>ROUND(G11/18-1,2)</f>
        <v>2.11</v>
      </c>
    </row>
    <row r="12" spans="1:10" x14ac:dyDescent="0.25">
      <c r="A12" s="1" t="s">
        <v>16</v>
      </c>
      <c r="B12" s="1" t="s">
        <v>21</v>
      </c>
      <c r="C12" s="11"/>
      <c r="D12" s="11"/>
      <c r="E12" s="11">
        <v>179</v>
      </c>
      <c r="F12" s="11"/>
      <c r="G12" s="11">
        <f t="shared" si="0"/>
        <v>179</v>
      </c>
      <c r="H12" s="17">
        <f t="shared" si="1"/>
        <v>7.0000000000000007E-2</v>
      </c>
      <c r="I12" s="16">
        <f t="shared" si="2"/>
        <v>1E-3</v>
      </c>
      <c r="J12" s="16">
        <f>ROUND(G12/47-1,2)</f>
        <v>2.81</v>
      </c>
    </row>
    <row r="13" spans="1:10" x14ac:dyDescent="0.25">
      <c r="A13" s="1" t="s">
        <v>16</v>
      </c>
      <c r="B13" s="1" t="s">
        <v>23</v>
      </c>
      <c r="C13" s="11"/>
      <c r="D13" s="11"/>
      <c r="E13" s="11">
        <v>35810</v>
      </c>
      <c r="F13" s="11"/>
      <c r="G13" s="11">
        <f t="shared" si="0"/>
        <v>35810</v>
      </c>
      <c r="H13" s="17">
        <f t="shared" si="1"/>
        <v>13.54</v>
      </c>
      <c r="I13" s="16">
        <f t="shared" si="2"/>
        <v>0.104</v>
      </c>
      <c r="J13" s="16">
        <f>ROUND(G13/13280-1,2)</f>
        <v>1.7</v>
      </c>
    </row>
    <row r="14" spans="1:10" x14ac:dyDescent="0.25">
      <c r="A14" s="1" t="s">
        <v>16</v>
      </c>
      <c r="B14" s="1" t="s">
        <v>24</v>
      </c>
      <c r="C14" s="11">
        <v>43640</v>
      </c>
      <c r="D14" s="11"/>
      <c r="E14" s="11"/>
      <c r="F14" s="11"/>
      <c r="G14" s="11">
        <f t="shared" si="0"/>
        <v>43640</v>
      </c>
      <c r="H14" s="17">
        <f t="shared" si="1"/>
        <v>16.5</v>
      </c>
      <c r="I14" s="16">
        <f t="shared" si="2"/>
        <v>0.127</v>
      </c>
      <c r="J14" s="16">
        <f>ROUND(G14/36440-1,2)</f>
        <v>0.2</v>
      </c>
    </row>
    <row r="15" spans="1:10" x14ac:dyDescent="0.25">
      <c r="A15" s="1" t="s">
        <v>16</v>
      </c>
      <c r="B15" s="1" t="s">
        <v>25</v>
      </c>
      <c r="C15" s="11"/>
      <c r="D15" s="11"/>
      <c r="E15" s="11">
        <v>1230</v>
      </c>
      <c r="F15" s="11"/>
      <c r="G15" s="11">
        <f t="shared" si="0"/>
        <v>1230</v>
      </c>
      <c r="H15" s="17">
        <f t="shared" si="1"/>
        <v>0.47</v>
      </c>
      <c r="I15" s="16">
        <f t="shared" si="2"/>
        <v>4.0000000000000001E-3</v>
      </c>
      <c r="J15" s="16">
        <f>ROUND(G15/950-1,2)</f>
        <v>0.28999999999999998</v>
      </c>
    </row>
    <row r="16" spans="1:10" x14ac:dyDescent="0.25">
      <c r="A16" s="1" t="s">
        <v>16</v>
      </c>
      <c r="B16" s="1" t="s">
        <v>26</v>
      </c>
      <c r="C16" s="11">
        <v>61590</v>
      </c>
      <c r="D16" s="11"/>
      <c r="E16" s="11"/>
      <c r="F16" s="11"/>
      <c r="G16" s="11">
        <f t="shared" si="0"/>
        <v>61590</v>
      </c>
      <c r="H16" s="17">
        <f t="shared" si="1"/>
        <v>23.29</v>
      </c>
      <c r="I16" s="16">
        <f t="shared" si="2"/>
        <v>0.17899999999999999</v>
      </c>
      <c r="J16" s="16">
        <f>ROUND(G16/62600-1,2)</f>
        <v>-0.02</v>
      </c>
    </row>
    <row r="17" spans="1:10" x14ac:dyDescent="0.25">
      <c r="A17" s="1" t="s">
        <v>16</v>
      </c>
      <c r="B17" s="1" t="s">
        <v>27</v>
      </c>
      <c r="C17" s="11"/>
      <c r="D17" s="11"/>
      <c r="E17" s="11">
        <v>73</v>
      </c>
      <c r="F17" s="11"/>
      <c r="G17" s="11">
        <f t="shared" si="0"/>
        <v>73</v>
      </c>
      <c r="H17" s="17">
        <f t="shared" si="1"/>
        <v>0.03</v>
      </c>
      <c r="I17" s="16">
        <f t="shared" si="2"/>
        <v>0</v>
      </c>
      <c r="J17" s="16">
        <f>ROUND(G17/230-1,2)</f>
        <v>-0.68</v>
      </c>
    </row>
    <row r="18" spans="1:10" x14ac:dyDescent="0.25">
      <c r="A18" s="1" t="s">
        <v>16</v>
      </c>
      <c r="B18" s="1" t="s">
        <v>28</v>
      </c>
      <c r="C18" s="11"/>
      <c r="D18" s="11"/>
      <c r="E18" s="11">
        <v>55</v>
      </c>
      <c r="F18" s="11"/>
      <c r="G18" s="11">
        <f t="shared" si="0"/>
        <v>55</v>
      </c>
      <c r="H18" s="17">
        <f t="shared" si="1"/>
        <v>0.02</v>
      </c>
      <c r="I18" s="16">
        <f t="shared" si="2"/>
        <v>0</v>
      </c>
      <c r="J18" s="16">
        <f>ROUND(G18/55-1,2)</f>
        <v>0</v>
      </c>
    </row>
    <row r="19" spans="1:10" x14ac:dyDescent="0.25">
      <c r="A19" s="1" t="s">
        <v>16</v>
      </c>
      <c r="B19" s="1" t="s">
        <v>29</v>
      </c>
      <c r="C19" s="11"/>
      <c r="D19" s="11"/>
      <c r="E19" s="11">
        <v>260</v>
      </c>
      <c r="F19" s="11"/>
      <c r="G19" s="11">
        <f t="shared" si="0"/>
        <v>260</v>
      </c>
      <c r="H19" s="17">
        <f t="shared" si="1"/>
        <v>0.1</v>
      </c>
      <c r="I19" s="16">
        <f t="shared" si="2"/>
        <v>1E-3</v>
      </c>
      <c r="J19" s="16">
        <f>ROUND(G19/620-1,2)</f>
        <v>-0.57999999999999996</v>
      </c>
    </row>
    <row r="20" spans="1:10" x14ac:dyDescent="0.25">
      <c r="A20" s="1" t="s">
        <v>16</v>
      </c>
      <c r="B20" s="1" t="s">
        <v>31</v>
      </c>
      <c r="C20" s="11"/>
      <c r="D20" s="11"/>
      <c r="E20" s="11">
        <v>480</v>
      </c>
      <c r="F20" s="11"/>
      <c r="G20" s="11">
        <f t="shared" si="0"/>
        <v>480</v>
      </c>
      <c r="H20" s="17">
        <f t="shared" si="1"/>
        <v>0.18</v>
      </c>
      <c r="I20" s="16">
        <f t="shared" si="2"/>
        <v>1E-3</v>
      </c>
      <c r="J20" s="16">
        <f>ROUND(G20/85-1,2)</f>
        <v>4.6500000000000004</v>
      </c>
    </row>
    <row r="21" spans="1:10" x14ac:dyDescent="0.25">
      <c r="A21" s="1" t="s">
        <v>16</v>
      </c>
      <c r="B21" s="1" t="s">
        <v>32</v>
      </c>
      <c r="C21" s="11"/>
      <c r="D21" s="11">
        <v>62</v>
      </c>
      <c r="E21" s="11"/>
      <c r="F21" s="11"/>
      <c r="G21" s="11">
        <f t="shared" si="0"/>
        <v>62</v>
      </c>
      <c r="H21" s="17">
        <f t="shared" si="1"/>
        <v>0.02</v>
      </c>
      <c r="I21" s="16">
        <f t="shared" si="2"/>
        <v>0</v>
      </c>
      <c r="J21" s="16">
        <f>ROUND(G21/92-1,2)</f>
        <v>-0.33</v>
      </c>
    </row>
    <row r="22" spans="1:10" x14ac:dyDescent="0.25">
      <c r="A22" s="1" t="s">
        <v>16</v>
      </c>
      <c r="B22" s="1" t="s">
        <v>33</v>
      </c>
      <c r="C22" s="11"/>
      <c r="D22" s="11"/>
      <c r="E22" s="11">
        <v>500</v>
      </c>
      <c r="F22" s="11"/>
      <c r="G22" s="11">
        <f t="shared" si="0"/>
        <v>500</v>
      </c>
      <c r="H22" s="17">
        <f t="shared" si="1"/>
        <v>0.19</v>
      </c>
      <c r="I22" s="16">
        <f t="shared" si="2"/>
        <v>1E-3</v>
      </c>
      <c r="J22" s="16"/>
    </row>
    <row r="23" spans="1:10" x14ac:dyDescent="0.25">
      <c r="A23" s="1" t="s">
        <v>16</v>
      </c>
      <c r="B23" s="1" t="s">
        <v>34</v>
      </c>
      <c r="C23" s="11"/>
      <c r="D23" s="11"/>
      <c r="E23" s="11">
        <v>260</v>
      </c>
      <c r="F23" s="11"/>
      <c r="G23" s="11">
        <f t="shared" si="0"/>
        <v>260</v>
      </c>
      <c r="H23" s="17">
        <f t="shared" si="1"/>
        <v>0.1</v>
      </c>
      <c r="I23" s="16">
        <f t="shared" si="2"/>
        <v>1E-3</v>
      </c>
      <c r="J23" s="16">
        <f>ROUND(G23/183-1,2)</f>
        <v>0.42</v>
      </c>
    </row>
    <row r="24" spans="1:10" x14ac:dyDescent="0.25">
      <c r="A24" s="1" t="s">
        <v>16</v>
      </c>
      <c r="B24" s="1" t="s">
        <v>35</v>
      </c>
      <c r="C24" s="11"/>
      <c r="D24" s="11"/>
      <c r="E24" s="11">
        <v>21550</v>
      </c>
      <c r="F24" s="11"/>
      <c r="G24" s="11">
        <f t="shared" si="0"/>
        <v>21550</v>
      </c>
      <c r="H24" s="17">
        <f t="shared" si="1"/>
        <v>8.15</v>
      </c>
      <c r="I24" s="16">
        <f t="shared" si="2"/>
        <v>6.3E-2</v>
      </c>
      <c r="J24" s="16">
        <f>ROUND(G24/14890-1,2)</f>
        <v>0.45</v>
      </c>
    </row>
    <row r="25" spans="1:10" x14ac:dyDescent="0.25">
      <c r="A25" s="1" t="s">
        <v>16</v>
      </c>
      <c r="B25" s="1" t="s">
        <v>36</v>
      </c>
      <c r="C25" s="11"/>
      <c r="D25" s="11"/>
      <c r="E25" s="11">
        <v>1740</v>
      </c>
      <c r="F25" s="11"/>
      <c r="G25" s="11">
        <f t="shared" si="0"/>
        <v>1740</v>
      </c>
      <c r="H25" s="17">
        <f t="shared" si="1"/>
        <v>0.66</v>
      </c>
      <c r="I25" s="16">
        <f t="shared" si="2"/>
        <v>5.0000000000000001E-3</v>
      </c>
      <c r="J25" s="16">
        <f>ROUND(G25/820-1,2)</f>
        <v>1.1200000000000001</v>
      </c>
    </row>
    <row r="26" spans="1:10" x14ac:dyDescent="0.25">
      <c r="A26" s="1" t="s">
        <v>16</v>
      </c>
      <c r="B26" s="1" t="s">
        <v>37</v>
      </c>
      <c r="C26" s="11"/>
      <c r="D26" s="11"/>
      <c r="E26" s="11">
        <v>5140</v>
      </c>
      <c r="F26" s="11"/>
      <c r="G26" s="11">
        <f t="shared" si="0"/>
        <v>5140</v>
      </c>
      <c r="H26" s="17">
        <f t="shared" si="1"/>
        <v>1.94</v>
      </c>
      <c r="I26" s="16">
        <f t="shared" si="2"/>
        <v>1.4999999999999999E-2</v>
      </c>
      <c r="J26" s="16">
        <f>ROUND(G26/4620-1,2)</f>
        <v>0.11</v>
      </c>
    </row>
    <row r="27" spans="1:10" x14ac:dyDescent="0.25">
      <c r="A27" s="1" t="s">
        <v>16</v>
      </c>
      <c r="B27" s="1" t="s">
        <v>38</v>
      </c>
      <c r="C27" s="11"/>
      <c r="D27" s="11"/>
      <c r="E27" s="11">
        <v>15920</v>
      </c>
      <c r="F27" s="11"/>
      <c r="G27" s="11">
        <f t="shared" si="0"/>
        <v>15920</v>
      </c>
      <c r="H27" s="17">
        <f t="shared" si="1"/>
        <v>6.02</v>
      </c>
      <c r="I27" s="16">
        <f t="shared" si="2"/>
        <v>4.5999999999999999E-2</v>
      </c>
      <c r="J27" s="16">
        <f>ROUND(G27/16320-1,2)</f>
        <v>-0.02</v>
      </c>
    </row>
    <row r="28" spans="1:10" x14ac:dyDescent="0.25">
      <c r="A28" s="1" t="s">
        <v>16</v>
      </c>
      <c r="B28" s="1" t="s">
        <v>17</v>
      </c>
      <c r="C28" s="11"/>
      <c r="D28" s="11"/>
      <c r="E28" s="11"/>
      <c r="F28" s="11"/>
      <c r="G28" s="11">
        <f t="shared" si="0"/>
        <v>0</v>
      </c>
      <c r="H28" s="17">
        <f t="shared" si="1"/>
        <v>0</v>
      </c>
      <c r="I28" s="16">
        <f t="shared" si="2"/>
        <v>0</v>
      </c>
      <c r="J28" s="16">
        <f>ROUND(G28/30-1,2)</f>
        <v>-1</v>
      </c>
    </row>
    <row r="29" spans="1:10" x14ac:dyDescent="0.25">
      <c r="A29" s="1" t="s">
        <v>16</v>
      </c>
      <c r="B29" s="1" t="s">
        <v>18</v>
      </c>
      <c r="C29" s="11"/>
      <c r="D29" s="11"/>
      <c r="E29" s="11"/>
      <c r="F29" s="11"/>
      <c r="G29" s="11">
        <f t="shared" si="0"/>
        <v>0</v>
      </c>
      <c r="H29" s="17">
        <f t="shared" si="1"/>
        <v>0</v>
      </c>
      <c r="I29" s="16">
        <f t="shared" si="2"/>
        <v>0</v>
      </c>
      <c r="J29" s="16">
        <f>ROUND(G29/1340-1,2)</f>
        <v>-1</v>
      </c>
    </row>
    <row r="30" spans="1:10" x14ac:dyDescent="0.25">
      <c r="A30" s="1" t="s">
        <v>16</v>
      </c>
      <c r="B30" s="1" t="s">
        <v>22</v>
      </c>
      <c r="C30" s="11"/>
      <c r="D30" s="11"/>
      <c r="E30" s="11"/>
      <c r="F30" s="11"/>
      <c r="G30" s="11">
        <f t="shared" si="0"/>
        <v>0</v>
      </c>
      <c r="H30" s="17">
        <f t="shared" si="1"/>
        <v>0</v>
      </c>
      <c r="I30" s="16">
        <f t="shared" si="2"/>
        <v>0</v>
      </c>
      <c r="J30" s="16"/>
    </row>
    <row r="31" spans="1:10" x14ac:dyDescent="0.25">
      <c r="A31" s="1" t="s">
        <v>16</v>
      </c>
      <c r="B31" s="1" t="s">
        <v>40</v>
      </c>
      <c r="C31" s="11"/>
      <c r="D31" s="11"/>
      <c r="E31" s="11"/>
      <c r="F31" s="11"/>
      <c r="G31" s="11">
        <f t="shared" si="0"/>
        <v>0</v>
      </c>
      <c r="H31" s="17">
        <f t="shared" si="1"/>
        <v>0</v>
      </c>
      <c r="I31" s="16">
        <f t="shared" si="2"/>
        <v>0</v>
      </c>
      <c r="J31" s="16">
        <f>ROUND(G31/1186-1,2)</f>
        <v>-1</v>
      </c>
    </row>
    <row r="32" spans="1:10" x14ac:dyDescent="0.25">
      <c r="A32" s="1" t="s">
        <v>16</v>
      </c>
      <c r="B32" s="1" t="s">
        <v>41</v>
      </c>
      <c r="C32" s="11"/>
      <c r="D32" s="11"/>
      <c r="E32" s="11"/>
      <c r="F32" s="11"/>
      <c r="G32" s="11">
        <f t="shared" si="0"/>
        <v>0</v>
      </c>
      <c r="H32" s="17">
        <f t="shared" si="1"/>
        <v>0</v>
      </c>
      <c r="I32" s="16">
        <f t="shared" si="2"/>
        <v>0</v>
      </c>
      <c r="J32" s="16">
        <f>ROUND(G32/1134-1,2)</f>
        <v>-1</v>
      </c>
    </row>
    <row r="33" spans="1:10" x14ac:dyDescent="0.25">
      <c r="A33" s="1" t="s">
        <v>16</v>
      </c>
      <c r="B33" s="1" t="s">
        <v>42</v>
      </c>
      <c r="C33" s="11"/>
      <c r="D33" s="11"/>
      <c r="E33" s="11"/>
      <c r="F33" s="11"/>
      <c r="G33" s="11">
        <f t="shared" si="0"/>
        <v>0</v>
      </c>
      <c r="H33" s="17">
        <f t="shared" si="1"/>
        <v>0</v>
      </c>
      <c r="I33" s="16">
        <f t="shared" si="2"/>
        <v>0</v>
      </c>
      <c r="J33" s="16">
        <f>ROUND(G33/2600-1,2)</f>
        <v>-1</v>
      </c>
    </row>
    <row r="34" spans="1:10" x14ac:dyDescent="0.25">
      <c r="A34" s="1" t="s">
        <v>16</v>
      </c>
      <c r="B34" s="1" t="s">
        <v>43</v>
      </c>
      <c r="C34" s="11"/>
      <c r="D34" s="11"/>
      <c r="E34" s="11"/>
      <c r="F34" s="11"/>
      <c r="G34" s="11">
        <f t="shared" si="0"/>
        <v>0</v>
      </c>
      <c r="H34" s="17">
        <f t="shared" si="1"/>
        <v>0</v>
      </c>
      <c r="I34" s="16">
        <f t="shared" si="2"/>
        <v>0</v>
      </c>
      <c r="J34" s="16">
        <f>ROUND(G34/547-1,2)</f>
        <v>-1</v>
      </c>
    </row>
    <row r="35" spans="1:10" x14ac:dyDescent="0.25">
      <c r="A35" s="1" t="s">
        <v>16</v>
      </c>
      <c r="B35" s="1" t="s">
        <v>39</v>
      </c>
      <c r="C35" s="11"/>
      <c r="D35" s="11"/>
      <c r="E35" s="11"/>
      <c r="F35" s="11"/>
      <c r="G35" s="11">
        <f t="shared" si="0"/>
        <v>0</v>
      </c>
      <c r="H35" s="17">
        <f t="shared" si="1"/>
        <v>0</v>
      </c>
      <c r="I35" s="16">
        <f t="shared" si="2"/>
        <v>0</v>
      </c>
      <c r="J35" s="16">
        <f>ROUND(G35/94-1,2)</f>
        <v>-1</v>
      </c>
    </row>
    <row r="36" spans="1:10" x14ac:dyDescent="0.25">
      <c r="A36" s="1" t="s">
        <v>16</v>
      </c>
      <c r="B36" s="1" t="s">
        <v>30</v>
      </c>
      <c r="C36" s="11"/>
      <c r="D36" s="11"/>
      <c r="E36" s="11"/>
      <c r="F36" s="11"/>
      <c r="G36" s="11">
        <f t="shared" si="0"/>
        <v>0</v>
      </c>
      <c r="H36" s="17">
        <f t="shared" si="1"/>
        <v>0</v>
      </c>
      <c r="I36" s="16">
        <f t="shared" si="2"/>
        <v>0</v>
      </c>
      <c r="J36" s="16">
        <f>ROUND(G36/230-1,2)</f>
        <v>-1</v>
      </c>
    </row>
    <row r="37" spans="1:10" x14ac:dyDescent="0.25">
      <c r="A37" s="1" t="s">
        <v>16</v>
      </c>
      <c r="B37" s="1" t="s">
        <v>242</v>
      </c>
      <c r="C37" s="11"/>
      <c r="D37" s="11"/>
      <c r="E37" s="11"/>
      <c r="F37" s="11"/>
      <c r="G37" s="11">
        <f t="shared" si="0"/>
        <v>0</v>
      </c>
      <c r="H37" s="17">
        <f t="shared" si="1"/>
        <v>0</v>
      </c>
      <c r="I37" s="16">
        <f t="shared" si="2"/>
        <v>0</v>
      </c>
      <c r="J37" s="16"/>
    </row>
    <row r="38" spans="1:10" x14ac:dyDescent="0.25">
      <c r="A38" s="1" t="s">
        <v>44</v>
      </c>
      <c r="B38" s="1" t="s">
        <v>45</v>
      </c>
      <c r="C38" s="11">
        <v>49910</v>
      </c>
      <c r="D38" s="11"/>
      <c r="E38" s="11"/>
      <c r="F38" s="11">
        <v>300</v>
      </c>
      <c r="G38" s="11">
        <f t="shared" si="0"/>
        <v>50210</v>
      </c>
      <c r="H38" s="17">
        <f t="shared" si="1"/>
        <v>18.98</v>
      </c>
      <c r="I38" s="16">
        <f t="shared" si="2"/>
        <v>0.14599999999999999</v>
      </c>
      <c r="J38" s="16">
        <f>ROUND(G38/44640-1,2)</f>
        <v>0.12</v>
      </c>
    </row>
    <row r="39" spans="1:10" x14ac:dyDescent="0.25">
      <c r="A39" s="1" t="s">
        <v>44</v>
      </c>
      <c r="B39" s="1" t="s">
        <v>47</v>
      </c>
      <c r="C39" s="11"/>
      <c r="D39" s="11"/>
      <c r="E39" s="11"/>
      <c r="F39" s="11">
        <v>12070</v>
      </c>
      <c r="G39" s="11">
        <f t="shared" si="0"/>
        <v>12070</v>
      </c>
      <c r="H39" s="17">
        <f t="shared" si="1"/>
        <v>4.5599999999999996</v>
      </c>
      <c r="I39" s="16">
        <f t="shared" si="2"/>
        <v>3.5000000000000003E-2</v>
      </c>
      <c r="J39" s="16">
        <f>ROUND(G39/9375-1,2)</f>
        <v>0.28999999999999998</v>
      </c>
    </row>
    <row r="40" spans="1:10" x14ac:dyDescent="0.25">
      <c r="A40" s="1" t="s">
        <v>44</v>
      </c>
      <c r="B40" s="1" t="s">
        <v>46</v>
      </c>
      <c r="C40" s="11"/>
      <c r="D40" s="11"/>
      <c r="E40" s="11">
        <v>16020</v>
      </c>
      <c r="F40" s="11"/>
      <c r="G40" s="11">
        <f t="shared" si="0"/>
        <v>16020</v>
      </c>
      <c r="H40" s="17">
        <f t="shared" si="1"/>
        <v>6.06</v>
      </c>
      <c r="I40" s="16">
        <f t="shared" si="2"/>
        <v>4.5999999999999999E-2</v>
      </c>
      <c r="J40" s="16">
        <f>ROUND(G40/9010-1,2)</f>
        <v>0.78</v>
      </c>
    </row>
    <row r="41" spans="1:10" x14ac:dyDescent="0.25">
      <c r="A41" s="1" t="s">
        <v>48</v>
      </c>
      <c r="B41" s="1" t="s">
        <v>51</v>
      </c>
      <c r="C41" s="11"/>
      <c r="D41" s="11"/>
      <c r="E41" s="11"/>
      <c r="F41" s="11"/>
      <c r="G41" s="11">
        <f t="shared" si="0"/>
        <v>0</v>
      </c>
      <c r="H41" s="17">
        <f t="shared" si="1"/>
        <v>0</v>
      </c>
      <c r="I41" s="16">
        <f t="shared" si="2"/>
        <v>0</v>
      </c>
      <c r="J41" s="16"/>
    </row>
    <row r="42" spans="1:10" x14ac:dyDescent="0.25">
      <c r="A42" s="1" t="s">
        <v>48</v>
      </c>
      <c r="B42" s="1" t="s">
        <v>49</v>
      </c>
      <c r="C42" s="11"/>
      <c r="D42" s="11"/>
      <c r="E42" s="11"/>
      <c r="F42" s="11"/>
      <c r="G42" s="11">
        <f t="shared" si="0"/>
        <v>0</v>
      </c>
      <c r="H42" s="17">
        <f t="shared" si="1"/>
        <v>0</v>
      </c>
      <c r="I42" s="16">
        <f t="shared" si="2"/>
        <v>0</v>
      </c>
      <c r="J42" s="16"/>
    </row>
    <row r="43" spans="1:10" x14ac:dyDescent="0.25">
      <c r="A43" s="1" t="s">
        <v>48</v>
      </c>
      <c r="B43" s="1" t="s">
        <v>50</v>
      </c>
      <c r="C43" s="11"/>
      <c r="D43" s="11"/>
      <c r="E43" s="11"/>
      <c r="F43" s="11"/>
      <c r="G43" s="11">
        <f t="shared" si="0"/>
        <v>0</v>
      </c>
      <c r="H43" s="17">
        <f t="shared" si="1"/>
        <v>0</v>
      </c>
      <c r="I43" s="16">
        <f t="shared" si="2"/>
        <v>0</v>
      </c>
      <c r="J43" s="16"/>
    </row>
    <row r="44" spans="1:10" x14ac:dyDescent="0.25">
      <c r="A44" s="21" t="s">
        <v>12</v>
      </c>
      <c r="B44" s="21"/>
      <c r="C44" s="12">
        <f t="shared" ref="C44:H44" si="3">SUM(C8:C43)</f>
        <v>231650</v>
      </c>
      <c r="D44" s="12">
        <f t="shared" si="3"/>
        <v>62</v>
      </c>
      <c r="E44" s="12">
        <f t="shared" si="3"/>
        <v>100653</v>
      </c>
      <c r="F44" s="12">
        <f t="shared" si="3"/>
        <v>12370</v>
      </c>
      <c r="G44" s="12">
        <f t="shared" si="3"/>
        <v>344735</v>
      </c>
      <c r="H44" s="15">
        <f t="shared" si="3"/>
        <v>130.35</v>
      </c>
      <c r="I44" s="18"/>
      <c r="J44" s="18"/>
    </row>
    <row r="45" spans="1:10" x14ac:dyDescent="0.25">
      <c r="A45" s="21" t="s">
        <v>14</v>
      </c>
      <c r="B45" s="21"/>
      <c r="C45" s="13">
        <f>ROUND(C44/G44,2)</f>
        <v>0.67</v>
      </c>
      <c r="D45" s="13">
        <f>ROUND(D44/G44,2)</f>
        <v>0</v>
      </c>
      <c r="E45" s="13">
        <f>ROUND(E44/G44,2)</f>
        <v>0.28999999999999998</v>
      </c>
      <c r="F45" s="13">
        <f>ROUND(F44/G44,2)</f>
        <v>0.04</v>
      </c>
      <c r="G45" s="14"/>
      <c r="H45" s="14"/>
      <c r="I45" s="18"/>
      <c r="J45" s="18"/>
    </row>
    <row r="46" spans="1:10" x14ac:dyDescent="0.25">
      <c r="A46" s="2" t="s">
        <v>52</v>
      </c>
      <c r="B46" s="2"/>
      <c r="C46" s="14"/>
      <c r="D46" s="14"/>
      <c r="E46" s="14"/>
      <c r="F46" s="14"/>
      <c r="G46" s="14"/>
      <c r="H46" s="14"/>
      <c r="I46" s="18"/>
      <c r="J46" s="18"/>
    </row>
    <row r="47" spans="1:10" x14ac:dyDescent="0.25">
      <c r="C47" s="9"/>
      <c r="D47" s="9"/>
      <c r="E47" s="9"/>
      <c r="F47" s="9"/>
      <c r="G47" s="9"/>
      <c r="H47" s="9"/>
      <c r="I47" s="10"/>
      <c r="J47" s="10"/>
    </row>
    <row r="48" spans="1:10" x14ac:dyDescent="0.25">
      <c r="C48" s="9"/>
      <c r="D48" s="9"/>
      <c r="E48" s="9"/>
      <c r="F48" s="9"/>
      <c r="G48" s="9"/>
      <c r="H48" s="9"/>
      <c r="I48" s="10"/>
      <c r="J48" s="10"/>
    </row>
    <row r="49" spans="1:10" x14ac:dyDescent="0.25">
      <c r="C49" s="9"/>
      <c r="D49" s="9"/>
      <c r="E49" s="9"/>
      <c r="F49" s="9"/>
      <c r="G49" s="9"/>
      <c r="H49" s="9"/>
      <c r="I49" s="10"/>
      <c r="J49" s="10"/>
    </row>
    <row r="50" spans="1:10" x14ac:dyDescent="0.25">
      <c r="A50" s="21" t="s">
        <v>53</v>
      </c>
      <c r="B50" s="21"/>
      <c r="C50" s="12" t="s">
        <v>8</v>
      </c>
      <c r="D50" s="12" t="s">
        <v>9</v>
      </c>
      <c r="E50" s="12" t="s">
        <v>10</v>
      </c>
      <c r="F50" s="12" t="s">
        <v>11</v>
      </c>
      <c r="G50" s="12" t="s">
        <v>12</v>
      </c>
      <c r="H50" s="15" t="s">
        <v>13</v>
      </c>
      <c r="I50" s="18"/>
      <c r="J50" s="18"/>
    </row>
    <row r="51" spans="1:10" x14ac:dyDescent="0.25">
      <c r="A51" s="20" t="s">
        <v>54</v>
      </c>
      <c r="B51" s="20"/>
      <c r="C51" s="11">
        <v>181740</v>
      </c>
      <c r="D51" s="11">
        <v>62</v>
      </c>
      <c r="E51" s="11">
        <v>84633</v>
      </c>
      <c r="F51" s="11">
        <v>0</v>
      </c>
      <c r="G51" s="11">
        <f>SUM(C51:F51)</f>
        <v>266435</v>
      </c>
      <c r="H51" s="17">
        <f>ROUND(G51/2645,2)</f>
        <v>100.73</v>
      </c>
      <c r="I51" s="10"/>
      <c r="J51" s="10"/>
    </row>
    <row r="52" spans="1:10" x14ac:dyDescent="0.25">
      <c r="A52" s="20" t="s">
        <v>55</v>
      </c>
      <c r="B52" s="20"/>
      <c r="C52" s="11">
        <v>49910</v>
      </c>
      <c r="D52" s="11">
        <v>0</v>
      </c>
      <c r="E52" s="11">
        <v>16020</v>
      </c>
      <c r="F52" s="11">
        <v>12370</v>
      </c>
      <c r="G52" s="11">
        <f>SUM(C52:F52)</f>
        <v>78300</v>
      </c>
      <c r="H52" s="17">
        <f>ROUND(G52/2645,2)</f>
        <v>29.6</v>
      </c>
      <c r="I52" s="10"/>
      <c r="J52" s="10"/>
    </row>
    <row r="53" spans="1:10" x14ac:dyDescent="0.25">
      <c r="A53" s="20" t="s">
        <v>56</v>
      </c>
      <c r="B53" s="20"/>
      <c r="C53" s="11">
        <v>0</v>
      </c>
      <c r="D53" s="11">
        <v>0</v>
      </c>
      <c r="E53" s="11">
        <v>0</v>
      </c>
      <c r="F53" s="11">
        <v>0</v>
      </c>
      <c r="G53" s="11">
        <f>SUM(C53:F53)</f>
        <v>0</v>
      </c>
      <c r="H53" s="17">
        <f>ROUND(G53/2645,2)</f>
        <v>0</v>
      </c>
      <c r="I53" s="10"/>
      <c r="J53" s="10"/>
    </row>
    <row r="54" spans="1:10" x14ac:dyDescent="0.25">
      <c r="C54" s="9"/>
      <c r="D54" s="9"/>
      <c r="E54" s="9"/>
      <c r="F54" s="9"/>
      <c r="G54" s="9"/>
      <c r="H54" s="9"/>
      <c r="I54" s="10"/>
      <c r="J54" s="10"/>
    </row>
    <row r="55" spans="1:10" x14ac:dyDescent="0.25">
      <c r="C55" s="9"/>
      <c r="D55" s="9"/>
      <c r="E55" s="9"/>
      <c r="F55" s="9"/>
      <c r="G55" s="9"/>
      <c r="H55" s="9"/>
      <c r="I55" s="10"/>
      <c r="J55" s="10"/>
    </row>
    <row r="56" spans="1:10" x14ac:dyDescent="0.25">
      <c r="C56" s="9"/>
      <c r="D56" s="9"/>
      <c r="E56" s="9"/>
      <c r="F56" s="9"/>
      <c r="G56" s="9"/>
      <c r="H56" s="9"/>
      <c r="I56" s="10"/>
      <c r="J56" s="10"/>
    </row>
    <row r="57" spans="1:10" x14ac:dyDescent="0.25">
      <c r="C57" s="9"/>
      <c r="D57" s="9"/>
      <c r="E57" s="9"/>
      <c r="F57" s="9"/>
      <c r="G57" s="9"/>
      <c r="H57" s="9"/>
      <c r="I57" s="10"/>
      <c r="J57" s="10"/>
    </row>
    <row r="58" spans="1:10" x14ac:dyDescent="0.25">
      <c r="A58" s="21" t="s">
        <v>57</v>
      </c>
      <c r="B58" s="21"/>
      <c r="C58" s="15" t="s">
        <v>2</v>
      </c>
      <c r="D58" s="15">
        <v>2023</v>
      </c>
      <c r="E58" s="15" t="s">
        <v>59</v>
      </c>
      <c r="F58" s="14"/>
      <c r="G58" s="15" t="s">
        <v>60</v>
      </c>
      <c r="H58" s="15" t="s">
        <v>2</v>
      </c>
      <c r="I58" s="13" t="s">
        <v>61</v>
      </c>
      <c r="J58" s="13" t="s">
        <v>59</v>
      </c>
    </row>
    <row r="59" spans="1:10" x14ac:dyDescent="0.25">
      <c r="A59" s="20" t="s">
        <v>58</v>
      </c>
      <c r="B59" s="20"/>
      <c r="C59" s="16">
        <f>ROUND(0.8319, 4)</f>
        <v>0.83189999999999997</v>
      </c>
      <c r="D59" s="16">
        <f>ROUND(0.8277, 4)</f>
        <v>0.82769999999999999</v>
      </c>
      <c r="E59" s="16">
        <f>ROUND(0.777, 4)</f>
        <v>0.77700000000000002</v>
      </c>
      <c r="F59" s="9"/>
      <c r="G59" s="15" t="s">
        <v>62</v>
      </c>
      <c r="H59" s="22" t="s">
        <v>63</v>
      </c>
      <c r="I59" s="24" t="s">
        <v>64</v>
      </c>
      <c r="J59" s="24" t="s">
        <v>65</v>
      </c>
    </row>
    <row r="60" spans="1:10" x14ac:dyDescent="0.25">
      <c r="A60" s="20" t="s">
        <v>66</v>
      </c>
      <c r="B60" s="20"/>
      <c r="C60" s="16">
        <f>ROUND(0.8164, 4)</f>
        <v>0.81640000000000001</v>
      </c>
      <c r="D60" s="16">
        <f>ROUND(0.8142, 4)</f>
        <v>0.81420000000000003</v>
      </c>
      <c r="E60" s="16">
        <f>ROUND(0.7608, 4)</f>
        <v>0.76080000000000003</v>
      </c>
      <c r="F60" s="9"/>
      <c r="G60" s="15" t="s">
        <v>67</v>
      </c>
      <c r="H60" s="23"/>
      <c r="I60" s="25"/>
      <c r="J60" s="25"/>
    </row>
    <row r="61" spans="1:10" x14ac:dyDescent="0.25">
      <c r="C61" s="9"/>
      <c r="D61" s="9"/>
      <c r="E61" s="9"/>
      <c r="F61" s="9"/>
      <c r="G61" s="9"/>
      <c r="H61" s="9"/>
      <c r="I61" s="10"/>
      <c r="J61" s="10"/>
    </row>
    <row r="62" spans="1:10" x14ac:dyDescent="0.25">
      <c r="C62" s="9"/>
      <c r="D62" s="9"/>
      <c r="E62" s="9"/>
      <c r="F62" s="9"/>
      <c r="G62" s="9"/>
      <c r="H62" s="9"/>
      <c r="I62" s="10"/>
      <c r="J62" s="10"/>
    </row>
    <row r="63" spans="1:10" x14ac:dyDescent="0.25">
      <c r="C63" s="9"/>
      <c r="D63" s="9"/>
      <c r="E63" s="9"/>
      <c r="F63" s="9"/>
      <c r="G63" s="9"/>
      <c r="H63" s="9"/>
      <c r="I63" s="10"/>
      <c r="J63" s="10"/>
    </row>
    <row r="64" spans="1:10" x14ac:dyDescent="0.25">
      <c r="A64" s="21" t="s">
        <v>68</v>
      </c>
      <c r="B64" s="21"/>
      <c r="C64" s="15" t="s">
        <v>2</v>
      </c>
      <c r="D64" s="15" t="s">
        <v>343</v>
      </c>
      <c r="E64" s="15" t="s">
        <v>70</v>
      </c>
      <c r="F64" s="15" t="s">
        <v>71</v>
      </c>
      <c r="G64" s="15" t="s">
        <v>72</v>
      </c>
      <c r="H64" s="14"/>
      <c r="I64" s="18"/>
      <c r="J64" s="18"/>
    </row>
    <row r="65" spans="1:10" x14ac:dyDescent="0.25">
      <c r="A65" s="20" t="s">
        <v>73</v>
      </c>
      <c r="B65" s="20"/>
      <c r="C65" s="17">
        <v>18.98</v>
      </c>
      <c r="D65" s="17">
        <v>51.41</v>
      </c>
      <c r="E65" s="17">
        <v>81.84</v>
      </c>
      <c r="F65" s="17">
        <v>48</v>
      </c>
      <c r="G65" s="17">
        <f>12/4*C65</f>
        <v>56.94</v>
      </c>
      <c r="H65" s="9"/>
      <c r="I65" s="10"/>
      <c r="J65" s="10"/>
    </row>
    <row r="66" spans="1:10" x14ac:dyDescent="0.25">
      <c r="A66" s="20" t="s">
        <v>74</v>
      </c>
      <c r="B66" s="20"/>
      <c r="C66" s="17">
        <v>23.29</v>
      </c>
      <c r="D66" s="17">
        <v>65.89</v>
      </c>
      <c r="E66" s="17">
        <v>55.63</v>
      </c>
      <c r="F66" s="17">
        <v>55.33</v>
      </c>
      <c r="G66" s="17">
        <f>12/4*C66</f>
        <v>69.87</v>
      </c>
      <c r="H66" s="9"/>
      <c r="I66" s="10"/>
      <c r="J66" s="10"/>
    </row>
    <row r="67" spans="1:10" x14ac:dyDescent="0.25">
      <c r="A67" s="20" t="s">
        <v>75</v>
      </c>
      <c r="B67" s="20"/>
      <c r="C67" s="17">
        <v>100.73</v>
      </c>
      <c r="D67" s="17">
        <v>250.46</v>
      </c>
      <c r="E67" s="17">
        <v>257.88</v>
      </c>
      <c r="F67" s="17">
        <v>242.78</v>
      </c>
      <c r="G67" s="17">
        <f>12/4*C67</f>
        <v>302.19</v>
      </c>
      <c r="H67" s="9"/>
      <c r="I67" s="10"/>
      <c r="J67" s="10"/>
    </row>
    <row r="68" spans="1:10" x14ac:dyDescent="0.25">
      <c r="A68" s="20" t="s">
        <v>76</v>
      </c>
      <c r="B68" s="20"/>
      <c r="C68" s="17">
        <v>29.6</v>
      </c>
      <c r="D68" s="17">
        <v>72.61</v>
      </c>
      <c r="E68" s="17">
        <v>103.14</v>
      </c>
      <c r="F68" s="17">
        <v>68.31</v>
      </c>
      <c r="G68" s="17">
        <f>12/4*C68</f>
        <v>88.800000000000011</v>
      </c>
      <c r="H68" s="9"/>
      <c r="I68" s="10"/>
      <c r="J68" s="10"/>
    </row>
    <row r="71" spans="1:10" x14ac:dyDescent="0.25">
      <c r="A71" s="19" t="s">
        <v>60</v>
      </c>
      <c r="B71" s="26"/>
    </row>
    <row r="72" spans="1:10" x14ac:dyDescent="0.25">
      <c r="A72" s="3" t="s">
        <v>77</v>
      </c>
      <c r="B72" s="1" t="s">
        <v>344</v>
      </c>
    </row>
    <row r="73" spans="1:10" x14ac:dyDescent="0.25">
      <c r="A73" s="3" t="s">
        <v>70</v>
      </c>
      <c r="B73" s="1" t="s">
        <v>79</v>
      </c>
    </row>
    <row r="74" spans="1:10" x14ac:dyDescent="0.25">
      <c r="A74" s="3" t="s">
        <v>71</v>
      </c>
      <c r="B74" s="1" t="s">
        <v>80</v>
      </c>
    </row>
    <row r="75" spans="1:10" x14ac:dyDescent="0.25">
      <c r="A75" s="3" t="s">
        <v>72</v>
      </c>
      <c r="B75" s="1" t="s">
        <v>81</v>
      </c>
    </row>
  </sheetData>
  <mergeCells count="19">
    <mergeCell ref="A66:B66"/>
    <mergeCell ref="A67:B67"/>
    <mergeCell ref="A68:B68"/>
    <mergeCell ref="A71:B71"/>
    <mergeCell ref="I59:I60"/>
    <mergeCell ref="J59:J60"/>
    <mergeCell ref="A60:B60"/>
    <mergeCell ref="A64:B64"/>
    <mergeCell ref="A65:B65"/>
    <mergeCell ref="A52:B52"/>
    <mergeCell ref="A53:B53"/>
    <mergeCell ref="A58:B58"/>
    <mergeCell ref="A59:B59"/>
    <mergeCell ref="H59:H60"/>
    <mergeCell ref="C7:G7"/>
    <mergeCell ref="A44:B44"/>
    <mergeCell ref="A45:B45"/>
    <mergeCell ref="A50:B50"/>
    <mergeCell ref="A51:B51"/>
  </mergeCells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dimension ref="A2:J71"/>
  <sheetViews>
    <sheetView workbookViewId="0">
      <selection activeCell="C9" sqref="C9:J71"/>
    </sheetView>
  </sheetViews>
  <sheetFormatPr defaultRowHeight="15" x14ac:dyDescent="0.25"/>
  <cols>
    <col min="1" max="1" width="38.85546875" bestFit="1" customWidth="1"/>
    <col min="2" max="2" width="79" bestFit="1" customWidth="1"/>
    <col min="3" max="3" width="14" bestFit="1" customWidth="1"/>
    <col min="4" max="4" width="23.42578125" bestFit="1" customWidth="1"/>
    <col min="5" max="5" width="16.42578125" bestFit="1" customWidth="1"/>
    <col min="6" max="6" width="10.5703125" bestFit="1" customWidth="1"/>
    <col min="7" max="7" width="68.28515625" bestFit="1" customWidth="1"/>
    <col min="8" max="9" width="20" bestFit="1" customWidth="1"/>
    <col min="10" max="10" width="30.5703125" bestFit="1" customWidth="1"/>
  </cols>
  <sheetData>
    <row r="2" spans="1:10" ht="18.75" x14ac:dyDescent="0.3">
      <c r="A2" s="3" t="s">
        <v>0</v>
      </c>
      <c r="B2" s="4" t="s">
        <v>345</v>
      </c>
    </row>
    <row r="3" spans="1:10" x14ac:dyDescent="0.25">
      <c r="A3" s="3" t="s">
        <v>2</v>
      </c>
      <c r="B3" s="1" t="s">
        <v>3</v>
      </c>
    </row>
    <row r="4" spans="1:10" x14ac:dyDescent="0.25">
      <c r="A4" s="3" t="s">
        <v>4</v>
      </c>
      <c r="B4" s="1">
        <v>1924</v>
      </c>
    </row>
    <row r="7" spans="1:10" x14ac:dyDescent="0.25">
      <c r="C7" s="19" t="s">
        <v>5</v>
      </c>
      <c r="D7" s="20"/>
      <c r="E7" s="20"/>
      <c r="F7" s="20"/>
      <c r="G7" s="20"/>
    </row>
    <row r="8" spans="1:10" x14ac:dyDescent="0.25">
      <c r="A8" s="3" t="s">
        <v>6</v>
      </c>
      <c r="B8" s="3" t="s">
        <v>7</v>
      </c>
      <c r="C8" s="3" t="s">
        <v>8</v>
      </c>
      <c r="D8" s="3" t="s">
        <v>9</v>
      </c>
      <c r="E8" s="3" t="s">
        <v>10</v>
      </c>
      <c r="F8" s="3" t="s">
        <v>11</v>
      </c>
      <c r="G8" s="3" t="s">
        <v>12</v>
      </c>
      <c r="H8" s="3" t="s">
        <v>13</v>
      </c>
      <c r="I8" s="3" t="s">
        <v>14</v>
      </c>
      <c r="J8" s="3" t="s">
        <v>15</v>
      </c>
    </row>
    <row r="9" spans="1:10" x14ac:dyDescent="0.25">
      <c r="A9" s="1" t="s">
        <v>16</v>
      </c>
      <c r="B9" s="1" t="s">
        <v>18</v>
      </c>
      <c r="C9" s="11"/>
      <c r="D9" s="11"/>
      <c r="E9" s="11"/>
      <c r="F9" s="11">
        <v>2860</v>
      </c>
      <c r="G9" s="11">
        <f t="shared" ref="G9:G36" si="0">SUM(C9:F9)</f>
        <v>2860</v>
      </c>
      <c r="H9" s="17">
        <f t="shared" ref="H9:H36" si="1">ROUND(G9/1924,2)</f>
        <v>1.49</v>
      </c>
      <c r="I9" s="16">
        <f t="shared" ref="I9:I36" si="2">ROUND(G9/$G$37,3)</f>
        <v>1.2E-2</v>
      </c>
      <c r="J9" s="16">
        <f>ROUND(G9/1460-1,2)</f>
        <v>0.96</v>
      </c>
    </row>
    <row r="10" spans="1:10" x14ac:dyDescent="0.25">
      <c r="A10" s="1" t="s">
        <v>16</v>
      </c>
      <c r="B10" s="1" t="s">
        <v>19</v>
      </c>
      <c r="C10" s="11">
        <v>20620</v>
      </c>
      <c r="D10" s="11"/>
      <c r="E10" s="11"/>
      <c r="F10" s="11"/>
      <c r="G10" s="11">
        <f t="shared" si="0"/>
        <v>20620</v>
      </c>
      <c r="H10" s="17">
        <f t="shared" si="1"/>
        <v>10.72</v>
      </c>
      <c r="I10" s="16">
        <f t="shared" si="2"/>
        <v>8.3000000000000004E-2</v>
      </c>
      <c r="J10" s="16">
        <f>ROUND(G10/20140-1,2)</f>
        <v>0.02</v>
      </c>
    </row>
    <row r="11" spans="1:10" x14ac:dyDescent="0.25">
      <c r="A11" s="1" t="s">
        <v>16</v>
      </c>
      <c r="B11" s="1" t="s">
        <v>20</v>
      </c>
      <c r="C11" s="11">
        <v>28785</v>
      </c>
      <c r="D11" s="11"/>
      <c r="E11" s="11"/>
      <c r="F11" s="11"/>
      <c r="G11" s="11">
        <f t="shared" si="0"/>
        <v>28785</v>
      </c>
      <c r="H11" s="17">
        <f t="shared" si="1"/>
        <v>14.96</v>
      </c>
      <c r="I11" s="16">
        <f t="shared" si="2"/>
        <v>0.11600000000000001</v>
      </c>
      <c r="J11" s="16">
        <f>ROUND(G11/27670-1,2)</f>
        <v>0.04</v>
      </c>
    </row>
    <row r="12" spans="1:10" x14ac:dyDescent="0.25">
      <c r="A12" s="1" t="s">
        <v>16</v>
      </c>
      <c r="B12" s="1" t="s">
        <v>22</v>
      </c>
      <c r="C12" s="11"/>
      <c r="D12" s="11"/>
      <c r="E12" s="11">
        <v>1100</v>
      </c>
      <c r="F12" s="11"/>
      <c r="G12" s="11">
        <f t="shared" si="0"/>
        <v>1100</v>
      </c>
      <c r="H12" s="17">
        <f t="shared" si="1"/>
        <v>0.56999999999999995</v>
      </c>
      <c r="I12" s="16">
        <f t="shared" si="2"/>
        <v>4.0000000000000001E-3</v>
      </c>
      <c r="J12" s="16"/>
    </row>
    <row r="13" spans="1:10" x14ac:dyDescent="0.25">
      <c r="A13" s="1" t="s">
        <v>16</v>
      </c>
      <c r="B13" s="1" t="s">
        <v>24</v>
      </c>
      <c r="C13" s="11">
        <v>34655</v>
      </c>
      <c r="D13" s="11"/>
      <c r="E13" s="11"/>
      <c r="F13" s="11"/>
      <c r="G13" s="11">
        <f t="shared" si="0"/>
        <v>34655</v>
      </c>
      <c r="H13" s="17">
        <f t="shared" si="1"/>
        <v>18.010000000000002</v>
      </c>
      <c r="I13" s="16">
        <f t="shared" si="2"/>
        <v>0.14000000000000001</v>
      </c>
      <c r="J13" s="16">
        <f>ROUND(G13/34360-1,2)</f>
        <v>0.01</v>
      </c>
    </row>
    <row r="14" spans="1:10" x14ac:dyDescent="0.25">
      <c r="A14" s="1" t="s">
        <v>16</v>
      </c>
      <c r="B14" s="1" t="s">
        <v>25</v>
      </c>
      <c r="C14" s="11"/>
      <c r="D14" s="11"/>
      <c r="E14" s="11">
        <v>700</v>
      </c>
      <c r="F14" s="11"/>
      <c r="G14" s="11">
        <f t="shared" si="0"/>
        <v>700</v>
      </c>
      <c r="H14" s="17">
        <f t="shared" si="1"/>
        <v>0.36</v>
      </c>
      <c r="I14" s="16">
        <f t="shared" si="2"/>
        <v>3.0000000000000001E-3</v>
      </c>
      <c r="J14" s="16">
        <f>ROUND(G14/970-1,2)</f>
        <v>-0.28000000000000003</v>
      </c>
    </row>
    <row r="15" spans="1:10" x14ac:dyDescent="0.25">
      <c r="A15" s="1" t="s">
        <v>16</v>
      </c>
      <c r="B15" s="1" t="s">
        <v>26</v>
      </c>
      <c r="C15" s="11">
        <v>57020</v>
      </c>
      <c r="D15" s="11"/>
      <c r="E15" s="11"/>
      <c r="F15" s="11"/>
      <c r="G15" s="11">
        <f t="shared" si="0"/>
        <v>57020</v>
      </c>
      <c r="H15" s="17">
        <f t="shared" si="1"/>
        <v>29.64</v>
      </c>
      <c r="I15" s="16">
        <f t="shared" si="2"/>
        <v>0.23</v>
      </c>
      <c r="J15" s="16">
        <f>ROUND(G15/52720-1,2)</f>
        <v>0.08</v>
      </c>
    </row>
    <row r="16" spans="1:10" x14ac:dyDescent="0.25">
      <c r="A16" s="1" t="s">
        <v>16</v>
      </c>
      <c r="B16" s="1" t="s">
        <v>27</v>
      </c>
      <c r="C16" s="11"/>
      <c r="D16" s="11"/>
      <c r="E16" s="11">
        <v>268</v>
      </c>
      <c r="F16" s="11"/>
      <c r="G16" s="11">
        <f t="shared" si="0"/>
        <v>268</v>
      </c>
      <c r="H16" s="17">
        <f t="shared" si="1"/>
        <v>0.14000000000000001</v>
      </c>
      <c r="I16" s="16">
        <f t="shared" si="2"/>
        <v>1E-3</v>
      </c>
      <c r="J16" s="16">
        <f>ROUND(G16/216-1,2)</f>
        <v>0.24</v>
      </c>
    </row>
    <row r="17" spans="1:10" x14ac:dyDescent="0.25">
      <c r="A17" s="1" t="s">
        <v>16</v>
      </c>
      <c r="B17" s="1" t="s">
        <v>28</v>
      </c>
      <c r="C17" s="11"/>
      <c r="D17" s="11"/>
      <c r="E17" s="11">
        <v>101</v>
      </c>
      <c r="F17" s="11"/>
      <c r="G17" s="11">
        <f t="shared" si="0"/>
        <v>101</v>
      </c>
      <c r="H17" s="17">
        <f t="shared" si="1"/>
        <v>0.05</v>
      </c>
      <c r="I17" s="16">
        <f t="shared" si="2"/>
        <v>0</v>
      </c>
      <c r="J17" s="16">
        <f>ROUND(G17/112-1,2)</f>
        <v>-0.1</v>
      </c>
    </row>
    <row r="18" spans="1:10" x14ac:dyDescent="0.25">
      <c r="A18" s="1" t="s">
        <v>16</v>
      </c>
      <c r="B18" s="1" t="s">
        <v>29</v>
      </c>
      <c r="C18" s="11"/>
      <c r="D18" s="11"/>
      <c r="E18" s="11">
        <v>280</v>
      </c>
      <c r="F18" s="11"/>
      <c r="G18" s="11">
        <f t="shared" si="0"/>
        <v>280</v>
      </c>
      <c r="H18" s="17">
        <f t="shared" si="1"/>
        <v>0.15</v>
      </c>
      <c r="I18" s="16">
        <f t="shared" si="2"/>
        <v>1E-3</v>
      </c>
      <c r="J18" s="16">
        <f>ROUND(G18/150-1,2)</f>
        <v>0.87</v>
      </c>
    </row>
    <row r="19" spans="1:10" x14ac:dyDescent="0.25">
      <c r="A19" s="1" t="s">
        <v>16</v>
      </c>
      <c r="B19" s="1" t="s">
        <v>31</v>
      </c>
      <c r="C19" s="11"/>
      <c r="D19" s="11"/>
      <c r="E19" s="11">
        <v>165</v>
      </c>
      <c r="F19" s="11"/>
      <c r="G19" s="11">
        <f t="shared" si="0"/>
        <v>165</v>
      </c>
      <c r="H19" s="17">
        <f t="shared" si="1"/>
        <v>0.09</v>
      </c>
      <c r="I19" s="16">
        <f t="shared" si="2"/>
        <v>1E-3</v>
      </c>
      <c r="J19" s="16">
        <f>ROUND(G19/155-1,2)</f>
        <v>0.06</v>
      </c>
    </row>
    <row r="20" spans="1:10" x14ac:dyDescent="0.25">
      <c r="A20" s="1" t="s">
        <v>16</v>
      </c>
      <c r="B20" s="1" t="s">
        <v>32</v>
      </c>
      <c r="C20" s="11"/>
      <c r="D20" s="11">
        <v>50</v>
      </c>
      <c r="E20" s="11"/>
      <c r="F20" s="11"/>
      <c r="G20" s="11">
        <f t="shared" si="0"/>
        <v>50</v>
      </c>
      <c r="H20" s="17">
        <f t="shared" si="1"/>
        <v>0.03</v>
      </c>
      <c r="I20" s="16">
        <f t="shared" si="2"/>
        <v>0</v>
      </c>
      <c r="J20" s="16">
        <f>ROUND(G20/42-1,2)</f>
        <v>0.19</v>
      </c>
    </row>
    <row r="21" spans="1:10" x14ac:dyDescent="0.25">
      <c r="A21" s="1" t="s">
        <v>16</v>
      </c>
      <c r="B21" s="1" t="s">
        <v>34</v>
      </c>
      <c r="C21" s="11"/>
      <c r="D21" s="11">
        <v>50</v>
      </c>
      <c r="E21" s="11"/>
      <c r="F21" s="11"/>
      <c r="G21" s="11">
        <f t="shared" si="0"/>
        <v>50</v>
      </c>
      <c r="H21" s="17">
        <f t="shared" si="1"/>
        <v>0.03</v>
      </c>
      <c r="I21" s="16">
        <f t="shared" si="2"/>
        <v>0</v>
      </c>
      <c r="J21" s="16">
        <f>ROUND(G21/30-1,2)</f>
        <v>0.67</v>
      </c>
    </row>
    <row r="22" spans="1:10" x14ac:dyDescent="0.25">
      <c r="A22" s="1" t="s">
        <v>16</v>
      </c>
      <c r="B22" s="1" t="s">
        <v>35</v>
      </c>
      <c r="C22" s="11"/>
      <c r="D22" s="11"/>
      <c r="E22" s="11">
        <v>18120</v>
      </c>
      <c r="F22" s="11"/>
      <c r="G22" s="11">
        <f t="shared" si="0"/>
        <v>18120</v>
      </c>
      <c r="H22" s="17">
        <f t="shared" si="1"/>
        <v>9.42</v>
      </c>
      <c r="I22" s="16">
        <f t="shared" si="2"/>
        <v>7.2999999999999995E-2</v>
      </c>
      <c r="J22" s="16">
        <f>ROUND(G22/19970-1,2)</f>
        <v>-0.09</v>
      </c>
    </row>
    <row r="23" spans="1:10" x14ac:dyDescent="0.25">
      <c r="A23" s="1" t="s">
        <v>16</v>
      </c>
      <c r="B23" s="1" t="s">
        <v>36</v>
      </c>
      <c r="C23" s="11"/>
      <c r="D23" s="11"/>
      <c r="E23" s="11">
        <v>2520</v>
      </c>
      <c r="F23" s="11"/>
      <c r="G23" s="11">
        <f t="shared" si="0"/>
        <v>2520</v>
      </c>
      <c r="H23" s="17">
        <f t="shared" si="1"/>
        <v>1.31</v>
      </c>
      <c r="I23" s="16">
        <f t="shared" si="2"/>
        <v>0.01</v>
      </c>
      <c r="J23" s="16">
        <f>ROUND(G23/3040-1,2)</f>
        <v>-0.17</v>
      </c>
    </row>
    <row r="24" spans="1:10" x14ac:dyDescent="0.25">
      <c r="A24" s="1" t="s">
        <v>16</v>
      </c>
      <c r="B24" s="1" t="s">
        <v>37</v>
      </c>
      <c r="C24" s="11"/>
      <c r="D24" s="11"/>
      <c r="E24" s="11">
        <v>8830</v>
      </c>
      <c r="F24" s="11"/>
      <c r="G24" s="11">
        <f t="shared" si="0"/>
        <v>8830</v>
      </c>
      <c r="H24" s="17">
        <f t="shared" si="1"/>
        <v>4.59</v>
      </c>
      <c r="I24" s="16">
        <f t="shared" si="2"/>
        <v>3.5999999999999997E-2</v>
      </c>
      <c r="J24" s="16">
        <f>ROUND(G24/8620-1,2)</f>
        <v>0.02</v>
      </c>
    </row>
    <row r="25" spans="1:10" x14ac:dyDescent="0.25">
      <c r="A25" s="1" t="s">
        <v>16</v>
      </c>
      <c r="B25" s="1" t="s">
        <v>38</v>
      </c>
      <c r="C25" s="11"/>
      <c r="D25" s="11"/>
      <c r="E25" s="11">
        <v>12080</v>
      </c>
      <c r="F25" s="11"/>
      <c r="G25" s="11">
        <f t="shared" si="0"/>
        <v>12080</v>
      </c>
      <c r="H25" s="17">
        <f t="shared" si="1"/>
        <v>6.28</v>
      </c>
      <c r="I25" s="16">
        <f t="shared" si="2"/>
        <v>4.9000000000000002E-2</v>
      </c>
      <c r="J25" s="16">
        <f>ROUND(G25/9500-1,2)</f>
        <v>0.27</v>
      </c>
    </row>
    <row r="26" spans="1:10" x14ac:dyDescent="0.25">
      <c r="A26" s="1" t="s">
        <v>16</v>
      </c>
      <c r="B26" s="1" t="s">
        <v>33</v>
      </c>
      <c r="C26" s="11"/>
      <c r="D26" s="11"/>
      <c r="E26" s="11"/>
      <c r="F26" s="11"/>
      <c r="G26" s="11">
        <f t="shared" si="0"/>
        <v>0</v>
      </c>
      <c r="H26" s="17">
        <f t="shared" si="1"/>
        <v>0</v>
      </c>
      <c r="I26" s="16">
        <f t="shared" si="2"/>
        <v>0</v>
      </c>
      <c r="J26" s="16"/>
    </row>
    <row r="27" spans="1:10" x14ac:dyDescent="0.25">
      <c r="A27" s="1" t="s">
        <v>16</v>
      </c>
      <c r="B27" s="1" t="s">
        <v>41</v>
      </c>
      <c r="C27" s="11"/>
      <c r="D27" s="11"/>
      <c r="E27" s="11"/>
      <c r="F27" s="11"/>
      <c r="G27" s="11">
        <f t="shared" si="0"/>
        <v>0</v>
      </c>
      <c r="H27" s="17">
        <f t="shared" si="1"/>
        <v>0</v>
      </c>
      <c r="I27" s="16">
        <f t="shared" si="2"/>
        <v>0</v>
      </c>
      <c r="J27" s="16">
        <f>ROUND(G27/3240-1,2)</f>
        <v>-1</v>
      </c>
    </row>
    <row r="28" spans="1:10" x14ac:dyDescent="0.25">
      <c r="A28" s="1" t="s">
        <v>16</v>
      </c>
      <c r="B28" s="1" t="s">
        <v>43</v>
      </c>
      <c r="C28" s="11"/>
      <c r="D28" s="11"/>
      <c r="E28" s="11"/>
      <c r="F28" s="11"/>
      <c r="G28" s="11">
        <f t="shared" si="0"/>
        <v>0</v>
      </c>
      <c r="H28" s="17">
        <f t="shared" si="1"/>
        <v>0</v>
      </c>
      <c r="I28" s="16">
        <f t="shared" si="2"/>
        <v>0</v>
      </c>
      <c r="J28" s="16">
        <f>ROUND(G28/1188-1,2)</f>
        <v>-1</v>
      </c>
    </row>
    <row r="29" spans="1:10" x14ac:dyDescent="0.25">
      <c r="A29" s="1" t="s">
        <v>16</v>
      </c>
      <c r="B29" s="1" t="s">
        <v>40</v>
      </c>
      <c r="C29" s="11"/>
      <c r="D29" s="11"/>
      <c r="E29" s="11"/>
      <c r="F29" s="11"/>
      <c r="G29" s="11">
        <f t="shared" si="0"/>
        <v>0</v>
      </c>
      <c r="H29" s="17">
        <f t="shared" si="1"/>
        <v>0</v>
      </c>
      <c r="I29" s="16">
        <f t="shared" si="2"/>
        <v>0</v>
      </c>
      <c r="J29" s="16"/>
    </row>
    <row r="30" spans="1:10" x14ac:dyDescent="0.25">
      <c r="A30" s="1" t="s">
        <v>16</v>
      </c>
      <c r="B30" s="1" t="s">
        <v>30</v>
      </c>
      <c r="C30" s="11"/>
      <c r="D30" s="11"/>
      <c r="E30" s="11"/>
      <c r="F30" s="11"/>
      <c r="G30" s="11">
        <f t="shared" si="0"/>
        <v>0</v>
      </c>
      <c r="H30" s="17">
        <f t="shared" si="1"/>
        <v>0</v>
      </c>
      <c r="I30" s="16">
        <f t="shared" si="2"/>
        <v>0</v>
      </c>
      <c r="J30" s="16"/>
    </row>
    <row r="31" spans="1:10" x14ac:dyDescent="0.25">
      <c r="A31" s="1" t="s">
        <v>16</v>
      </c>
      <c r="B31" s="1" t="s">
        <v>23</v>
      </c>
      <c r="C31" s="11"/>
      <c r="D31" s="11"/>
      <c r="E31" s="11"/>
      <c r="F31" s="11"/>
      <c r="G31" s="11">
        <f t="shared" si="0"/>
        <v>0</v>
      </c>
      <c r="H31" s="17">
        <f t="shared" si="1"/>
        <v>0</v>
      </c>
      <c r="I31" s="16">
        <f t="shared" si="2"/>
        <v>0</v>
      </c>
      <c r="J31" s="16">
        <f>ROUND(G31/75320-1,2)</f>
        <v>-1</v>
      </c>
    </row>
    <row r="32" spans="1:10" x14ac:dyDescent="0.25">
      <c r="A32" s="1" t="s">
        <v>16</v>
      </c>
      <c r="B32" s="1" t="s">
        <v>17</v>
      </c>
      <c r="C32" s="11"/>
      <c r="D32" s="11"/>
      <c r="E32" s="11"/>
      <c r="F32" s="11"/>
      <c r="G32" s="11">
        <f t="shared" si="0"/>
        <v>0</v>
      </c>
      <c r="H32" s="17">
        <f t="shared" si="1"/>
        <v>0</v>
      </c>
      <c r="I32" s="16">
        <f t="shared" si="2"/>
        <v>0</v>
      </c>
      <c r="J32" s="16"/>
    </row>
    <row r="33" spans="1:10" x14ac:dyDescent="0.25">
      <c r="A33" s="1" t="s">
        <v>16</v>
      </c>
      <c r="B33" s="1" t="s">
        <v>39</v>
      </c>
      <c r="C33" s="11"/>
      <c r="D33" s="11"/>
      <c r="E33" s="11"/>
      <c r="F33" s="11"/>
      <c r="G33" s="11">
        <f t="shared" si="0"/>
        <v>0</v>
      </c>
      <c r="H33" s="17">
        <f t="shared" si="1"/>
        <v>0</v>
      </c>
      <c r="I33" s="16">
        <f t="shared" si="2"/>
        <v>0</v>
      </c>
      <c r="J33" s="16"/>
    </row>
    <row r="34" spans="1:10" x14ac:dyDescent="0.25">
      <c r="A34" s="1" t="s">
        <v>16</v>
      </c>
      <c r="B34" s="1" t="s">
        <v>90</v>
      </c>
      <c r="C34" s="11"/>
      <c r="D34" s="11"/>
      <c r="E34" s="11"/>
      <c r="F34" s="11"/>
      <c r="G34" s="11">
        <f t="shared" si="0"/>
        <v>0</v>
      </c>
      <c r="H34" s="17">
        <f t="shared" si="1"/>
        <v>0</v>
      </c>
      <c r="I34" s="16">
        <f t="shared" si="2"/>
        <v>0</v>
      </c>
      <c r="J34" s="16"/>
    </row>
    <row r="35" spans="1:10" x14ac:dyDescent="0.25">
      <c r="A35" s="1" t="s">
        <v>44</v>
      </c>
      <c r="B35" s="1" t="s">
        <v>45</v>
      </c>
      <c r="C35" s="11">
        <v>43115</v>
      </c>
      <c r="D35" s="11">
        <v>1260</v>
      </c>
      <c r="E35" s="11"/>
      <c r="F35" s="11"/>
      <c r="G35" s="11">
        <f t="shared" si="0"/>
        <v>44375</v>
      </c>
      <c r="H35" s="17">
        <f t="shared" si="1"/>
        <v>23.06</v>
      </c>
      <c r="I35" s="16">
        <f t="shared" si="2"/>
        <v>0.17899999999999999</v>
      </c>
      <c r="J35" s="16">
        <f>ROUND(G35/50410-1,2)</f>
        <v>-0.12</v>
      </c>
    </row>
    <row r="36" spans="1:10" x14ac:dyDescent="0.25">
      <c r="A36" s="1" t="s">
        <v>44</v>
      </c>
      <c r="B36" s="1" t="s">
        <v>46</v>
      </c>
      <c r="C36" s="11"/>
      <c r="D36" s="11"/>
      <c r="E36" s="11">
        <v>15600</v>
      </c>
      <c r="F36" s="11"/>
      <c r="G36" s="11">
        <f t="shared" si="0"/>
        <v>15600</v>
      </c>
      <c r="H36" s="17">
        <f t="shared" si="1"/>
        <v>8.11</v>
      </c>
      <c r="I36" s="16">
        <f t="shared" si="2"/>
        <v>6.3E-2</v>
      </c>
      <c r="J36" s="16">
        <f>ROUND(G36/24080-1,2)</f>
        <v>-0.35</v>
      </c>
    </row>
    <row r="37" spans="1:10" x14ac:dyDescent="0.25">
      <c r="A37" s="21" t="s">
        <v>12</v>
      </c>
      <c r="B37" s="21"/>
      <c r="C37" s="12">
        <f t="shared" ref="C37:H37" si="3">SUM(C8:C36)</f>
        <v>184195</v>
      </c>
      <c r="D37" s="12">
        <f t="shared" si="3"/>
        <v>1360</v>
      </c>
      <c r="E37" s="12">
        <f t="shared" si="3"/>
        <v>59764</v>
      </c>
      <c r="F37" s="12">
        <f t="shared" si="3"/>
        <v>2860</v>
      </c>
      <c r="G37" s="12">
        <f t="shared" si="3"/>
        <v>248179</v>
      </c>
      <c r="H37" s="15">
        <f t="shared" si="3"/>
        <v>129.01000000000002</v>
      </c>
      <c r="I37" s="18"/>
      <c r="J37" s="18"/>
    </row>
    <row r="38" spans="1:10" x14ac:dyDescent="0.25">
      <c r="A38" s="21" t="s">
        <v>14</v>
      </c>
      <c r="B38" s="21"/>
      <c r="C38" s="13">
        <f>ROUND(C37/G37,2)</f>
        <v>0.74</v>
      </c>
      <c r="D38" s="13">
        <f>ROUND(D37/G37,2)</f>
        <v>0.01</v>
      </c>
      <c r="E38" s="13">
        <f>ROUND(E37/G37,2)</f>
        <v>0.24</v>
      </c>
      <c r="F38" s="13">
        <f>ROUND(F37/G37,2)</f>
        <v>0.01</v>
      </c>
      <c r="G38" s="14"/>
      <c r="H38" s="14"/>
      <c r="I38" s="18"/>
      <c r="J38" s="18"/>
    </row>
    <row r="39" spans="1:10" x14ac:dyDescent="0.25">
      <c r="A39" s="2" t="s">
        <v>52</v>
      </c>
      <c r="B39" s="2"/>
      <c r="C39" s="14"/>
      <c r="D39" s="14"/>
      <c r="E39" s="14"/>
      <c r="F39" s="14"/>
      <c r="G39" s="14"/>
      <c r="H39" s="14"/>
      <c r="I39" s="18"/>
      <c r="J39" s="18"/>
    </row>
    <row r="40" spans="1:10" x14ac:dyDescent="0.25">
      <c r="C40" s="9"/>
      <c r="D40" s="9"/>
      <c r="E40" s="9"/>
      <c r="F40" s="9"/>
      <c r="G40" s="9"/>
      <c r="H40" s="9"/>
      <c r="I40" s="10"/>
      <c r="J40" s="10"/>
    </row>
    <row r="41" spans="1:10" x14ac:dyDescent="0.25">
      <c r="C41" s="9"/>
      <c r="D41" s="9"/>
      <c r="E41" s="9"/>
      <c r="F41" s="9"/>
      <c r="G41" s="9"/>
      <c r="H41" s="9"/>
      <c r="I41" s="10"/>
      <c r="J41" s="10"/>
    </row>
    <row r="42" spans="1:10" x14ac:dyDescent="0.25">
      <c r="C42" s="9"/>
      <c r="D42" s="9"/>
      <c r="E42" s="9"/>
      <c r="F42" s="9"/>
      <c r="G42" s="9"/>
      <c r="H42" s="9"/>
      <c r="I42" s="10"/>
      <c r="J42" s="10"/>
    </row>
    <row r="43" spans="1:10" x14ac:dyDescent="0.25">
      <c r="A43" s="21" t="s">
        <v>53</v>
      </c>
      <c r="B43" s="21"/>
      <c r="C43" s="12" t="s">
        <v>8</v>
      </c>
      <c r="D43" s="12" t="s">
        <v>9</v>
      </c>
      <c r="E43" s="12" t="s">
        <v>10</v>
      </c>
      <c r="F43" s="12" t="s">
        <v>11</v>
      </c>
      <c r="G43" s="12" t="s">
        <v>12</v>
      </c>
      <c r="H43" s="15" t="s">
        <v>13</v>
      </c>
      <c r="I43" s="18"/>
      <c r="J43" s="18"/>
    </row>
    <row r="44" spans="1:10" x14ac:dyDescent="0.25">
      <c r="A44" s="20" t="s">
        <v>54</v>
      </c>
      <c r="B44" s="20"/>
      <c r="C44" s="11">
        <v>141080</v>
      </c>
      <c r="D44" s="11">
        <v>100</v>
      </c>
      <c r="E44" s="11">
        <v>44164</v>
      </c>
      <c r="F44" s="11">
        <v>2860</v>
      </c>
      <c r="G44" s="11">
        <f>SUM(C44:F44)</f>
        <v>188204</v>
      </c>
      <c r="H44" s="17">
        <f>ROUND(G44/1924,2)</f>
        <v>97.82</v>
      </c>
      <c r="I44" s="10"/>
      <c r="J44" s="10"/>
    </row>
    <row r="45" spans="1:10" x14ac:dyDescent="0.25">
      <c r="A45" s="20" t="s">
        <v>55</v>
      </c>
      <c r="B45" s="20"/>
      <c r="C45" s="11">
        <v>43115</v>
      </c>
      <c r="D45" s="11">
        <v>1260</v>
      </c>
      <c r="E45" s="11">
        <v>15600</v>
      </c>
      <c r="F45" s="11">
        <v>0</v>
      </c>
      <c r="G45" s="11">
        <f>SUM(C45:F45)</f>
        <v>59975</v>
      </c>
      <c r="H45" s="17">
        <f>ROUND(G45/1924,2)</f>
        <v>31.17</v>
      </c>
      <c r="I45" s="10"/>
      <c r="J45" s="10"/>
    </row>
    <row r="46" spans="1:10" x14ac:dyDescent="0.25">
      <c r="A46" s="20" t="s">
        <v>56</v>
      </c>
      <c r="B46" s="20"/>
      <c r="C46" s="11"/>
      <c r="D46" s="11"/>
      <c r="E46" s="11"/>
      <c r="F46" s="11"/>
      <c r="G46" s="11">
        <f>SUM(C46:F46)</f>
        <v>0</v>
      </c>
      <c r="H46" s="17">
        <f>ROUND(G46/1924,2)</f>
        <v>0</v>
      </c>
      <c r="I46" s="10"/>
      <c r="J46" s="10"/>
    </row>
    <row r="47" spans="1:10" x14ac:dyDescent="0.25">
      <c r="C47" s="9"/>
      <c r="D47" s="9"/>
      <c r="E47" s="9"/>
      <c r="F47" s="9"/>
      <c r="G47" s="9"/>
      <c r="H47" s="9"/>
      <c r="I47" s="10"/>
      <c r="J47" s="10"/>
    </row>
    <row r="48" spans="1:10" x14ac:dyDescent="0.25">
      <c r="C48" s="9"/>
      <c r="D48" s="9"/>
      <c r="E48" s="9"/>
      <c r="F48" s="9"/>
      <c r="G48" s="9"/>
      <c r="H48" s="9"/>
      <c r="I48" s="10"/>
      <c r="J48" s="10"/>
    </row>
    <row r="49" spans="1:10" x14ac:dyDescent="0.25">
      <c r="C49" s="9"/>
      <c r="D49" s="9"/>
      <c r="E49" s="9"/>
      <c r="F49" s="9"/>
      <c r="G49" s="9"/>
      <c r="H49" s="9"/>
      <c r="I49" s="10"/>
      <c r="J49" s="10"/>
    </row>
    <row r="50" spans="1:10" x14ac:dyDescent="0.25">
      <c r="C50" s="9"/>
      <c r="D50" s="9"/>
      <c r="E50" s="9"/>
      <c r="F50" s="9"/>
      <c r="G50" s="9"/>
      <c r="H50" s="9"/>
      <c r="I50" s="10"/>
      <c r="J50" s="10"/>
    </row>
    <row r="51" spans="1:10" x14ac:dyDescent="0.25">
      <c r="A51" s="21" t="s">
        <v>57</v>
      </c>
      <c r="B51" s="21"/>
      <c r="C51" s="15" t="s">
        <v>2</v>
      </c>
      <c r="D51" s="15">
        <v>2023</v>
      </c>
      <c r="E51" s="15" t="s">
        <v>59</v>
      </c>
      <c r="F51" s="14"/>
      <c r="G51" s="15" t="s">
        <v>60</v>
      </c>
      <c r="H51" s="15" t="s">
        <v>2</v>
      </c>
      <c r="I51" s="13" t="s">
        <v>61</v>
      </c>
      <c r="J51" s="13" t="s">
        <v>59</v>
      </c>
    </row>
    <row r="52" spans="1:10" x14ac:dyDescent="0.25">
      <c r="A52" s="20" t="s">
        <v>58</v>
      </c>
      <c r="B52" s="20"/>
      <c r="C52" s="16">
        <f>ROUND(0.8136, 4)</f>
        <v>0.81359999999999999</v>
      </c>
      <c r="D52" s="16">
        <f>ROUND(0.792, 4)</f>
        <v>0.79200000000000004</v>
      </c>
      <c r="E52" s="16">
        <f>ROUND(0.777, 4)</f>
        <v>0.77700000000000002</v>
      </c>
      <c r="F52" s="9"/>
      <c r="G52" s="15" t="s">
        <v>62</v>
      </c>
      <c r="H52" s="22" t="s">
        <v>63</v>
      </c>
      <c r="I52" s="24" t="s">
        <v>64</v>
      </c>
      <c r="J52" s="24" t="s">
        <v>65</v>
      </c>
    </row>
    <row r="53" spans="1:10" x14ac:dyDescent="0.25">
      <c r="A53" s="20" t="s">
        <v>66</v>
      </c>
      <c r="B53" s="20"/>
      <c r="C53" s="16">
        <f>ROUND(0.8029, 4)</f>
        <v>0.80289999999999995</v>
      </c>
      <c r="D53" s="16">
        <f>ROUND(0.7807, 4)</f>
        <v>0.78069999999999995</v>
      </c>
      <c r="E53" s="16">
        <f>ROUND(0.7608, 4)</f>
        <v>0.76080000000000003</v>
      </c>
      <c r="F53" s="9"/>
      <c r="G53" s="15" t="s">
        <v>67</v>
      </c>
      <c r="H53" s="23"/>
      <c r="I53" s="25"/>
      <c r="J53" s="25"/>
    </row>
    <row r="54" spans="1:10" x14ac:dyDescent="0.25">
      <c r="C54" s="9"/>
      <c r="D54" s="9"/>
      <c r="E54" s="9"/>
      <c r="F54" s="9"/>
      <c r="G54" s="9"/>
      <c r="H54" s="9"/>
      <c r="I54" s="10"/>
      <c r="J54" s="10"/>
    </row>
    <row r="55" spans="1:10" x14ac:dyDescent="0.25">
      <c r="C55" s="9"/>
      <c r="D55" s="9"/>
      <c r="E55" s="9"/>
      <c r="F55" s="9"/>
      <c r="G55" s="9"/>
      <c r="H55" s="9"/>
      <c r="I55" s="10"/>
      <c r="J55" s="10"/>
    </row>
    <row r="56" spans="1:10" x14ac:dyDescent="0.25">
      <c r="C56" s="9"/>
      <c r="D56" s="9"/>
      <c r="E56" s="9"/>
      <c r="F56" s="9"/>
      <c r="G56" s="9"/>
      <c r="H56" s="9"/>
      <c r="I56" s="10"/>
      <c r="J56" s="10"/>
    </row>
    <row r="57" spans="1:10" x14ac:dyDescent="0.25">
      <c r="A57" s="21" t="s">
        <v>68</v>
      </c>
      <c r="B57" s="21"/>
      <c r="C57" s="15" t="s">
        <v>2</v>
      </c>
      <c r="D57" s="15" t="s">
        <v>346</v>
      </c>
      <c r="E57" s="15" t="s">
        <v>70</v>
      </c>
      <c r="F57" s="15" t="s">
        <v>71</v>
      </c>
      <c r="G57" s="15" t="s">
        <v>72</v>
      </c>
      <c r="H57" s="14"/>
      <c r="I57" s="18"/>
      <c r="J57" s="18"/>
    </row>
    <row r="58" spans="1:10" x14ac:dyDescent="0.25">
      <c r="A58" s="20" t="s">
        <v>73</v>
      </c>
      <c r="B58" s="20"/>
      <c r="C58" s="17">
        <v>23.06</v>
      </c>
      <c r="D58" s="17">
        <v>75.42</v>
      </c>
      <c r="E58" s="17">
        <v>81.84</v>
      </c>
      <c r="F58" s="17">
        <v>48</v>
      </c>
      <c r="G58" s="17">
        <f>12/4*C58</f>
        <v>69.179999999999993</v>
      </c>
      <c r="H58" s="9"/>
      <c r="I58" s="10"/>
      <c r="J58" s="10"/>
    </row>
    <row r="59" spans="1:10" x14ac:dyDescent="0.25">
      <c r="A59" s="20" t="s">
        <v>74</v>
      </c>
      <c r="B59" s="20"/>
      <c r="C59" s="17">
        <v>29.64</v>
      </c>
      <c r="D59" s="17">
        <v>75.010000000000005</v>
      </c>
      <c r="E59" s="17">
        <v>55.63</v>
      </c>
      <c r="F59" s="17">
        <v>55.33</v>
      </c>
      <c r="G59" s="17">
        <f>12/4*C59</f>
        <v>88.92</v>
      </c>
      <c r="H59" s="9"/>
      <c r="I59" s="10"/>
      <c r="J59" s="10"/>
    </row>
    <row r="60" spans="1:10" x14ac:dyDescent="0.25">
      <c r="A60" s="20" t="s">
        <v>75</v>
      </c>
      <c r="B60" s="20"/>
      <c r="C60" s="17">
        <v>97.82</v>
      </c>
      <c r="D60" s="17">
        <v>376.45</v>
      </c>
      <c r="E60" s="17">
        <v>257.88</v>
      </c>
      <c r="F60" s="17">
        <v>242.78</v>
      </c>
      <c r="G60" s="17">
        <f>12/4*C60</f>
        <v>293.45999999999998</v>
      </c>
      <c r="H60" s="9"/>
      <c r="I60" s="10"/>
      <c r="J60" s="10"/>
    </row>
    <row r="61" spans="1:10" x14ac:dyDescent="0.25">
      <c r="A61" s="20" t="s">
        <v>76</v>
      </c>
      <c r="B61" s="20"/>
      <c r="C61" s="17">
        <v>31.17</v>
      </c>
      <c r="D61" s="17">
        <v>104.68</v>
      </c>
      <c r="E61" s="17">
        <v>103.14</v>
      </c>
      <c r="F61" s="17">
        <v>68.31</v>
      </c>
      <c r="G61" s="17">
        <f>12/4*C61</f>
        <v>93.51</v>
      </c>
      <c r="H61" s="9"/>
      <c r="I61" s="10"/>
      <c r="J61" s="10"/>
    </row>
    <row r="62" spans="1:10" x14ac:dyDescent="0.25">
      <c r="C62" s="9"/>
      <c r="D62" s="9"/>
      <c r="E62" s="9"/>
      <c r="F62" s="9"/>
      <c r="G62" s="9"/>
      <c r="H62" s="9"/>
      <c r="I62" s="10"/>
      <c r="J62" s="10"/>
    </row>
    <row r="63" spans="1:10" x14ac:dyDescent="0.25">
      <c r="C63" s="9"/>
      <c r="D63" s="9"/>
      <c r="E63" s="9"/>
      <c r="F63" s="9"/>
      <c r="G63" s="9"/>
      <c r="H63" s="9"/>
      <c r="I63" s="10"/>
      <c r="J63" s="10"/>
    </row>
    <row r="64" spans="1:10" x14ac:dyDescent="0.25">
      <c r="A64" s="19" t="s">
        <v>60</v>
      </c>
      <c r="B64" s="26"/>
      <c r="C64" s="9"/>
      <c r="D64" s="9"/>
      <c r="E64" s="9"/>
      <c r="F64" s="9"/>
      <c r="G64" s="9"/>
      <c r="H64" s="9"/>
      <c r="I64" s="10"/>
      <c r="J64" s="10"/>
    </row>
    <row r="65" spans="1:10" x14ac:dyDescent="0.25">
      <c r="A65" s="3" t="s">
        <v>77</v>
      </c>
      <c r="B65" s="1" t="s">
        <v>347</v>
      </c>
      <c r="C65" s="9"/>
      <c r="D65" s="9"/>
      <c r="E65" s="9"/>
      <c r="F65" s="9"/>
      <c r="G65" s="9"/>
      <c r="H65" s="9"/>
      <c r="I65" s="10"/>
      <c r="J65" s="10"/>
    </row>
    <row r="66" spans="1:10" x14ac:dyDescent="0.25">
      <c r="A66" s="3" t="s">
        <v>70</v>
      </c>
      <c r="B66" s="1" t="s">
        <v>79</v>
      </c>
      <c r="C66" s="9"/>
      <c r="D66" s="9"/>
      <c r="E66" s="9"/>
      <c r="F66" s="9"/>
      <c r="G66" s="9"/>
      <c r="H66" s="9"/>
      <c r="I66" s="10"/>
      <c r="J66" s="10"/>
    </row>
    <row r="67" spans="1:10" x14ac:dyDescent="0.25">
      <c r="A67" s="3" t="s">
        <v>71</v>
      </c>
      <c r="B67" s="1" t="s">
        <v>80</v>
      </c>
      <c r="C67" s="9"/>
      <c r="D67" s="9"/>
      <c r="E67" s="9"/>
      <c r="F67" s="9"/>
      <c r="G67" s="9"/>
      <c r="H67" s="9"/>
      <c r="I67" s="10"/>
      <c r="J67" s="10"/>
    </row>
    <row r="68" spans="1:10" x14ac:dyDescent="0.25">
      <c r="A68" s="3" t="s">
        <v>72</v>
      </c>
      <c r="B68" s="1" t="s">
        <v>81</v>
      </c>
      <c r="C68" s="9"/>
      <c r="D68" s="9"/>
      <c r="E68" s="9"/>
      <c r="F68" s="9"/>
      <c r="G68" s="9"/>
      <c r="H68" s="9"/>
      <c r="I68" s="10"/>
      <c r="J68" s="10"/>
    </row>
    <row r="69" spans="1:10" x14ac:dyDescent="0.25">
      <c r="C69" s="9"/>
      <c r="D69" s="9"/>
      <c r="E69" s="9"/>
      <c r="F69" s="9"/>
      <c r="G69" s="9"/>
      <c r="H69" s="9"/>
      <c r="I69" s="10"/>
      <c r="J69" s="10"/>
    </row>
    <row r="70" spans="1:10" x14ac:dyDescent="0.25">
      <c r="C70" s="9"/>
      <c r="D70" s="9"/>
      <c r="E70" s="9"/>
      <c r="F70" s="9"/>
      <c r="G70" s="9"/>
      <c r="H70" s="9"/>
      <c r="I70" s="10"/>
      <c r="J70" s="10"/>
    </row>
    <row r="71" spans="1:10" x14ac:dyDescent="0.25">
      <c r="C71" s="9"/>
      <c r="D71" s="9"/>
      <c r="E71" s="9"/>
      <c r="F71" s="9"/>
      <c r="G71" s="9"/>
      <c r="H71" s="9"/>
      <c r="I71" s="10"/>
      <c r="J71" s="10"/>
    </row>
  </sheetData>
  <mergeCells count="19">
    <mergeCell ref="A59:B59"/>
    <mergeCell ref="A60:B60"/>
    <mergeCell ref="A61:B61"/>
    <mergeCell ref="A64:B64"/>
    <mergeCell ref="I52:I53"/>
    <mergeCell ref="J52:J53"/>
    <mergeCell ref="A53:B53"/>
    <mergeCell ref="A57:B57"/>
    <mergeCell ref="A58:B58"/>
    <mergeCell ref="A45:B45"/>
    <mergeCell ref="A46:B46"/>
    <mergeCell ref="A51:B51"/>
    <mergeCell ref="A52:B52"/>
    <mergeCell ref="H52:H53"/>
    <mergeCell ref="C7:G7"/>
    <mergeCell ref="A37:B37"/>
    <mergeCell ref="A38:B38"/>
    <mergeCell ref="A43:B43"/>
    <mergeCell ref="A44:B44"/>
  </mergeCells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dimension ref="A2:J73"/>
  <sheetViews>
    <sheetView workbookViewId="0">
      <selection activeCell="C9" sqref="C9:J73"/>
    </sheetView>
  </sheetViews>
  <sheetFormatPr defaultRowHeight="15" x14ac:dyDescent="0.25"/>
  <cols>
    <col min="1" max="1" width="38.85546875" bestFit="1" customWidth="1"/>
    <col min="2" max="2" width="79" bestFit="1" customWidth="1"/>
    <col min="3" max="3" width="14" bestFit="1" customWidth="1"/>
    <col min="4" max="4" width="25.85546875" bestFit="1" customWidth="1"/>
    <col min="5" max="5" width="16.42578125" bestFit="1" customWidth="1"/>
    <col min="6" max="6" width="10.5703125" bestFit="1" customWidth="1"/>
    <col min="7" max="7" width="68.28515625" bestFit="1" customWidth="1"/>
    <col min="8" max="9" width="20" bestFit="1" customWidth="1"/>
    <col min="10" max="10" width="30.5703125" bestFit="1" customWidth="1"/>
  </cols>
  <sheetData>
    <row r="2" spans="1:10" ht="18.75" x14ac:dyDescent="0.3">
      <c r="A2" s="3" t="s">
        <v>0</v>
      </c>
      <c r="B2" s="4" t="s">
        <v>348</v>
      </c>
    </row>
    <row r="3" spans="1:10" x14ac:dyDescent="0.25">
      <c r="A3" s="3" t="s">
        <v>2</v>
      </c>
      <c r="B3" s="1" t="s">
        <v>3</v>
      </c>
    </row>
    <row r="4" spans="1:10" x14ac:dyDescent="0.25">
      <c r="A4" s="3" t="s">
        <v>4</v>
      </c>
      <c r="B4" s="1">
        <v>846</v>
      </c>
    </row>
    <row r="7" spans="1:10" x14ac:dyDescent="0.25">
      <c r="C7" s="19" t="s">
        <v>5</v>
      </c>
      <c r="D7" s="20"/>
      <c r="E7" s="20"/>
      <c r="F7" s="20"/>
      <c r="G7" s="20"/>
    </row>
    <row r="8" spans="1:10" x14ac:dyDescent="0.25">
      <c r="A8" s="3" t="s">
        <v>6</v>
      </c>
      <c r="B8" s="3" t="s">
        <v>7</v>
      </c>
      <c r="C8" s="3" t="s">
        <v>8</v>
      </c>
      <c r="D8" s="3" t="s">
        <v>9</v>
      </c>
      <c r="E8" s="3" t="s">
        <v>10</v>
      </c>
      <c r="F8" s="3" t="s">
        <v>11</v>
      </c>
      <c r="G8" s="3" t="s">
        <v>12</v>
      </c>
      <c r="H8" s="3" t="s">
        <v>13</v>
      </c>
      <c r="I8" s="3" t="s">
        <v>14</v>
      </c>
      <c r="J8" s="3" t="s">
        <v>15</v>
      </c>
    </row>
    <row r="9" spans="1:10" x14ac:dyDescent="0.25">
      <c r="A9" s="1" t="s">
        <v>16</v>
      </c>
      <c r="B9" s="1" t="s">
        <v>17</v>
      </c>
      <c r="C9" s="11"/>
      <c r="D9" s="11"/>
      <c r="E9" s="11">
        <v>21</v>
      </c>
      <c r="F9" s="11"/>
      <c r="G9" s="11">
        <f t="shared" ref="G9:G39" si="0">SUM(C9:F9)</f>
        <v>21</v>
      </c>
      <c r="H9" s="17">
        <f t="shared" ref="H9:H39" si="1">ROUND(G9/846,2)</f>
        <v>0.02</v>
      </c>
      <c r="I9" s="16">
        <f t="shared" ref="I9:I39" si="2">ROUND(G9/$G$40,3)</f>
        <v>0</v>
      </c>
      <c r="J9" s="16"/>
    </row>
    <row r="10" spans="1:10" x14ac:dyDescent="0.25">
      <c r="A10" s="1" t="s">
        <v>16</v>
      </c>
      <c r="B10" s="1" t="s">
        <v>18</v>
      </c>
      <c r="C10" s="11"/>
      <c r="D10" s="11"/>
      <c r="E10" s="11">
        <v>1223</v>
      </c>
      <c r="F10" s="11"/>
      <c r="G10" s="11">
        <f t="shared" si="0"/>
        <v>1223</v>
      </c>
      <c r="H10" s="17">
        <f t="shared" si="1"/>
        <v>1.45</v>
      </c>
      <c r="I10" s="16">
        <f t="shared" si="2"/>
        <v>8.9999999999999993E-3</v>
      </c>
      <c r="J10" s="16"/>
    </row>
    <row r="11" spans="1:10" x14ac:dyDescent="0.25">
      <c r="A11" s="1" t="s">
        <v>16</v>
      </c>
      <c r="B11" s="1" t="s">
        <v>19</v>
      </c>
      <c r="C11" s="11">
        <v>10680</v>
      </c>
      <c r="D11" s="11"/>
      <c r="E11" s="11">
        <v>2293</v>
      </c>
      <c r="F11" s="11"/>
      <c r="G11" s="11">
        <f t="shared" si="0"/>
        <v>12973</v>
      </c>
      <c r="H11" s="17">
        <f t="shared" si="1"/>
        <v>15.33</v>
      </c>
      <c r="I11" s="16">
        <f t="shared" si="2"/>
        <v>9.5000000000000001E-2</v>
      </c>
      <c r="J11" s="16">
        <f>ROUND(G11/11312.91-1,2)</f>
        <v>0.15</v>
      </c>
    </row>
    <row r="12" spans="1:10" x14ac:dyDescent="0.25">
      <c r="A12" s="1" t="s">
        <v>16</v>
      </c>
      <c r="B12" s="1" t="s">
        <v>20</v>
      </c>
      <c r="C12" s="11">
        <v>15285</v>
      </c>
      <c r="D12" s="11"/>
      <c r="E12" s="11"/>
      <c r="F12" s="11"/>
      <c r="G12" s="11">
        <f t="shared" si="0"/>
        <v>15285</v>
      </c>
      <c r="H12" s="17">
        <f t="shared" si="1"/>
        <v>18.07</v>
      </c>
      <c r="I12" s="16">
        <f t="shared" si="2"/>
        <v>0.112</v>
      </c>
      <c r="J12" s="16">
        <f>ROUND(G12/12355-1,2)</f>
        <v>0.24</v>
      </c>
    </row>
    <row r="13" spans="1:10" x14ac:dyDescent="0.25">
      <c r="A13" s="1" t="s">
        <v>16</v>
      </c>
      <c r="B13" s="1" t="s">
        <v>21</v>
      </c>
      <c r="C13" s="11"/>
      <c r="D13" s="11"/>
      <c r="E13" s="11">
        <v>12</v>
      </c>
      <c r="F13" s="11"/>
      <c r="G13" s="11">
        <f t="shared" si="0"/>
        <v>12</v>
      </c>
      <c r="H13" s="17">
        <f t="shared" si="1"/>
        <v>0.01</v>
      </c>
      <c r="I13" s="16">
        <f t="shared" si="2"/>
        <v>0</v>
      </c>
      <c r="J13" s="16"/>
    </row>
    <row r="14" spans="1:10" x14ac:dyDescent="0.25">
      <c r="A14" s="1" t="s">
        <v>16</v>
      </c>
      <c r="B14" s="1" t="s">
        <v>22</v>
      </c>
      <c r="C14" s="11"/>
      <c r="D14" s="11"/>
      <c r="E14" s="11">
        <v>76</v>
      </c>
      <c r="F14" s="11"/>
      <c r="G14" s="11">
        <f t="shared" si="0"/>
        <v>76</v>
      </c>
      <c r="H14" s="17">
        <f t="shared" si="1"/>
        <v>0.09</v>
      </c>
      <c r="I14" s="16">
        <f t="shared" si="2"/>
        <v>1E-3</v>
      </c>
      <c r="J14" s="16">
        <f>ROUND(G14/312.5-1,2)</f>
        <v>-0.76</v>
      </c>
    </row>
    <row r="15" spans="1:10" x14ac:dyDescent="0.25">
      <c r="A15" s="1" t="s">
        <v>16</v>
      </c>
      <c r="B15" s="1" t="s">
        <v>23</v>
      </c>
      <c r="C15" s="11"/>
      <c r="D15" s="11"/>
      <c r="E15" s="11">
        <v>10351</v>
      </c>
      <c r="F15" s="11"/>
      <c r="G15" s="11">
        <f t="shared" si="0"/>
        <v>10351</v>
      </c>
      <c r="H15" s="17">
        <f t="shared" si="1"/>
        <v>12.24</v>
      </c>
      <c r="I15" s="16">
        <f t="shared" si="2"/>
        <v>7.5999999999999998E-2</v>
      </c>
      <c r="J15" s="16">
        <f>ROUND(G15/6079.36-1,2)</f>
        <v>0.7</v>
      </c>
    </row>
    <row r="16" spans="1:10" x14ac:dyDescent="0.25">
      <c r="A16" s="1" t="s">
        <v>16</v>
      </c>
      <c r="B16" s="1" t="s">
        <v>24</v>
      </c>
      <c r="C16" s="11">
        <v>8260</v>
      </c>
      <c r="D16" s="11"/>
      <c r="E16" s="11">
        <v>7802</v>
      </c>
      <c r="F16" s="11"/>
      <c r="G16" s="11">
        <f t="shared" si="0"/>
        <v>16062</v>
      </c>
      <c r="H16" s="17">
        <f t="shared" si="1"/>
        <v>18.989999999999998</v>
      </c>
      <c r="I16" s="16">
        <f t="shared" si="2"/>
        <v>0.11700000000000001</v>
      </c>
      <c r="J16" s="16">
        <f>ROUND(G16/11414.49-1,2)</f>
        <v>0.41</v>
      </c>
    </row>
    <row r="17" spans="1:10" x14ac:dyDescent="0.25">
      <c r="A17" s="1" t="s">
        <v>16</v>
      </c>
      <c r="B17" s="1" t="s">
        <v>25</v>
      </c>
      <c r="C17" s="11"/>
      <c r="D17" s="11"/>
      <c r="E17" s="11">
        <v>888</v>
      </c>
      <c r="F17" s="11"/>
      <c r="G17" s="11">
        <f t="shared" si="0"/>
        <v>888</v>
      </c>
      <c r="H17" s="17">
        <f t="shared" si="1"/>
        <v>1.05</v>
      </c>
      <c r="I17" s="16">
        <f t="shared" si="2"/>
        <v>6.0000000000000001E-3</v>
      </c>
      <c r="J17" s="16"/>
    </row>
    <row r="18" spans="1:10" x14ac:dyDescent="0.25">
      <c r="A18" s="1" t="s">
        <v>16</v>
      </c>
      <c r="B18" s="1" t="s">
        <v>26</v>
      </c>
      <c r="C18" s="11">
        <v>17160</v>
      </c>
      <c r="D18" s="11"/>
      <c r="E18" s="11"/>
      <c r="F18" s="11"/>
      <c r="G18" s="11">
        <f t="shared" si="0"/>
        <v>17160</v>
      </c>
      <c r="H18" s="17">
        <f t="shared" si="1"/>
        <v>20.28</v>
      </c>
      <c r="I18" s="16">
        <f t="shared" si="2"/>
        <v>0.125</v>
      </c>
      <c r="J18" s="16">
        <f>ROUND(G18/13130-1,2)</f>
        <v>0.31</v>
      </c>
    </row>
    <row r="19" spans="1:10" x14ac:dyDescent="0.25">
      <c r="A19" s="1" t="s">
        <v>16</v>
      </c>
      <c r="B19" s="1" t="s">
        <v>27</v>
      </c>
      <c r="C19" s="11"/>
      <c r="D19" s="11"/>
      <c r="E19" s="11">
        <v>67</v>
      </c>
      <c r="F19" s="11"/>
      <c r="G19" s="11">
        <f t="shared" si="0"/>
        <v>67</v>
      </c>
      <c r="H19" s="17">
        <f t="shared" si="1"/>
        <v>0.08</v>
      </c>
      <c r="I19" s="16">
        <f t="shared" si="2"/>
        <v>0</v>
      </c>
      <c r="J19" s="16"/>
    </row>
    <row r="20" spans="1:10" x14ac:dyDescent="0.25">
      <c r="A20" s="1" t="s">
        <v>16</v>
      </c>
      <c r="B20" s="1" t="s">
        <v>28</v>
      </c>
      <c r="C20" s="11"/>
      <c r="D20" s="11"/>
      <c r="E20" s="11">
        <v>26</v>
      </c>
      <c r="F20" s="11"/>
      <c r="G20" s="11">
        <f t="shared" si="0"/>
        <v>26</v>
      </c>
      <c r="H20" s="17">
        <f t="shared" si="1"/>
        <v>0.03</v>
      </c>
      <c r="I20" s="16">
        <f t="shared" si="2"/>
        <v>0</v>
      </c>
      <c r="J20" s="16"/>
    </row>
    <row r="21" spans="1:10" x14ac:dyDescent="0.25">
      <c r="A21" s="1" t="s">
        <v>16</v>
      </c>
      <c r="B21" s="1" t="s">
        <v>29</v>
      </c>
      <c r="C21" s="11"/>
      <c r="D21" s="11"/>
      <c r="E21" s="11">
        <v>145</v>
      </c>
      <c r="F21" s="11"/>
      <c r="G21" s="11">
        <f t="shared" si="0"/>
        <v>145</v>
      </c>
      <c r="H21" s="17">
        <f t="shared" si="1"/>
        <v>0.17</v>
      </c>
      <c r="I21" s="16">
        <f t="shared" si="2"/>
        <v>1E-3</v>
      </c>
      <c r="J21" s="16">
        <f>ROUND(G21/142.6-1,2)</f>
        <v>0.02</v>
      </c>
    </row>
    <row r="22" spans="1:10" x14ac:dyDescent="0.25">
      <c r="A22" s="1" t="s">
        <v>16</v>
      </c>
      <c r="B22" s="1" t="s">
        <v>30</v>
      </c>
      <c r="C22" s="11"/>
      <c r="D22" s="11"/>
      <c r="E22" s="11">
        <v>36</v>
      </c>
      <c r="F22" s="11"/>
      <c r="G22" s="11">
        <f t="shared" si="0"/>
        <v>36</v>
      </c>
      <c r="H22" s="17">
        <f t="shared" si="1"/>
        <v>0.04</v>
      </c>
      <c r="I22" s="16">
        <f t="shared" si="2"/>
        <v>0</v>
      </c>
      <c r="J22" s="16">
        <f>ROUND(G22/27.47-1,2)</f>
        <v>0.31</v>
      </c>
    </row>
    <row r="23" spans="1:10" x14ac:dyDescent="0.25">
      <c r="A23" s="1" t="s">
        <v>16</v>
      </c>
      <c r="B23" s="1" t="s">
        <v>31</v>
      </c>
      <c r="C23" s="11"/>
      <c r="D23" s="11"/>
      <c r="E23" s="11">
        <v>200</v>
      </c>
      <c r="F23" s="11"/>
      <c r="G23" s="11">
        <f t="shared" si="0"/>
        <v>200</v>
      </c>
      <c r="H23" s="17">
        <f t="shared" si="1"/>
        <v>0.24</v>
      </c>
      <c r="I23" s="16">
        <f t="shared" si="2"/>
        <v>1E-3</v>
      </c>
      <c r="J23" s="16">
        <f>ROUND(G23/159.37-1,2)</f>
        <v>0.25</v>
      </c>
    </row>
    <row r="24" spans="1:10" x14ac:dyDescent="0.25">
      <c r="A24" s="1" t="s">
        <v>16</v>
      </c>
      <c r="B24" s="1" t="s">
        <v>32</v>
      </c>
      <c r="C24" s="11"/>
      <c r="D24" s="11"/>
      <c r="E24" s="11">
        <v>86</v>
      </c>
      <c r="F24" s="11"/>
      <c r="G24" s="11">
        <f t="shared" si="0"/>
        <v>86</v>
      </c>
      <c r="H24" s="17">
        <f t="shared" si="1"/>
        <v>0.1</v>
      </c>
      <c r="I24" s="16">
        <f t="shared" si="2"/>
        <v>1E-3</v>
      </c>
      <c r="J24" s="16"/>
    </row>
    <row r="25" spans="1:10" x14ac:dyDescent="0.25">
      <c r="A25" s="1" t="s">
        <v>16</v>
      </c>
      <c r="B25" s="1" t="s">
        <v>33</v>
      </c>
      <c r="C25" s="11"/>
      <c r="D25" s="11"/>
      <c r="E25" s="11">
        <v>85</v>
      </c>
      <c r="F25" s="11"/>
      <c r="G25" s="11">
        <f t="shared" si="0"/>
        <v>85</v>
      </c>
      <c r="H25" s="17">
        <f t="shared" si="1"/>
        <v>0.1</v>
      </c>
      <c r="I25" s="16">
        <f t="shared" si="2"/>
        <v>1E-3</v>
      </c>
      <c r="J25" s="16"/>
    </row>
    <row r="26" spans="1:10" x14ac:dyDescent="0.25">
      <c r="A26" s="1" t="s">
        <v>16</v>
      </c>
      <c r="B26" s="1" t="s">
        <v>34</v>
      </c>
      <c r="C26" s="11"/>
      <c r="D26" s="11"/>
      <c r="E26" s="11">
        <v>291</v>
      </c>
      <c r="F26" s="11"/>
      <c r="G26" s="11">
        <f t="shared" si="0"/>
        <v>291</v>
      </c>
      <c r="H26" s="17">
        <f t="shared" si="1"/>
        <v>0.34</v>
      </c>
      <c r="I26" s="16">
        <f t="shared" si="2"/>
        <v>2E-3</v>
      </c>
      <c r="J26" s="16"/>
    </row>
    <row r="27" spans="1:10" x14ac:dyDescent="0.25">
      <c r="A27" s="1" t="s">
        <v>16</v>
      </c>
      <c r="B27" s="1" t="s">
        <v>35</v>
      </c>
      <c r="C27" s="11"/>
      <c r="D27" s="11"/>
      <c r="E27" s="11">
        <v>12309</v>
      </c>
      <c r="F27" s="11"/>
      <c r="G27" s="11">
        <f t="shared" si="0"/>
        <v>12309</v>
      </c>
      <c r="H27" s="17">
        <f t="shared" si="1"/>
        <v>14.55</v>
      </c>
      <c r="I27" s="16">
        <f t="shared" si="2"/>
        <v>0.09</v>
      </c>
      <c r="J27" s="16">
        <f>ROUND(G27/7009.44-1,2)</f>
        <v>0.76</v>
      </c>
    </row>
    <row r="28" spans="1:10" x14ac:dyDescent="0.25">
      <c r="A28" s="1" t="s">
        <v>16</v>
      </c>
      <c r="B28" s="1" t="s">
        <v>36</v>
      </c>
      <c r="C28" s="11"/>
      <c r="D28" s="11"/>
      <c r="E28" s="11">
        <v>1122</v>
      </c>
      <c r="F28" s="11"/>
      <c r="G28" s="11">
        <f t="shared" si="0"/>
        <v>1122</v>
      </c>
      <c r="H28" s="17">
        <f t="shared" si="1"/>
        <v>1.33</v>
      </c>
      <c r="I28" s="16">
        <f t="shared" si="2"/>
        <v>8.0000000000000002E-3</v>
      </c>
      <c r="J28" s="16">
        <f>ROUND(G28/373.1-1,2)</f>
        <v>2.0099999999999998</v>
      </c>
    </row>
    <row r="29" spans="1:10" x14ac:dyDescent="0.25">
      <c r="A29" s="1" t="s">
        <v>16</v>
      </c>
      <c r="B29" s="1" t="s">
        <v>37</v>
      </c>
      <c r="C29" s="11"/>
      <c r="D29" s="11"/>
      <c r="E29" s="11">
        <v>4115</v>
      </c>
      <c r="F29" s="11"/>
      <c r="G29" s="11">
        <f t="shared" si="0"/>
        <v>4115</v>
      </c>
      <c r="H29" s="17">
        <f t="shared" si="1"/>
        <v>4.8600000000000003</v>
      </c>
      <c r="I29" s="16">
        <f t="shared" si="2"/>
        <v>0.03</v>
      </c>
      <c r="J29" s="16">
        <f>ROUND(G29/2278.32-1,2)</f>
        <v>0.81</v>
      </c>
    </row>
    <row r="30" spans="1:10" x14ac:dyDescent="0.25">
      <c r="A30" s="1" t="s">
        <v>16</v>
      </c>
      <c r="B30" s="1" t="s">
        <v>38</v>
      </c>
      <c r="C30" s="11"/>
      <c r="D30" s="11"/>
      <c r="E30" s="11">
        <v>6388</v>
      </c>
      <c r="F30" s="11"/>
      <c r="G30" s="11">
        <f t="shared" si="0"/>
        <v>6388</v>
      </c>
      <c r="H30" s="17">
        <f t="shared" si="1"/>
        <v>7.55</v>
      </c>
      <c r="I30" s="16">
        <f t="shared" si="2"/>
        <v>4.7E-2</v>
      </c>
      <c r="J30" s="16">
        <f>ROUND(G30/1459.89-1,2)</f>
        <v>3.38</v>
      </c>
    </row>
    <row r="31" spans="1:10" x14ac:dyDescent="0.25">
      <c r="A31" s="1" t="s">
        <v>16</v>
      </c>
      <c r="B31" s="1" t="s">
        <v>39</v>
      </c>
      <c r="C31" s="11"/>
      <c r="D31" s="11"/>
      <c r="E31" s="11"/>
      <c r="F31" s="11"/>
      <c r="G31" s="11">
        <f t="shared" si="0"/>
        <v>0</v>
      </c>
      <c r="H31" s="17">
        <f t="shared" si="1"/>
        <v>0</v>
      </c>
      <c r="I31" s="16">
        <f t="shared" si="2"/>
        <v>0</v>
      </c>
      <c r="J31" s="16">
        <f>ROUND(G31/22.79-1,2)</f>
        <v>-1</v>
      </c>
    </row>
    <row r="32" spans="1:10" x14ac:dyDescent="0.25">
      <c r="A32" s="1" t="s">
        <v>16</v>
      </c>
      <c r="B32" s="1" t="s">
        <v>41</v>
      </c>
      <c r="C32" s="11"/>
      <c r="D32" s="11"/>
      <c r="E32" s="11"/>
      <c r="F32" s="11"/>
      <c r="G32" s="11">
        <f t="shared" si="0"/>
        <v>0</v>
      </c>
      <c r="H32" s="17">
        <f t="shared" si="1"/>
        <v>0</v>
      </c>
      <c r="I32" s="16">
        <f t="shared" si="2"/>
        <v>0</v>
      </c>
      <c r="J32" s="16">
        <f>ROUND(G32/88.47-1,2)</f>
        <v>-1</v>
      </c>
    </row>
    <row r="33" spans="1:10" x14ac:dyDescent="0.25">
      <c r="A33" s="1" t="s">
        <v>16</v>
      </c>
      <c r="B33" s="1" t="s">
        <v>42</v>
      </c>
      <c r="C33" s="11"/>
      <c r="D33" s="11"/>
      <c r="E33" s="11"/>
      <c r="F33" s="11"/>
      <c r="G33" s="11">
        <f t="shared" si="0"/>
        <v>0</v>
      </c>
      <c r="H33" s="17">
        <f t="shared" si="1"/>
        <v>0</v>
      </c>
      <c r="I33" s="16">
        <f t="shared" si="2"/>
        <v>0</v>
      </c>
      <c r="J33" s="16">
        <f>ROUND(G33/875.6-1,2)</f>
        <v>-1</v>
      </c>
    </row>
    <row r="34" spans="1:10" x14ac:dyDescent="0.25">
      <c r="A34" s="1" t="s">
        <v>16</v>
      </c>
      <c r="B34" s="1" t="s">
        <v>40</v>
      </c>
      <c r="C34" s="11"/>
      <c r="D34" s="11"/>
      <c r="E34" s="11"/>
      <c r="F34" s="11"/>
      <c r="G34" s="11">
        <f t="shared" si="0"/>
        <v>0</v>
      </c>
      <c r="H34" s="17">
        <f t="shared" si="1"/>
        <v>0</v>
      </c>
      <c r="I34" s="16">
        <f t="shared" si="2"/>
        <v>0</v>
      </c>
      <c r="J34" s="16">
        <f>ROUND(G34/141.34-1,2)</f>
        <v>-1</v>
      </c>
    </row>
    <row r="35" spans="1:10" x14ac:dyDescent="0.25">
      <c r="A35" s="1" t="s">
        <v>44</v>
      </c>
      <c r="B35" s="1" t="s">
        <v>45</v>
      </c>
      <c r="C35" s="11">
        <v>28710</v>
      </c>
      <c r="D35" s="11"/>
      <c r="E35" s="11"/>
      <c r="F35" s="11"/>
      <c r="G35" s="11">
        <f t="shared" si="0"/>
        <v>28710</v>
      </c>
      <c r="H35" s="17">
        <f t="shared" si="1"/>
        <v>33.94</v>
      </c>
      <c r="I35" s="16">
        <f t="shared" si="2"/>
        <v>0.21</v>
      </c>
      <c r="J35" s="16">
        <f>ROUND(G35/22190-1,2)</f>
        <v>0.28999999999999998</v>
      </c>
    </row>
    <row r="36" spans="1:10" x14ac:dyDescent="0.25">
      <c r="A36" s="1" t="s">
        <v>44</v>
      </c>
      <c r="B36" s="1" t="s">
        <v>46</v>
      </c>
      <c r="C36" s="11"/>
      <c r="D36" s="11"/>
      <c r="E36" s="11">
        <v>9304</v>
      </c>
      <c r="F36" s="11"/>
      <c r="G36" s="11">
        <f t="shared" si="0"/>
        <v>9304</v>
      </c>
      <c r="H36" s="17">
        <f t="shared" si="1"/>
        <v>11</v>
      </c>
      <c r="I36" s="16">
        <f t="shared" si="2"/>
        <v>6.8000000000000005E-2</v>
      </c>
      <c r="J36" s="16">
        <f>ROUND(G36/5423.33-1,2)</f>
        <v>0.72</v>
      </c>
    </row>
    <row r="37" spans="1:10" x14ac:dyDescent="0.25">
      <c r="A37" s="1" t="s">
        <v>44</v>
      </c>
      <c r="B37" s="1" t="s">
        <v>47</v>
      </c>
      <c r="C37" s="11"/>
      <c r="D37" s="11"/>
      <c r="E37" s="11"/>
      <c r="F37" s="11"/>
      <c r="G37" s="11">
        <f t="shared" si="0"/>
        <v>0</v>
      </c>
      <c r="H37" s="17">
        <f t="shared" si="1"/>
        <v>0</v>
      </c>
      <c r="I37" s="16">
        <f t="shared" si="2"/>
        <v>0</v>
      </c>
      <c r="J37" s="16"/>
    </row>
    <row r="38" spans="1:10" x14ac:dyDescent="0.25">
      <c r="A38" s="1" t="s">
        <v>48</v>
      </c>
      <c r="B38" s="1" t="s">
        <v>51</v>
      </c>
      <c r="C38" s="11"/>
      <c r="D38" s="11"/>
      <c r="E38" s="11"/>
      <c r="F38" s="11"/>
      <c r="G38" s="11">
        <f t="shared" si="0"/>
        <v>0</v>
      </c>
      <c r="H38" s="17">
        <f t="shared" si="1"/>
        <v>0</v>
      </c>
      <c r="I38" s="16">
        <f t="shared" si="2"/>
        <v>0</v>
      </c>
      <c r="J38" s="16">
        <f>ROUND(G38/2-1,2)</f>
        <v>-1</v>
      </c>
    </row>
    <row r="39" spans="1:10" x14ac:dyDescent="0.25">
      <c r="A39" s="1" t="s">
        <v>48</v>
      </c>
      <c r="B39" s="1" t="s">
        <v>86</v>
      </c>
      <c r="C39" s="11"/>
      <c r="D39" s="11"/>
      <c r="E39" s="11"/>
      <c r="F39" s="11"/>
      <c r="G39" s="11">
        <f t="shared" si="0"/>
        <v>0</v>
      </c>
      <c r="H39" s="17">
        <f t="shared" si="1"/>
        <v>0</v>
      </c>
      <c r="I39" s="16">
        <f t="shared" si="2"/>
        <v>0</v>
      </c>
      <c r="J39" s="16"/>
    </row>
    <row r="40" spans="1:10" x14ac:dyDescent="0.25">
      <c r="A40" s="21" t="s">
        <v>12</v>
      </c>
      <c r="B40" s="21"/>
      <c r="C40" s="12">
        <f t="shared" ref="C40:H40" si="3">SUM(C8:C39)</f>
        <v>80095</v>
      </c>
      <c r="D40" s="12">
        <f t="shared" si="3"/>
        <v>0</v>
      </c>
      <c r="E40" s="12">
        <f t="shared" si="3"/>
        <v>56840</v>
      </c>
      <c r="F40" s="12">
        <f t="shared" si="3"/>
        <v>0</v>
      </c>
      <c r="G40" s="12">
        <f t="shared" si="3"/>
        <v>136935</v>
      </c>
      <c r="H40" s="15">
        <f t="shared" si="3"/>
        <v>161.85999999999999</v>
      </c>
      <c r="I40" s="18"/>
      <c r="J40" s="18"/>
    </row>
    <row r="41" spans="1:10" x14ac:dyDescent="0.25">
      <c r="A41" s="21" t="s">
        <v>14</v>
      </c>
      <c r="B41" s="21"/>
      <c r="C41" s="13">
        <f>ROUND(C40/G40,2)</f>
        <v>0.57999999999999996</v>
      </c>
      <c r="D41" s="13">
        <f>ROUND(D40/G40,2)</f>
        <v>0</v>
      </c>
      <c r="E41" s="13">
        <f>ROUND(E40/G40,2)</f>
        <v>0.42</v>
      </c>
      <c r="F41" s="13">
        <f>ROUND(F40/G40,2)</f>
        <v>0</v>
      </c>
      <c r="G41" s="14"/>
      <c r="H41" s="14"/>
      <c r="I41" s="18"/>
      <c r="J41" s="18"/>
    </row>
    <row r="42" spans="1:10" x14ac:dyDescent="0.25">
      <c r="A42" s="2" t="s">
        <v>52</v>
      </c>
      <c r="B42" s="2"/>
      <c r="C42" s="14"/>
      <c r="D42" s="14"/>
      <c r="E42" s="14"/>
      <c r="F42" s="14"/>
      <c r="G42" s="14"/>
      <c r="H42" s="14"/>
      <c r="I42" s="18"/>
      <c r="J42" s="18"/>
    </row>
    <row r="43" spans="1:10" x14ac:dyDescent="0.25">
      <c r="C43" s="9"/>
      <c r="D43" s="9"/>
      <c r="E43" s="9"/>
      <c r="F43" s="9"/>
      <c r="G43" s="9"/>
      <c r="H43" s="9"/>
      <c r="I43" s="10"/>
      <c r="J43" s="10"/>
    </row>
    <row r="44" spans="1:10" x14ac:dyDescent="0.25">
      <c r="C44" s="9"/>
      <c r="D44" s="9"/>
      <c r="E44" s="9"/>
      <c r="F44" s="9"/>
      <c r="G44" s="9"/>
      <c r="H44" s="9"/>
      <c r="I44" s="10"/>
      <c r="J44" s="10"/>
    </row>
    <row r="45" spans="1:10" x14ac:dyDescent="0.25">
      <c r="C45" s="9"/>
      <c r="D45" s="9"/>
      <c r="E45" s="9"/>
      <c r="F45" s="9"/>
      <c r="G45" s="9"/>
      <c r="H45" s="9"/>
      <c r="I45" s="10"/>
      <c r="J45" s="10"/>
    </row>
    <row r="46" spans="1:10" x14ac:dyDescent="0.25">
      <c r="A46" s="21" t="s">
        <v>53</v>
      </c>
      <c r="B46" s="21"/>
      <c r="C46" s="12" t="s">
        <v>8</v>
      </c>
      <c r="D46" s="12" t="s">
        <v>9</v>
      </c>
      <c r="E46" s="12" t="s">
        <v>10</v>
      </c>
      <c r="F46" s="12" t="s">
        <v>11</v>
      </c>
      <c r="G46" s="12" t="s">
        <v>12</v>
      </c>
      <c r="H46" s="15" t="s">
        <v>13</v>
      </c>
      <c r="I46" s="18"/>
      <c r="J46" s="18"/>
    </row>
    <row r="47" spans="1:10" x14ac:dyDescent="0.25">
      <c r="A47" s="20" t="s">
        <v>54</v>
      </c>
      <c r="B47" s="20"/>
      <c r="C47" s="11">
        <v>51385</v>
      </c>
      <c r="D47" s="11">
        <v>0</v>
      </c>
      <c r="E47" s="11">
        <v>47536</v>
      </c>
      <c r="F47" s="11">
        <v>0</v>
      </c>
      <c r="G47" s="11">
        <f>SUM(C47:F47)</f>
        <v>98921</v>
      </c>
      <c r="H47" s="17">
        <f>ROUND(G47/846,2)</f>
        <v>116.93</v>
      </c>
      <c r="I47" s="10"/>
      <c r="J47" s="10"/>
    </row>
    <row r="48" spans="1:10" x14ac:dyDescent="0.25">
      <c r="A48" s="20" t="s">
        <v>55</v>
      </c>
      <c r="B48" s="20"/>
      <c r="C48" s="11">
        <v>28710</v>
      </c>
      <c r="D48" s="11">
        <v>0</v>
      </c>
      <c r="E48" s="11">
        <v>9304</v>
      </c>
      <c r="F48" s="11">
        <v>0</v>
      </c>
      <c r="G48" s="11">
        <f>SUM(C48:F48)</f>
        <v>38014</v>
      </c>
      <c r="H48" s="17">
        <f>ROUND(G48/846,2)</f>
        <v>44.93</v>
      </c>
      <c r="I48" s="10"/>
      <c r="J48" s="10"/>
    </row>
    <row r="49" spans="1:10" x14ac:dyDescent="0.25">
      <c r="A49" s="20" t="s">
        <v>56</v>
      </c>
      <c r="B49" s="20"/>
      <c r="C49" s="11">
        <v>0</v>
      </c>
      <c r="D49" s="11">
        <v>0</v>
      </c>
      <c r="E49" s="11">
        <v>0</v>
      </c>
      <c r="F49" s="11">
        <v>0</v>
      </c>
      <c r="G49" s="11">
        <f>SUM(C49:F49)</f>
        <v>0</v>
      </c>
      <c r="H49" s="17">
        <f>ROUND(G49/846,2)</f>
        <v>0</v>
      </c>
      <c r="I49" s="10"/>
      <c r="J49" s="10"/>
    </row>
    <row r="50" spans="1:10" x14ac:dyDescent="0.25">
      <c r="C50" s="9"/>
      <c r="D50" s="9"/>
      <c r="E50" s="9"/>
      <c r="F50" s="9"/>
      <c r="G50" s="9"/>
      <c r="H50" s="9"/>
      <c r="I50" s="10"/>
      <c r="J50" s="10"/>
    </row>
    <row r="51" spans="1:10" x14ac:dyDescent="0.25">
      <c r="C51" s="9"/>
      <c r="D51" s="9"/>
      <c r="E51" s="9"/>
      <c r="F51" s="9"/>
      <c r="G51" s="9"/>
      <c r="H51" s="9"/>
      <c r="I51" s="10"/>
      <c r="J51" s="10"/>
    </row>
    <row r="52" spans="1:10" x14ac:dyDescent="0.25">
      <c r="C52" s="9"/>
      <c r="D52" s="9"/>
      <c r="E52" s="9"/>
      <c r="F52" s="9"/>
      <c r="G52" s="9"/>
      <c r="H52" s="9"/>
      <c r="I52" s="10"/>
      <c r="J52" s="10"/>
    </row>
    <row r="53" spans="1:10" x14ac:dyDescent="0.25">
      <c r="C53" s="9"/>
      <c r="D53" s="9"/>
      <c r="E53" s="9"/>
      <c r="F53" s="9"/>
      <c r="G53" s="9"/>
      <c r="H53" s="9"/>
      <c r="I53" s="10"/>
      <c r="J53" s="10"/>
    </row>
    <row r="54" spans="1:10" x14ac:dyDescent="0.25">
      <c r="A54" s="21" t="s">
        <v>57</v>
      </c>
      <c r="B54" s="21"/>
      <c r="C54" s="15" t="s">
        <v>2</v>
      </c>
      <c r="D54" s="15">
        <v>2023</v>
      </c>
      <c r="E54" s="15" t="s">
        <v>59</v>
      </c>
      <c r="F54" s="14"/>
      <c r="G54" s="15" t="s">
        <v>60</v>
      </c>
      <c r="H54" s="15" t="s">
        <v>2</v>
      </c>
      <c r="I54" s="13" t="s">
        <v>61</v>
      </c>
      <c r="J54" s="13" t="s">
        <v>59</v>
      </c>
    </row>
    <row r="55" spans="1:10" x14ac:dyDescent="0.25">
      <c r="A55" s="20" t="s">
        <v>58</v>
      </c>
      <c r="B55" s="20"/>
      <c r="C55" s="16">
        <f>ROUND(0.7651, 4)</f>
        <v>0.7651</v>
      </c>
      <c r="D55" s="16">
        <f>ROUND(0.6935, 4)</f>
        <v>0.69350000000000001</v>
      </c>
      <c r="E55" s="16">
        <f>ROUND(0.777, 4)</f>
        <v>0.77700000000000002</v>
      </c>
      <c r="F55" s="9"/>
      <c r="G55" s="15" t="s">
        <v>62</v>
      </c>
      <c r="H55" s="22" t="s">
        <v>63</v>
      </c>
      <c r="I55" s="24" t="s">
        <v>64</v>
      </c>
      <c r="J55" s="24" t="s">
        <v>65</v>
      </c>
    </row>
    <row r="56" spans="1:10" x14ac:dyDescent="0.25">
      <c r="A56" s="20" t="s">
        <v>66</v>
      </c>
      <c r="B56" s="20"/>
      <c r="C56" s="16">
        <f>ROUND(0.727, 4)</f>
        <v>0.72699999999999998</v>
      </c>
      <c r="D56" s="16">
        <f>ROUND(0.6485, 4)</f>
        <v>0.64849999999999997</v>
      </c>
      <c r="E56" s="16">
        <f>ROUND(0.7608, 4)</f>
        <v>0.76080000000000003</v>
      </c>
      <c r="F56" s="9"/>
      <c r="G56" s="15" t="s">
        <v>67</v>
      </c>
      <c r="H56" s="23"/>
      <c r="I56" s="25"/>
      <c r="J56" s="25"/>
    </row>
    <row r="57" spans="1:10" x14ac:dyDescent="0.25">
      <c r="C57" s="9"/>
      <c r="D57" s="9"/>
      <c r="E57" s="9"/>
      <c r="F57" s="9"/>
      <c r="G57" s="9"/>
      <c r="H57" s="9"/>
      <c r="I57" s="10"/>
      <c r="J57" s="10"/>
    </row>
    <row r="58" spans="1:10" x14ac:dyDescent="0.25">
      <c r="C58" s="9"/>
      <c r="D58" s="9"/>
      <c r="E58" s="9"/>
      <c r="F58" s="9"/>
      <c r="G58" s="9"/>
      <c r="H58" s="9"/>
      <c r="I58" s="10"/>
      <c r="J58" s="10"/>
    </row>
    <row r="59" spans="1:10" x14ac:dyDescent="0.25">
      <c r="C59" s="9"/>
      <c r="D59" s="9"/>
      <c r="E59" s="9"/>
      <c r="F59" s="9"/>
      <c r="G59" s="9"/>
      <c r="H59" s="9"/>
      <c r="I59" s="10"/>
      <c r="J59" s="10"/>
    </row>
    <row r="60" spans="1:10" x14ac:dyDescent="0.25">
      <c r="A60" s="21" t="s">
        <v>68</v>
      </c>
      <c r="B60" s="21"/>
      <c r="C60" s="15" t="s">
        <v>2</v>
      </c>
      <c r="D60" s="15" t="s">
        <v>349</v>
      </c>
      <c r="E60" s="15" t="s">
        <v>70</v>
      </c>
      <c r="F60" s="15" t="s">
        <v>71</v>
      </c>
      <c r="G60" s="15" t="s">
        <v>72</v>
      </c>
      <c r="H60" s="14"/>
      <c r="I60" s="18"/>
      <c r="J60" s="18"/>
    </row>
    <row r="61" spans="1:10" x14ac:dyDescent="0.25">
      <c r="A61" s="20" t="s">
        <v>73</v>
      </c>
      <c r="B61" s="20"/>
      <c r="C61" s="17">
        <v>33.94</v>
      </c>
      <c r="D61" s="17">
        <v>77.5</v>
      </c>
      <c r="E61" s="17">
        <v>81.84</v>
      </c>
      <c r="F61" s="17">
        <v>48</v>
      </c>
      <c r="G61" s="17">
        <f>12/4*C61</f>
        <v>101.82</v>
      </c>
      <c r="H61" s="9"/>
      <c r="I61" s="10"/>
      <c r="J61" s="10"/>
    </row>
    <row r="62" spans="1:10" x14ac:dyDescent="0.25">
      <c r="A62" s="20" t="s">
        <v>74</v>
      </c>
      <c r="B62" s="20"/>
      <c r="C62" s="17">
        <v>20.28</v>
      </c>
      <c r="D62" s="17">
        <v>41.3</v>
      </c>
      <c r="E62" s="17">
        <v>55.63</v>
      </c>
      <c r="F62" s="17">
        <v>55.33</v>
      </c>
      <c r="G62" s="17">
        <f>12/4*C62</f>
        <v>60.84</v>
      </c>
      <c r="H62" s="9"/>
      <c r="I62" s="10"/>
      <c r="J62" s="10"/>
    </row>
    <row r="63" spans="1:10" x14ac:dyDescent="0.25">
      <c r="A63" s="20" t="s">
        <v>75</v>
      </c>
      <c r="B63" s="20"/>
      <c r="C63" s="17">
        <v>116.93</v>
      </c>
      <c r="D63" s="17">
        <v>225.22</v>
      </c>
      <c r="E63" s="17">
        <v>257.88</v>
      </c>
      <c r="F63" s="17">
        <v>242.78</v>
      </c>
      <c r="G63" s="17">
        <f>12/4*C63</f>
        <v>350.79</v>
      </c>
      <c r="H63" s="9"/>
      <c r="I63" s="10"/>
      <c r="J63" s="10"/>
    </row>
    <row r="64" spans="1:10" x14ac:dyDescent="0.25">
      <c r="A64" s="20" t="s">
        <v>76</v>
      </c>
      <c r="B64" s="20"/>
      <c r="C64" s="17">
        <v>44.93</v>
      </c>
      <c r="D64" s="17">
        <v>95.46</v>
      </c>
      <c r="E64" s="17">
        <v>103.14</v>
      </c>
      <c r="F64" s="17">
        <v>68.31</v>
      </c>
      <c r="G64" s="17">
        <f>12/4*C64</f>
        <v>134.79</v>
      </c>
      <c r="H64" s="9"/>
      <c r="I64" s="10"/>
      <c r="J64" s="10"/>
    </row>
    <row r="65" spans="1:10" x14ac:dyDescent="0.25">
      <c r="C65" s="9"/>
      <c r="D65" s="9"/>
      <c r="E65" s="9"/>
      <c r="F65" s="9"/>
      <c r="G65" s="9"/>
      <c r="H65" s="9"/>
      <c r="I65" s="10"/>
      <c r="J65" s="10"/>
    </row>
    <row r="66" spans="1:10" x14ac:dyDescent="0.25">
      <c r="C66" s="9"/>
      <c r="D66" s="9"/>
      <c r="E66" s="9"/>
      <c r="F66" s="9"/>
      <c r="G66" s="9"/>
      <c r="H66" s="9"/>
      <c r="I66" s="10"/>
      <c r="J66" s="10"/>
    </row>
    <row r="67" spans="1:10" x14ac:dyDescent="0.25">
      <c r="A67" s="19" t="s">
        <v>60</v>
      </c>
      <c r="B67" s="26"/>
      <c r="C67" s="9"/>
      <c r="D67" s="9"/>
      <c r="E67" s="9"/>
      <c r="F67" s="9"/>
      <c r="G67" s="9"/>
      <c r="H67" s="9"/>
      <c r="I67" s="10"/>
      <c r="J67" s="10"/>
    </row>
    <row r="68" spans="1:10" x14ac:dyDescent="0.25">
      <c r="A68" s="3" t="s">
        <v>77</v>
      </c>
      <c r="B68" s="1" t="s">
        <v>350</v>
      </c>
      <c r="C68" s="9"/>
      <c r="D68" s="9"/>
      <c r="E68" s="9"/>
      <c r="F68" s="9"/>
      <c r="G68" s="9"/>
      <c r="H68" s="9"/>
      <c r="I68" s="10"/>
      <c r="J68" s="10"/>
    </row>
    <row r="69" spans="1:10" x14ac:dyDescent="0.25">
      <c r="A69" s="3" t="s">
        <v>70</v>
      </c>
      <c r="B69" s="1" t="s">
        <v>79</v>
      </c>
      <c r="C69" s="9"/>
      <c r="D69" s="9"/>
      <c r="E69" s="9"/>
      <c r="F69" s="9"/>
      <c r="G69" s="9"/>
      <c r="H69" s="9"/>
      <c r="I69" s="10"/>
      <c r="J69" s="10"/>
    </row>
    <row r="70" spans="1:10" x14ac:dyDescent="0.25">
      <c r="A70" s="3" t="s">
        <v>71</v>
      </c>
      <c r="B70" s="1" t="s">
        <v>80</v>
      </c>
      <c r="C70" s="9"/>
      <c r="D70" s="9"/>
      <c r="E70" s="9"/>
      <c r="F70" s="9"/>
      <c r="G70" s="9"/>
      <c r="H70" s="9"/>
      <c r="I70" s="10"/>
      <c r="J70" s="10"/>
    </row>
    <row r="71" spans="1:10" x14ac:dyDescent="0.25">
      <c r="A71" s="3" t="s">
        <v>72</v>
      </c>
      <c r="B71" s="1" t="s">
        <v>81</v>
      </c>
      <c r="C71" s="9"/>
      <c r="D71" s="9"/>
      <c r="E71" s="9"/>
      <c r="F71" s="9"/>
      <c r="G71" s="9"/>
      <c r="H71" s="9"/>
      <c r="I71" s="10"/>
      <c r="J71" s="10"/>
    </row>
    <row r="72" spans="1:10" x14ac:dyDescent="0.25">
      <c r="C72" s="9"/>
      <c r="D72" s="9"/>
      <c r="E72" s="9"/>
      <c r="F72" s="9"/>
      <c r="G72" s="9"/>
      <c r="H72" s="9"/>
      <c r="I72" s="10"/>
      <c r="J72" s="10"/>
    </row>
    <row r="73" spans="1:10" x14ac:dyDescent="0.25">
      <c r="C73" s="9"/>
      <c r="D73" s="9"/>
      <c r="E73" s="9"/>
      <c r="F73" s="9"/>
      <c r="G73" s="9"/>
      <c r="H73" s="9"/>
      <c r="I73" s="10"/>
      <c r="J73" s="10"/>
    </row>
  </sheetData>
  <mergeCells count="19">
    <mergeCell ref="A62:B62"/>
    <mergeCell ref="A63:B63"/>
    <mergeCell ref="A64:B64"/>
    <mergeCell ref="A67:B67"/>
    <mergeCell ref="I55:I56"/>
    <mergeCell ref="J55:J56"/>
    <mergeCell ref="A56:B56"/>
    <mergeCell ref="A60:B60"/>
    <mergeCell ref="A61:B61"/>
    <mergeCell ref="A48:B48"/>
    <mergeCell ref="A49:B49"/>
    <mergeCell ref="A54:B54"/>
    <mergeCell ref="A55:B55"/>
    <mergeCell ref="H55:H56"/>
    <mergeCell ref="C7:G7"/>
    <mergeCell ref="A40:B40"/>
    <mergeCell ref="A41:B41"/>
    <mergeCell ref="A46:B46"/>
    <mergeCell ref="A47:B47"/>
  </mergeCells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dimension ref="A2:J73"/>
  <sheetViews>
    <sheetView workbookViewId="0">
      <selection activeCell="C9" sqref="C9:J68"/>
    </sheetView>
  </sheetViews>
  <sheetFormatPr defaultRowHeight="15" x14ac:dyDescent="0.25"/>
  <cols>
    <col min="1" max="1" width="38.85546875" bestFit="1" customWidth="1"/>
    <col min="2" max="2" width="79" bestFit="1" customWidth="1"/>
    <col min="3" max="3" width="14" bestFit="1" customWidth="1"/>
    <col min="4" max="4" width="30.5703125" bestFit="1" customWidth="1"/>
    <col min="5" max="5" width="16.42578125" bestFit="1" customWidth="1"/>
    <col min="6" max="6" width="10.5703125" bestFit="1" customWidth="1"/>
    <col min="7" max="7" width="68.28515625" bestFit="1" customWidth="1"/>
    <col min="8" max="9" width="20" bestFit="1" customWidth="1"/>
    <col min="10" max="10" width="30.5703125" bestFit="1" customWidth="1"/>
  </cols>
  <sheetData>
    <row r="2" spans="1:10" ht="18.75" x14ac:dyDescent="0.3">
      <c r="A2" s="3" t="s">
        <v>0</v>
      </c>
      <c r="B2" s="4" t="s">
        <v>351</v>
      </c>
    </row>
    <row r="3" spans="1:10" x14ac:dyDescent="0.25">
      <c r="A3" s="3" t="s">
        <v>2</v>
      </c>
      <c r="B3" s="1" t="s">
        <v>3</v>
      </c>
    </row>
    <row r="4" spans="1:10" x14ac:dyDescent="0.25">
      <c r="A4" s="3" t="s">
        <v>4</v>
      </c>
      <c r="B4" s="1">
        <v>2127</v>
      </c>
    </row>
    <row r="7" spans="1:10" x14ac:dyDescent="0.25">
      <c r="C7" s="19" t="s">
        <v>5</v>
      </c>
      <c r="D7" s="20"/>
      <c r="E7" s="20"/>
      <c r="F7" s="20"/>
      <c r="G7" s="20"/>
    </row>
    <row r="8" spans="1:10" x14ac:dyDescent="0.25">
      <c r="A8" s="3" t="s">
        <v>6</v>
      </c>
      <c r="B8" s="3" t="s">
        <v>7</v>
      </c>
      <c r="C8" s="3" t="s">
        <v>8</v>
      </c>
      <c r="D8" s="3" t="s">
        <v>9</v>
      </c>
      <c r="E8" s="3" t="s">
        <v>10</v>
      </c>
      <c r="F8" s="3" t="s">
        <v>11</v>
      </c>
      <c r="G8" s="3" t="s">
        <v>12</v>
      </c>
      <c r="H8" s="3" t="s">
        <v>13</v>
      </c>
      <c r="I8" s="3" t="s">
        <v>14</v>
      </c>
      <c r="J8" s="3" t="s">
        <v>15</v>
      </c>
    </row>
    <row r="9" spans="1:10" x14ac:dyDescent="0.25">
      <c r="A9" s="1" t="s">
        <v>16</v>
      </c>
      <c r="B9" s="1" t="s">
        <v>17</v>
      </c>
      <c r="C9" s="11"/>
      <c r="D9" s="11"/>
      <c r="E9" s="11">
        <v>2</v>
      </c>
      <c r="F9" s="11"/>
      <c r="G9" s="11">
        <f t="shared" ref="G9:G41" si="0">SUM(C9:F9)</f>
        <v>2</v>
      </c>
      <c r="H9" s="17">
        <f t="shared" ref="H9:H41" si="1">ROUND(G9/2127,2)</f>
        <v>0</v>
      </c>
      <c r="I9" s="16">
        <f t="shared" ref="I9:I41" si="2">ROUND(G9/$G$42,3)</f>
        <v>0</v>
      </c>
      <c r="J9" s="16">
        <f>ROUND(G9/100-1,2)</f>
        <v>-0.98</v>
      </c>
    </row>
    <row r="10" spans="1:10" x14ac:dyDescent="0.25">
      <c r="A10" s="1" t="s">
        <v>16</v>
      </c>
      <c r="B10" s="1" t="s">
        <v>19</v>
      </c>
      <c r="C10" s="11">
        <v>22630</v>
      </c>
      <c r="D10" s="11"/>
      <c r="E10" s="11">
        <v>2524</v>
      </c>
      <c r="F10" s="11"/>
      <c r="G10" s="11">
        <f t="shared" si="0"/>
        <v>25154</v>
      </c>
      <c r="H10" s="17">
        <f t="shared" si="1"/>
        <v>11.83</v>
      </c>
      <c r="I10" s="16">
        <f t="shared" si="2"/>
        <v>0.10199999999999999</v>
      </c>
      <c r="J10" s="16">
        <f>ROUND(G10/33523.26-1,2)</f>
        <v>-0.25</v>
      </c>
    </row>
    <row r="11" spans="1:10" x14ac:dyDescent="0.25">
      <c r="A11" s="1" t="s">
        <v>16</v>
      </c>
      <c r="B11" s="1" t="s">
        <v>20</v>
      </c>
      <c r="C11" s="11">
        <v>32300</v>
      </c>
      <c r="D11" s="11"/>
      <c r="E11" s="11"/>
      <c r="F11" s="11"/>
      <c r="G11" s="11">
        <f t="shared" si="0"/>
        <v>32300</v>
      </c>
      <c r="H11" s="17">
        <f t="shared" si="1"/>
        <v>15.19</v>
      </c>
      <c r="I11" s="16">
        <f t="shared" si="2"/>
        <v>0.13100000000000001</v>
      </c>
      <c r="J11" s="16">
        <f>ROUND(G11/32180-1,2)</f>
        <v>0</v>
      </c>
    </row>
    <row r="12" spans="1:10" x14ac:dyDescent="0.25">
      <c r="A12" s="1" t="s">
        <v>16</v>
      </c>
      <c r="B12" s="1" t="s">
        <v>21</v>
      </c>
      <c r="C12" s="11"/>
      <c r="D12" s="11"/>
      <c r="E12" s="11">
        <v>71</v>
      </c>
      <c r="F12" s="11"/>
      <c r="G12" s="11">
        <f t="shared" si="0"/>
        <v>71</v>
      </c>
      <c r="H12" s="17">
        <f t="shared" si="1"/>
        <v>0.03</v>
      </c>
      <c r="I12" s="16">
        <f t="shared" si="2"/>
        <v>0</v>
      </c>
      <c r="J12" s="16">
        <f>ROUND(G12/455-1,2)</f>
        <v>-0.84</v>
      </c>
    </row>
    <row r="13" spans="1:10" x14ac:dyDescent="0.25">
      <c r="A13" s="1" t="s">
        <v>16</v>
      </c>
      <c r="B13" s="1" t="s">
        <v>22</v>
      </c>
      <c r="C13" s="11"/>
      <c r="D13" s="11"/>
      <c r="E13" s="11">
        <v>728</v>
      </c>
      <c r="F13" s="11"/>
      <c r="G13" s="11">
        <f t="shared" si="0"/>
        <v>728</v>
      </c>
      <c r="H13" s="17">
        <f t="shared" si="1"/>
        <v>0.34</v>
      </c>
      <c r="I13" s="16">
        <f t="shared" si="2"/>
        <v>3.0000000000000001E-3</v>
      </c>
      <c r="J13" s="16">
        <f>ROUND(G13/1000-1,2)</f>
        <v>-0.27</v>
      </c>
    </row>
    <row r="14" spans="1:10" x14ac:dyDescent="0.25">
      <c r="A14" s="1" t="s">
        <v>16</v>
      </c>
      <c r="B14" s="1" t="s">
        <v>23</v>
      </c>
      <c r="C14" s="11"/>
      <c r="D14" s="11"/>
      <c r="E14" s="11">
        <v>11714</v>
      </c>
      <c r="F14" s="11"/>
      <c r="G14" s="11">
        <f t="shared" si="0"/>
        <v>11714</v>
      </c>
      <c r="H14" s="17">
        <f t="shared" si="1"/>
        <v>5.51</v>
      </c>
      <c r="I14" s="16">
        <f t="shared" si="2"/>
        <v>4.8000000000000001E-2</v>
      </c>
      <c r="J14" s="16">
        <f>ROUND(G14/17784.12-1,2)</f>
        <v>-0.34</v>
      </c>
    </row>
    <row r="15" spans="1:10" x14ac:dyDescent="0.25">
      <c r="A15" s="1" t="s">
        <v>16</v>
      </c>
      <c r="B15" s="1" t="s">
        <v>24</v>
      </c>
      <c r="C15" s="11">
        <v>25760</v>
      </c>
      <c r="D15" s="11"/>
      <c r="E15" s="11">
        <v>6067</v>
      </c>
      <c r="F15" s="11"/>
      <c r="G15" s="11">
        <f t="shared" si="0"/>
        <v>31827</v>
      </c>
      <c r="H15" s="17">
        <f t="shared" si="1"/>
        <v>14.96</v>
      </c>
      <c r="I15" s="16">
        <f t="shared" si="2"/>
        <v>0.13</v>
      </c>
      <c r="J15" s="16">
        <f>ROUND(G15/41773.49-1,2)</f>
        <v>-0.24</v>
      </c>
    </row>
    <row r="16" spans="1:10" x14ac:dyDescent="0.25">
      <c r="A16" s="1" t="s">
        <v>16</v>
      </c>
      <c r="B16" s="1" t="s">
        <v>25</v>
      </c>
      <c r="C16" s="11"/>
      <c r="D16" s="11"/>
      <c r="E16" s="11">
        <v>1209</v>
      </c>
      <c r="F16" s="11"/>
      <c r="G16" s="11">
        <f t="shared" si="0"/>
        <v>1209</v>
      </c>
      <c r="H16" s="17">
        <f t="shared" si="1"/>
        <v>0.56999999999999995</v>
      </c>
      <c r="I16" s="16">
        <f t="shared" si="2"/>
        <v>5.0000000000000001E-3</v>
      </c>
      <c r="J16" s="16">
        <f>ROUND(G16/5050-1,2)</f>
        <v>-0.76</v>
      </c>
    </row>
    <row r="17" spans="1:10" x14ac:dyDescent="0.25">
      <c r="A17" s="1" t="s">
        <v>16</v>
      </c>
      <c r="B17" s="1" t="s">
        <v>26</v>
      </c>
      <c r="C17" s="11">
        <v>44920</v>
      </c>
      <c r="D17" s="11"/>
      <c r="E17" s="11"/>
      <c r="F17" s="11"/>
      <c r="G17" s="11">
        <f t="shared" si="0"/>
        <v>44920</v>
      </c>
      <c r="H17" s="17">
        <f t="shared" si="1"/>
        <v>21.12</v>
      </c>
      <c r="I17" s="16">
        <f t="shared" si="2"/>
        <v>0.183</v>
      </c>
      <c r="J17" s="16">
        <f>ROUND(G17/34830-1,2)</f>
        <v>0.28999999999999998</v>
      </c>
    </row>
    <row r="18" spans="1:10" x14ac:dyDescent="0.25">
      <c r="A18" s="1" t="s">
        <v>16</v>
      </c>
      <c r="B18" s="1" t="s">
        <v>27</v>
      </c>
      <c r="C18" s="11"/>
      <c r="D18" s="11"/>
      <c r="E18" s="11">
        <v>123</v>
      </c>
      <c r="F18" s="11"/>
      <c r="G18" s="11">
        <f t="shared" si="0"/>
        <v>123</v>
      </c>
      <c r="H18" s="17">
        <f t="shared" si="1"/>
        <v>0.06</v>
      </c>
      <c r="I18" s="16">
        <f t="shared" si="2"/>
        <v>1E-3</v>
      </c>
      <c r="J18" s="16">
        <f>ROUND(G18/165-1,2)</f>
        <v>-0.25</v>
      </c>
    </row>
    <row r="19" spans="1:10" x14ac:dyDescent="0.25">
      <c r="A19" s="1" t="s">
        <v>16</v>
      </c>
      <c r="B19" s="1" t="s">
        <v>28</v>
      </c>
      <c r="C19" s="11"/>
      <c r="D19" s="11"/>
      <c r="E19" s="11">
        <v>82</v>
      </c>
      <c r="F19" s="11"/>
      <c r="G19" s="11">
        <f t="shared" si="0"/>
        <v>82</v>
      </c>
      <c r="H19" s="17">
        <f t="shared" si="1"/>
        <v>0.04</v>
      </c>
      <c r="I19" s="16">
        <f t="shared" si="2"/>
        <v>0</v>
      </c>
      <c r="J19" s="16">
        <f>ROUND(G19/370-1,2)</f>
        <v>-0.78</v>
      </c>
    </row>
    <row r="20" spans="1:10" x14ac:dyDescent="0.25">
      <c r="A20" s="1" t="s">
        <v>16</v>
      </c>
      <c r="B20" s="1" t="s">
        <v>29</v>
      </c>
      <c r="C20" s="11"/>
      <c r="D20" s="11"/>
      <c r="E20" s="11">
        <v>108</v>
      </c>
      <c r="F20" s="11"/>
      <c r="G20" s="11">
        <f t="shared" si="0"/>
        <v>108</v>
      </c>
      <c r="H20" s="17">
        <f t="shared" si="1"/>
        <v>0.05</v>
      </c>
      <c r="I20" s="16">
        <f t="shared" si="2"/>
        <v>0</v>
      </c>
      <c r="J20" s="16">
        <f>ROUND(G20/212.3-1,2)</f>
        <v>-0.49</v>
      </c>
    </row>
    <row r="21" spans="1:10" x14ac:dyDescent="0.25">
      <c r="A21" s="1" t="s">
        <v>16</v>
      </c>
      <c r="B21" s="1" t="s">
        <v>31</v>
      </c>
      <c r="C21" s="11"/>
      <c r="D21" s="11"/>
      <c r="E21" s="11">
        <v>385</v>
      </c>
      <c r="F21" s="11"/>
      <c r="G21" s="11">
        <f t="shared" si="0"/>
        <v>385</v>
      </c>
      <c r="H21" s="17">
        <f t="shared" si="1"/>
        <v>0.18</v>
      </c>
      <c r="I21" s="16">
        <f t="shared" si="2"/>
        <v>2E-3</v>
      </c>
      <c r="J21" s="16">
        <f>ROUND(G21/1010-1,2)</f>
        <v>-0.62</v>
      </c>
    </row>
    <row r="22" spans="1:10" x14ac:dyDescent="0.25">
      <c r="A22" s="1" t="s">
        <v>16</v>
      </c>
      <c r="B22" s="1" t="s">
        <v>32</v>
      </c>
      <c r="C22" s="11"/>
      <c r="D22" s="11"/>
      <c r="E22" s="11">
        <v>55</v>
      </c>
      <c r="F22" s="11"/>
      <c r="G22" s="11">
        <f t="shared" si="0"/>
        <v>55</v>
      </c>
      <c r="H22" s="17">
        <f t="shared" si="1"/>
        <v>0.03</v>
      </c>
      <c r="I22" s="16">
        <f t="shared" si="2"/>
        <v>0</v>
      </c>
      <c r="J22" s="16">
        <f>ROUND(G22/631-1,2)</f>
        <v>-0.91</v>
      </c>
    </row>
    <row r="23" spans="1:10" x14ac:dyDescent="0.25">
      <c r="A23" s="1" t="s">
        <v>16</v>
      </c>
      <c r="B23" s="1" t="s">
        <v>35</v>
      </c>
      <c r="C23" s="11"/>
      <c r="D23" s="11"/>
      <c r="E23" s="11">
        <v>16677</v>
      </c>
      <c r="F23" s="11"/>
      <c r="G23" s="11">
        <f t="shared" si="0"/>
        <v>16677</v>
      </c>
      <c r="H23" s="17">
        <f t="shared" si="1"/>
        <v>7.84</v>
      </c>
      <c r="I23" s="16">
        <f t="shared" si="2"/>
        <v>6.8000000000000005E-2</v>
      </c>
      <c r="J23" s="16">
        <f>ROUND(G23/25981.64-1,2)</f>
        <v>-0.36</v>
      </c>
    </row>
    <row r="24" spans="1:10" x14ac:dyDescent="0.25">
      <c r="A24" s="1" t="s">
        <v>16</v>
      </c>
      <c r="B24" s="1" t="s">
        <v>37</v>
      </c>
      <c r="C24" s="11"/>
      <c r="D24" s="11"/>
      <c r="E24" s="11">
        <v>5198</v>
      </c>
      <c r="F24" s="11"/>
      <c r="G24" s="11">
        <f t="shared" si="0"/>
        <v>5198</v>
      </c>
      <c r="H24" s="17">
        <f t="shared" si="1"/>
        <v>2.44</v>
      </c>
      <c r="I24" s="16">
        <f t="shared" si="2"/>
        <v>2.1000000000000001E-2</v>
      </c>
      <c r="J24" s="16">
        <f>ROUND(G24/9907.41-1,2)</f>
        <v>-0.48</v>
      </c>
    </row>
    <row r="25" spans="1:10" x14ac:dyDescent="0.25">
      <c r="A25" s="1" t="s">
        <v>16</v>
      </c>
      <c r="B25" s="1" t="s">
        <v>38</v>
      </c>
      <c r="C25" s="11"/>
      <c r="D25" s="11"/>
      <c r="E25" s="11">
        <v>7352</v>
      </c>
      <c r="F25" s="11"/>
      <c r="G25" s="11">
        <f t="shared" si="0"/>
        <v>7352</v>
      </c>
      <c r="H25" s="17">
        <f t="shared" si="1"/>
        <v>3.46</v>
      </c>
      <c r="I25" s="16">
        <f t="shared" si="2"/>
        <v>0.03</v>
      </c>
      <c r="J25" s="16">
        <f>ROUND(G25/21763.86-1,2)</f>
        <v>-0.66</v>
      </c>
    </row>
    <row r="26" spans="1:10" x14ac:dyDescent="0.25">
      <c r="A26" s="1" t="s">
        <v>16</v>
      </c>
      <c r="B26" s="1" t="s">
        <v>39</v>
      </c>
      <c r="C26" s="11"/>
      <c r="D26" s="11"/>
      <c r="E26" s="11"/>
      <c r="F26" s="11"/>
      <c r="G26" s="11">
        <f t="shared" si="0"/>
        <v>0</v>
      </c>
      <c r="H26" s="17">
        <f t="shared" si="1"/>
        <v>0</v>
      </c>
      <c r="I26" s="16">
        <f t="shared" si="2"/>
        <v>0</v>
      </c>
      <c r="J26" s="16">
        <f>ROUND(G26/171.31-1,2)</f>
        <v>-1</v>
      </c>
    </row>
    <row r="27" spans="1:10" x14ac:dyDescent="0.25">
      <c r="A27" s="1" t="s">
        <v>16</v>
      </c>
      <c r="B27" s="1" t="s">
        <v>40</v>
      </c>
      <c r="C27" s="11"/>
      <c r="D27" s="11"/>
      <c r="E27" s="11"/>
      <c r="F27" s="11"/>
      <c r="G27" s="11">
        <f t="shared" si="0"/>
        <v>0</v>
      </c>
      <c r="H27" s="17">
        <f t="shared" si="1"/>
        <v>0</v>
      </c>
      <c r="I27" s="16">
        <f t="shared" si="2"/>
        <v>0</v>
      </c>
      <c r="J27" s="16">
        <f>ROUND(G27/861.61-1,2)</f>
        <v>-1</v>
      </c>
    </row>
    <row r="28" spans="1:10" x14ac:dyDescent="0.25">
      <c r="A28" s="1" t="s">
        <v>16</v>
      </c>
      <c r="B28" s="1" t="s">
        <v>43</v>
      </c>
      <c r="C28" s="11"/>
      <c r="D28" s="11"/>
      <c r="E28" s="11"/>
      <c r="F28" s="11"/>
      <c r="G28" s="11">
        <f t="shared" si="0"/>
        <v>0</v>
      </c>
      <c r="H28" s="17">
        <f t="shared" si="1"/>
        <v>0</v>
      </c>
      <c r="I28" s="16">
        <f t="shared" si="2"/>
        <v>0</v>
      </c>
      <c r="J28" s="16">
        <f>ROUND(G28/5670-1,2)</f>
        <v>-1</v>
      </c>
    </row>
    <row r="29" spans="1:10" x14ac:dyDescent="0.25">
      <c r="A29" s="1" t="s">
        <v>16</v>
      </c>
      <c r="B29" s="1" t="s">
        <v>42</v>
      </c>
      <c r="C29" s="11"/>
      <c r="D29" s="11"/>
      <c r="E29" s="11"/>
      <c r="F29" s="11"/>
      <c r="G29" s="11">
        <f t="shared" si="0"/>
        <v>0</v>
      </c>
      <c r="H29" s="17">
        <f t="shared" si="1"/>
        <v>0</v>
      </c>
      <c r="I29" s="16">
        <f t="shared" si="2"/>
        <v>0</v>
      </c>
      <c r="J29" s="16">
        <f>ROUND(G29/871.43-1,2)</f>
        <v>-1</v>
      </c>
    </row>
    <row r="30" spans="1:10" x14ac:dyDescent="0.25">
      <c r="A30" s="1" t="s">
        <v>16</v>
      </c>
      <c r="B30" s="1" t="s">
        <v>30</v>
      </c>
      <c r="C30" s="11"/>
      <c r="D30" s="11"/>
      <c r="E30" s="11"/>
      <c r="F30" s="11"/>
      <c r="G30" s="11">
        <f t="shared" si="0"/>
        <v>0</v>
      </c>
      <c r="H30" s="17">
        <f t="shared" si="1"/>
        <v>0</v>
      </c>
      <c r="I30" s="16">
        <f t="shared" si="2"/>
        <v>0</v>
      </c>
      <c r="J30" s="16">
        <f>ROUND(G30/107.14-1,2)</f>
        <v>-1</v>
      </c>
    </row>
    <row r="31" spans="1:10" x14ac:dyDescent="0.25">
      <c r="A31" s="1" t="s">
        <v>16</v>
      </c>
      <c r="B31" s="1" t="s">
        <v>41</v>
      </c>
      <c r="C31" s="11"/>
      <c r="D31" s="11"/>
      <c r="E31" s="11"/>
      <c r="F31" s="11"/>
      <c r="G31" s="11">
        <f t="shared" si="0"/>
        <v>0</v>
      </c>
      <c r="H31" s="17">
        <f t="shared" si="1"/>
        <v>0</v>
      </c>
      <c r="I31" s="16">
        <f t="shared" si="2"/>
        <v>0</v>
      </c>
      <c r="J31" s="16">
        <f>ROUND(G31/283.87-1,2)</f>
        <v>-1</v>
      </c>
    </row>
    <row r="32" spans="1:10" x14ac:dyDescent="0.25">
      <c r="A32" s="1" t="s">
        <v>16</v>
      </c>
      <c r="B32" s="1" t="s">
        <v>33</v>
      </c>
      <c r="C32" s="11"/>
      <c r="D32" s="11"/>
      <c r="E32" s="11"/>
      <c r="F32" s="11"/>
      <c r="G32" s="11">
        <f t="shared" si="0"/>
        <v>0</v>
      </c>
      <c r="H32" s="17">
        <f t="shared" si="1"/>
        <v>0</v>
      </c>
      <c r="I32" s="16">
        <f t="shared" si="2"/>
        <v>0</v>
      </c>
      <c r="J32" s="16"/>
    </row>
    <row r="33" spans="1:10" x14ac:dyDescent="0.25">
      <c r="A33" s="1" t="s">
        <v>16</v>
      </c>
      <c r="B33" s="1" t="s">
        <v>34</v>
      </c>
      <c r="C33" s="11"/>
      <c r="D33" s="11"/>
      <c r="E33" s="11"/>
      <c r="F33" s="11"/>
      <c r="G33" s="11">
        <f t="shared" si="0"/>
        <v>0</v>
      </c>
      <c r="H33" s="17">
        <f t="shared" si="1"/>
        <v>0</v>
      </c>
      <c r="I33" s="16">
        <f t="shared" si="2"/>
        <v>0</v>
      </c>
      <c r="J33" s="16"/>
    </row>
    <row r="34" spans="1:10" x14ac:dyDescent="0.25">
      <c r="A34" s="1" t="s">
        <v>16</v>
      </c>
      <c r="B34" s="1" t="s">
        <v>36</v>
      </c>
      <c r="C34" s="11"/>
      <c r="D34" s="11"/>
      <c r="E34" s="11"/>
      <c r="F34" s="11"/>
      <c r="G34" s="11">
        <f t="shared" si="0"/>
        <v>0</v>
      </c>
      <c r="H34" s="17">
        <f t="shared" si="1"/>
        <v>0</v>
      </c>
      <c r="I34" s="16">
        <f t="shared" si="2"/>
        <v>0</v>
      </c>
      <c r="J34" s="16"/>
    </row>
    <row r="35" spans="1:10" x14ac:dyDescent="0.25">
      <c r="A35" s="1" t="s">
        <v>44</v>
      </c>
      <c r="B35" s="1" t="s">
        <v>45</v>
      </c>
      <c r="C35" s="11">
        <v>57960</v>
      </c>
      <c r="D35" s="11"/>
      <c r="E35" s="11"/>
      <c r="F35" s="11"/>
      <c r="G35" s="11">
        <f t="shared" si="0"/>
        <v>57960</v>
      </c>
      <c r="H35" s="17">
        <f t="shared" si="1"/>
        <v>27.25</v>
      </c>
      <c r="I35" s="16">
        <f t="shared" si="2"/>
        <v>0.23599999999999999</v>
      </c>
      <c r="J35" s="16">
        <f>ROUND(G35/51120-1,2)</f>
        <v>0.13</v>
      </c>
    </row>
    <row r="36" spans="1:10" x14ac:dyDescent="0.25">
      <c r="A36" s="1" t="s">
        <v>44</v>
      </c>
      <c r="B36" s="1" t="s">
        <v>46</v>
      </c>
      <c r="C36" s="11"/>
      <c r="D36" s="11"/>
      <c r="E36" s="11">
        <v>9845</v>
      </c>
      <c r="F36" s="11"/>
      <c r="G36" s="11">
        <f t="shared" si="0"/>
        <v>9845</v>
      </c>
      <c r="H36" s="17">
        <f t="shared" si="1"/>
        <v>4.63</v>
      </c>
      <c r="I36" s="16">
        <f t="shared" si="2"/>
        <v>0.04</v>
      </c>
      <c r="J36" s="16">
        <f>ROUND(G36/15774.68-1,2)</f>
        <v>-0.38</v>
      </c>
    </row>
    <row r="37" spans="1:10" x14ac:dyDescent="0.25">
      <c r="A37" s="1" t="s">
        <v>44</v>
      </c>
      <c r="B37" s="1" t="s">
        <v>47</v>
      </c>
      <c r="C37" s="11"/>
      <c r="D37" s="11"/>
      <c r="E37" s="11"/>
      <c r="F37" s="11"/>
      <c r="G37" s="11">
        <f t="shared" si="0"/>
        <v>0</v>
      </c>
      <c r="H37" s="17">
        <f t="shared" si="1"/>
        <v>0</v>
      </c>
      <c r="I37" s="16">
        <f t="shared" si="2"/>
        <v>0</v>
      </c>
      <c r="J37" s="16"/>
    </row>
    <row r="38" spans="1:10" x14ac:dyDescent="0.25">
      <c r="A38" s="1" t="s">
        <v>48</v>
      </c>
      <c r="B38" s="1" t="s">
        <v>49</v>
      </c>
      <c r="C38" s="11"/>
      <c r="D38" s="11"/>
      <c r="E38" s="11"/>
      <c r="F38" s="11"/>
      <c r="G38" s="11">
        <f t="shared" si="0"/>
        <v>0</v>
      </c>
      <c r="H38" s="17">
        <f t="shared" si="1"/>
        <v>0</v>
      </c>
      <c r="I38" s="16">
        <f t="shared" si="2"/>
        <v>0</v>
      </c>
      <c r="J38" s="16"/>
    </row>
    <row r="39" spans="1:10" x14ac:dyDescent="0.25">
      <c r="A39" s="1" t="s">
        <v>48</v>
      </c>
      <c r="B39" s="1" t="s">
        <v>86</v>
      </c>
      <c r="C39" s="11"/>
      <c r="D39" s="11"/>
      <c r="E39" s="11"/>
      <c r="F39" s="11"/>
      <c r="G39" s="11">
        <f t="shared" si="0"/>
        <v>0</v>
      </c>
      <c r="H39" s="17">
        <f t="shared" si="1"/>
        <v>0</v>
      </c>
      <c r="I39" s="16">
        <f t="shared" si="2"/>
        <v>0</v>
      </c>
      <c r="J39" s="16"/>
    </row>
    <row r="40" spans="1:10" x14ac:dyDescent="0.25">
      <c r="A40" s="1" t="s">
        <v>48</v>
      </c>
      <c r="B40" s="1" t="s">
        <v>50</v>
      </c>
      <c r="C40" s="11"/>
      <c r="D40" s="11"/>
      <c r="E40" s="11"/>
      <c r="F40" s="11"/>
      <c r="G40" s="11">
        <f t="shared" si="0"/>
        <v>0</v>
      </c>
      <c r="H40" s="17">
        <f t="shared" si="1"/>
        <v>0</v>
      </c>
      <c r="I40" s="16">
        <f t="shared" si="2"/>
        <v>0</v>
      </c>
      <c r="J40" s="16"/>
    </row>
    <row r="41" spans="1:10" x14ac:dyDescent="0.25">
      <c r="A41" s="1" t="s">
        <v>48</v>
      </c>
      <c r="B41" s="1" t="s">
        <v>51</v>
      </c>
      <c r="C41" s="11"/>
      <c r="D41" s="11"/>
      <c r="E41" s="11"/>
      <c r="F41" s="11"/>
      <c r="G41" s="11">
        <f t="shared" si="0"/>
        <v>0</v>
      </c>
      <c r="H41" s="17">
        <f t="shared" si="1"/>
        <v>0</v>
      </c>
      <c r="I41" s="16">
        <f t="shared" si="2"/>
        <v>0</v>
      </c>
      <c r="J41" s="16"/>
    </row>
    <row r="42" spans="1:10" x14ac:dyDescent="0.25">
      <c r="A42" s="21" t="s">
        <v>12</v>
      </c>
      <c r="B42" s="21"/>
      <c r="C42" s="12">
        <f t="shared" ref="C42:H42" si="3">SUM(C8:C41)</f>
        <v>183570</v>
      </c>
      <c r="D42" s="12">
        <f t="shared" si="3"/>
        <v>0</v>
      </c>
      <c r="E42" s="12">
        <f t="shared" si="3"/>
        <v>62140</v>
      </c>
      <c r="F42" s="12">
        <f t="shared" si="3"/>
        <v>0</v>
      </c>
      <c r="G42" s="12">
        <f t="shared" si="3"/>
        <v>245710</v>
      </c>
      <c r="H42" s="15">
        <f t="shared" si="3"/>
        <v>115.53</v>
      </c>
      <c r="I42" s="18"/>
      <c r="J42" s="18"/>
    </row>
    <row r="43" spans="1:10" x14ac:dyDescent="0.25">
      <c r="A43" s="21" t="s">
        <v>14</v>
      </c>
      <c r="B43" s="21"/>
      <c r="C43" s="13">
        <f>ROUND(C42/G42,2)</f>
        <v>0.75</v>
      </c>
      <c r="D43" s="13">
        <f>ROUND(D42/G42,2)</f>
        <v>0</v>
      </c>
      <c r="E43" s="13">
        <f>ROUND(E42/G42,2)</f>
        <v>0.25</v>
      </c>
      <c r="F43" s="13">
        <f>ROUND(F42/G42,2)</f>
        <v>0</v>
      </c>
      <c r="G43" s="14"/>
      <c r="H43" s="14"/>
      <c r="I43" s="18"/>
      <c r="J43" s="18"/>
    </row>
    <row r="44" spans="1:10" x14ac:dyDescent="0.25">
      <c r="A44" s="2" t="s">
        <v>52</v>
      </c>
      <c r="B44" s="2"/>
      <c r="C44" s="14"/>
      <c r="D44" s="14"/>
      <c r="E44" s="14"/>
      <c r="F44" s="14"/>
      <c r="G44" s="14"/>
      <c r="H44" s="14"/>
      <c r="I44" s="18"/>
      <c r="J44" s="18"/>
    </row>
    <row r="45" spans="1:10" x14ac:dyDescent="0.25">
      <c r="C45" s="9"/>
      <c r="D45" s="9"/>
      <c r="E45" s="9"/>
      <c r="F45" s="9"/>
      <c r="G45" s="9"/>
      <c r="H45" s="9"/>
      <c r="I45" s="10"/>
      <c r="J45" s="10"/>
    </row>
    <row r="46" spans="1:10" x14ac:dyDescent="0.25">
      <c r="C46" s="9"/>
      <c r="D46" s="9"/>
      <c r="E46" s="9"/>
      <c r="F46" s="9"/>
      <c r="G46" s="9"/>
      <c r="H46" s="9"/>
      <c r="I46" s="10"/>
      <c r="J46" s="10"/>
    </row>
    <row r="47" spans="1:10" x14ac:dyDescent="0.25">
      <c r="C47" s="9"/>
      <c r="D47" s="9"/>
      <c r="E47" s="9"/>
      <c r="F47" s="9"/>
      <c r="G47" s="9"/>
      <c r="H47" s="9"/>
      <c r="I47" s="10"/>
      <c r="J47" s="10"/>
    </row>
    <row r="48" spans="1:10" x14ac:dyDescent="0.25">
      <c r="A48" s="21" t="s">
        <v>53</v>
      </c>
      <c r="B48" s="21"/>
      <c r="C48" s="12" t="s">
        <v>8</v>
      </c>
      <c r="D48" s="12" t="s">
        <v>9</v>
      </c>
      <c r="E48" s="12" t="s">
        <v>10</v>
      </c>
      <c r="F48" s="12" t="s">
        <v>11</v>
      </c>
      <c r="G48" s="12" t="s">
        <v>12</v>
      </c>
      <c r="H48" s="15" t="s">
        <v>13</v>
      </c>
      <c r="I48" s="18"/>
      <c r="J48" s="18"/>
    </row>
    <row r="49" spans="1:10" x14ac:dyDescent="0.25">
      <c r="A49" s="20" t="s">
        <v>54</v>
      </c>
      <c r="B49" s="20"/>
      <c r="C49" s="11">
        <v>125610</v>
      </c>
      <c r="D49" s="11">
        <v>0</v>
      </c>
      <c r="E49" s="11">
        <v>52295</v>
      </c>
      <c r="F49" s="11">
        <v>0</v>
      </c>
      <c r="G49" s="11">
        <f>SUM(C49:F49)</f>
        <v>177905</v>
      </c>
      <c r="H49" s="17">
        <f>ROUND(G49/2127,2)</f>
        <v>83.64</v>
      </c>
      <c r="I49" s="10"/>
      <c r="J49" s="10"/>
    </row>
    <row r="50" spans="1:10" x14ac:dyDescent="0.25">
      <c r="A50" s="20" t="s">
        <v>55</v>
      </c>
      <c r="B50" s="20"/>
      <c r="C50" s="11">
        <v>57960</v>
      </c>
      <c r="D50" s="11">
        <v>0</v>
      </c>
      <c r="E50" s="11">
        <v>9845</v>
      </c>
      <c r="F50" s="11">
        <v>0</v>
      </c>
      <c r="G50" s="11">
        <f>SUM(C50:F50)</f>
        <v>67805</v>
      </c>
      <c r="H50" s="17">
        <f>ROUND(G50/2127,2)</f>
        <v>31.88</v>
      </c>
      <c r="I50" s="10"/>
      <c r="J50" s="10"/>
    </row>
    <row r="51" spans="1:10" x14ac:dyDescent="0.25">
      <c r="A51" s="20" t="s">
        <v>56</v>
      </c>
      <c r="B51" s="20"/>
      <c r="C51" s="11">
        <v>0</v>
      </c>
      <c r="D51" s="11">
        <v>0</v>
      </c>
      <c r="E51" s="11">
        <v>0</v>
      </c>
      <c r="F51" s="11">
        <v>0</v>
      </c>
      <c r="G51" s="11">
        <f>SUM(C51:F51)</f>
        <v>0</v>
      </c>
      <c r="H51" s="17">
        <f>ROUND(G51/2127,2)</f>
        <v>0</v>
      </c>
      <c r="I51" s="10"/>
      <c r="J51" s="10"/>
    </row>
    <row r="52" spans="1:10" x14ac:dyDescent="0.25">
      <c r="C52" s="9"/>
      <c r="D52" s="9"/>
      <c r="E52" s="9"/>
      <c r="F52" s="9"/>
      <c r="G52" s="9"/>
      <c r="H52" s="9"/>
      <c r="I52" s="10"/>
      <c r="J52" s="10"/>
    </row>
    <row r="53" spans="1:10" x14ac:dyDescent="0.25">
      <c r="C53" s="9"/>
      <c r="D53" s="9"/>
      <c r="E53" s="9"/>
      <c r="F53" s="9"/>
      <c r="G53" s="9"/>
      <c r="H53" s="9"/>
      <c r="I53" s="10"/>
      <c r="J53" s="10"/>
    </row>
    <row r="54" spans="1:10" x14ac:dyDescent="0.25">
      <c r="C54" s="9"/>
      <c r="D54" s="9"/>
      <c r="E54" s="9"/>
      <c r="F54" s="9"/>
      <c r="G54" s="9"/>
      <c r="H54" s="9"/>
      <c r="I54" s="10"/>
      <c r="J54" s="10"/>
    </row>
    <row r="55" spans="1:10" x14ac:dyDescent="0.25">
      <c r="C55" s="9"/>
      <c r="D55" s="9"/>
      <c r="E55" s="9"/>
      <c r="F55" s="9"/>
      <c r="G55" s="9"/>
      <c r="H55" s="9"/>
      <c r="I55" s="10"/>
      <c r="J55" s="10"/>
    </row>
    <row r="56" spans="1:10" x14ac:dyDescent="0.25">
      <c r="A56" s="21" t="s">
        <v>57</v>
      </c>
      <c r="B56" s="21"/>
      <c r="C56" s="15" t="s">
        <v>2</v>
      </c>
      <c r="D56" s="15">
        <v>2023</v>
      </c>
      <c r="E56" s="15" t="s">
        <v>59</v>
      </c>
      <c r="F56" s="14"/>
      <c r="G56" s="15" t="s">
        <v>60</v>
      </c>
      <c r="H56" s="15" t="s">
        <v>2</v>
      </c>
      <c r="I56" s="13" t="s">
        <v>61</v>
      </c>
      <c r="J56" s="13" t="s">
        <v>59</v>
      </c>
    </row>
    <row r="57" spans="1:10" x14ac:dyDescent="0.25">
      <c r="A57" s="20" t="s">
        <v>58</v>
      </c>
      <c r="B57" s="20"/>
      <c r="C57" s="16">
        <f>ROUND(0.7515, 4)</f>
        <v>0.75149999999999995</v>
      </c>
      <c r="D57" s="16">
        <f>ROUND(0.8087, 4)</f>
        <v>0.80869999999999997</v>
      </c>
      <c r="E57" s="16">
        <f>ROUND(0.777, 4)</f>
        <v>0.77700000000000002</v>
      </c>
      <c r="F57" s="9"/>
      <c r="G57" s="15" t="s">
        <v>62</v>
      </c>
      <c r="H57" s="22" t="s">
        <v>63</v>
      </c>
      <c r="I57" s="24" t="s">
        <v>64</v>
      </c>
      <c r="J57" s="24" t="s">
        <v>65</v>
      </c>
    </row>
    <row r="58" spans="1:10" x14ac:dyDescent="0.25">
      <c r="A58" s="20" t="s">
        <v>66</v>
      </c>
      <c r="B58" s="20"/>
      <c r="C58" s="16">
        <f>ROUND(0.7114, 4)</f>
        <v>0.71140000000000003</v>
      </c>
      <c r="D58" s="16">
        <f>ROUND(0.772, 4)</f>
        <v>0.77200000000000002</v>
      </c>
      <c r="E58" s="16">
        <f>ROUND(0.7608, 4)</f>
        <v>0.76080000000000003</v>
      </c>
      <c r="F58" s="9"/>
      <c r="G58" s="15" t="s">
        <v>67</v>
      </c>
      <c r="H58" s="23"/>
      <c r="I58" s="25"/>
      <c r="J58" s="25"/>
    </row>
    <row r="59" spans="1:10" x14ac:dyDescent="0.25">
      <c r="C59" s="9"/>
      <c r="D59" s="9"/>
      <c r="E59" s="9"/>
      <c r="F59" s="9"/>
      <c r="G59" s="9"/>
      <c r="H59" s="9"/>
      <c r="I59" s="10"/>
      <c r="J59" s="10"/>
    </row>
    <row r="60" spans="1:10" x14ac:dyDescent="0.25">
      <c r="C60" s="9"/>
      <c r="D60" s="9"/>
      <c r="E60" s="9"/>
      <c r="F60" s="9"/>
      <c r="G60" s="9"/>
      <c r="H60" s="9"/>
      <c r="I60" s="10"/>
      <c r="J60" s="10"/>
    </row>
    <row r="61" spans="1:10" x14ac:dyDescent="0.25">
      <c r="C61" s="9"/>
      <c r="D61" s="9"/>
      <c r="E61" s="9"/>
      <c r="F61" s="9"/>
      <c r="G61" s="9"/>
      <c r="H61" s="9"/>
      <c r="I61" s="10"/>
      <c r="J61" s="10"/>
    </row>
    <row r="62" spans="1:10" x14ac:dyDescent="0.25">
      <c r="A62" s="21" t="s">
        <v>68</v>
      </c>
      <c r="B62" s="21"/>
      <c r="C62" s="15" t="s">
        <v>2</v>
      </c>
      <c r="D62" s="15" t="s">
        <v>352</v>
      </c>
      <c r="E62" s="15" t="s">
        <v>70</v>
      </c>
      <c r="F62" s="15" t="s">
        <v>71</v>
      </c>
      <c r="G62" s="15" t="s">
        <v>72</v>
      </c>
      <c r="H62" s="14"/>
      <c r="I62" s="18"/>
      <c r="J62" s="18"/>
    </row>
    <row r="63" spans="1:10" x14ac:dyDescent="0.25">
      <c r="A63" s="20" t="s">
        <v>73</v>
      </c>
      <c r="B63" s="20"/>
      <c r="C63" s="17">
        <v>27.25</v>
      </c>
      <c r="D63" s="17">
        <v>89.33</v>
      </c>
      <c r="E63" s="17">
        <v>81.84</v>
      </c>
      <c r="F63" s="17">
        <v>48</v>
      </c>
      <c r="G63" s="17">
        <f>12/4*C63</f>
        <v>81.75</v>
      </c>
      <c r="H63" s="9"/>
      <c r="I63" s="10"/>
      <c r="J63" s="10"/>
    </row>
    <row r="64" spans="1:10" x14ac:dyDescent="0.25">
      <c r="A64" s="20" t="s">
        <v>74</v>
      </c>
      <c r="B64" s="20"/>
      <c r="C64" s="17">
        <v>21.12</v>
      </c>
      <c r="D64" s="17">
        <v>54.41</v>
      </c>
      <c r="E64" s="17">
        <v>55.63</v>
      </c>
      <c r="F64" s="17">
        <v>55.33</v>
      </c>
      <c r="G64" s="17">
        <f>12/4*C64</f>
        <v>63.36</v>
      </c>
      <c r="H64" s="9"/>
      <c r="I64" s="10"/>
      <c r="J64" s="10"/>
    </row>
    <row r="65" spans="1:10" x14ac:dyDescent="0.25">
      <c r="A65" s="20" t="s">
        <v>75</v>
      </c>
      <c r="B65" s="20"/>
      <c r="C65" s="17">
        <v>83.64</v>
      </c>
      <c r="D65" s="17">
        <v>313.01</v>
      </c>
      <c r="E65" s="17">
        <v>257.88</v>
      </c>
      <c r="F65" s="17">
        <v>242.78</v>
      </c>
      <c r="G65" s="17">
        <f>12/4*C65</f>
        <v>250.92000000000002</v>
      </c>
      <c r="H65" s="9"/>
      <c r="I65" s="10"/>
      <c r="J65" s="10"/>
    </row>
    <row r="66" spans="1:10" x14ac:dyDescent="0.25">
      <c r="A66" s="20" t="s">
        <v>76</v>
      </c>
      <c r="B66" s="20"/>
      <c r="C66" s="17">
        <v>31.88</v>
      </c>
      <c r="D66" s="17">
        <v>114.08</v>
      </c>
      <c r="E66" s="17">
        <v>103.14</v>
      </c>
      <c r="F66" s="17">
        <v>68.31</v>
      </c>
      <c r="G66" s="17">
        <f>12/4*C66</f>
        <v>95.64</v>
      </c>
      <c r="H66" s="9"/>
      <c r="I66" s="10"/>
      <c r="J66" s="10"/>
    </row>
    <row r="67" spans="1:10" x14ac:dyDescent="0.25">
      <c r="C67" s="9"/>
      <c r="D67" s="9"/>
      <c r="E67" s="9"/>
      <c r="F67" s="9"/>
      <c r="G67" s="9"/>
      <c r="H67" s="9"/>
      <c r="I67" s="10"/>
      <c r="J67" s="10"/>
    </row>
    <row r="68" spans="1:10" x14ac:dyDescent="0.25">
      <c r="C68" s="9"/>
      <c r="D68" s="9"/>
      <c r="E68" s="9"/>
      <c r="F68" s="9"/>
      <c r="G68" s="9"/>
      <c r="H68" s="9"/>
      <c r="I68" s="10"/>
      <c r="J68" s="10"/>
    </row>
    <row r="69" spans="1:10" x14ac:dyDescent="0.25">
      <c r="A69" s="19" t="s">
        <v>60</v>
      </c>
      <c r="B69" s="26"/>
    </row>
    <row r="70" spans="1:10" x14ac:dyDescent="0.25">
      <c r="A70" s="3" t="s">
        <v>77</v>
      </c>
      <c r="B70" s="1" t="s">
        <v>353</v>
      </c>
    </row>
    <row r="71" spans="1:10" x14ac:dyDescent="0.25">
      <c r="A71" s="3" t="s">
        <v>70</v>
      </c>
      <c r="B71" s="1" t="s">
        <v>79</v>
      </c>
    </row>
    <row r="72" spans="1:10" x14ac:dyDescent="0.25">
      <c r="A72" s="3" t="s">
        <v>71</v>
      </c>
      <c r="B72" s="1" t="s">
        <v>80</v>
      </c>
    </row>
    <row r="73" spans="1:10" x14ac:dyDescent="0.25">
      <c r="A73" s="3" t="s">
        <v>72</v>
      </c>
      <c r="B73" s="1" t="s">
        <v>81</v>
      </c>
    </row>
  </sheetData>
  <mergeCells count="19">
    <mergeCell ref="A64:B64"/>
    <mergeCell ref="A65:B65"/>
    <mergeCell ref="A66:B66"/>
    <mergeCell ref="A69:B69"/>
    <mergeCell ref="I57:I58"/>
    <mergeCell ref="J57:J58"/>
    <mergeCell ref="A58:B58"/>
    <mergeCell ref="A62:B62"/>
    <mergeCell ref="A63:B63"/>
    <mergeCell ref="A50:B50"/>
    <mergeCell ref="A51:B51"/>
    <mergeCell ref="A56:B56"/>
    <mergeCell ref="A57:B57"/>
    <mergeCell ref="H57:H58"/>
    <mergeCell ref="C7:G7"/>
    <mergeCell ref="A42:B42"/>
    <mergeCell ref="A43:B43"/>
    <mergeCell ref="A48:B48"/>
    <mergeCell ref="A49:B4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J72"/>
  <sheetViews>
    <sheetView workbookViewId="0">
      <selection activeCell="C9" sqref="C9:J66"/>
    </sheetView>
  </sheetViews>
  <sheetFormatPr defaultRowHeight="15" x14ac:dyDescent="0.25"/>
  <cols>
    <col min="1" max="1" width="38.85546875" bestFit="1" customWidth="1"/>
    <col min="2" max="2" width="79" bestFit="1" customWidth="1"/>
    <col min="3" max="3" width="14" bestFit="1" customWidth="1"/>
    <col min="4" max="4" width="23.42578125" bestFit="1" customWidth="1"/>
    <col min="5" max="5" width="16.42578125" bestFit="1" customWidth="1"/>
    <col min="6" max="6" width="10.5703125" bestFit="1" customWidth="1"/>
    <col min="7" max="7" width="68.28515625" bestFit="1" customWidth="1"/>
    <col min="8" max="9" width="20" bestFit="1" customWidth="1"/>
    <col min="10" max="10" width="30.5703125" bestFit="1" customWidth="1"/>
  </cols>
  <sheetData>
    <row r="2" spans="1:10" ht="18.75" x14ac:dyDescent="0.3">
      <c r="A2" s="3" t="s">
        <v>0</v>
      </c>
      <c r="B2" s="4" t="s">
        <v>106</v>
      </c>
    </row>
    <row r="3" spans="1:10" x14ac:dyDescent="0.25">
      <c r="A3" s="3" t="s">
        <v>2</v>
      </c>
      <c r="B3" s="1" t="s">
        <v>3</v>
      </c>
    </row>
    <row r="4" spans="1:10" x14ac:dyDescent="0.25">
      <c r="A4" s="3" t="s">
        <v>4</v>
      </c>
      <c r="B4" s="1">
        <v>3926</v>
      </c>
    </row>
    <row r="7" spans="1:10" x14ac:dyDescent="0.25">
      <c r="C7" s="19" t="s">
        <v>5</v>
      </c>
      <c r="D7" s="20"/>
      <c r="E7" s="20"/>
      <c r="F7" s="20"/>
      <c r="G7" s="20"/>
    </row>
    <row r="8" spans="1:10" x14ac:dyDescent="0.25">
      <c r="A8" s="3" t="s">
        <v>6</v>
      </c>
      <c r="B8" s="3" t="s">
        <v>7</v>
      </c>
      <c r="C8" s="3" t="s">
        <v>8</v>
      </c>
      <c r="D8" s="3" t="s">
        <v>9</v>
      </c>
      <c r="E8" s="3" t="s">
        <v>10</v>
      </c>
      <c r="F8" s="3" t="s">
        <v>11</v>
      </c>
      <c r="G8" s="3" t="s">
        <v>12</v>
      </c>
      <c r="H8" s="3" t="s">
        <v>13</v>
      </c>
      <c r="I8" s="3" t="s">
        <v>14</v>
      </c>
      <c r="J8" s="3" t="s">
        <v>15</v>
      </c>
    </row>
    <row r="9" spans="1:10" x14ac:dyDescent="0.25">
      <c r="A9" s="1" t="s">
        <v>16</v>
      </c>
      <c r="B9" s="1" t="s">
        <v>17</v>
      </c>
      <c r="C9" s="11"/>
      <c r="D9" s="11"/>
      <c r="E9" s="11">
        <v>55</v>
      </c>
      <c r="F9" s="11"/>
      <c r="G9" s="11">
        <f t="shared" ref="G9:G40" si="0">SUM(C9:F9)</f>
        <v>55</v>
      </c>
      <c r="H9" s="17">
        <f t="shared" ref="H9:H40" si="1">ROUND(G9/3926,2)</f>
        <v>0.01</v>
      </c>
      <c r="I9" s="16">
        <f t="shared" ref="I9:I40" si="2">ROUND(G9/$G$41,3)</f>
        <v>0</v>
      </c>
      <c r="J9" s="16">
        <f>ROUND(G9/29-1,2)</f>
        <v>0.9</v>
      </c>
    </row>
    <row r="10" spans="1:10" x14ac:dyDescent="0.25">
      <c r="A10" s="1" t="s">
        <v>16</v>
      </c>
      <c r="B10" s="1" t="s">
        <v>19</v>
      </c>
      <c r="C10" s="11">
        <v>43200</v>
      </c>
      <c r="D10" s="11"/>
      <c r="E10" s="11">
        <v>9890</v>
      </c>
      <c r="F10" s="11"/>
      <c r="G10" s="11">
        <f t="shared" si="0"/>
        <v>53090</v>
      </c>
      <c r="H10" s="17">
        <f t="shared" si="1"/>
        <v>13.52</v>
      </c>
      <c r="I10" s="16">
        <f t="shared" si="2"/>
        <v>9.6000000000000002E-2</v>
      </c>
      <c r="J10" s="16">
        <f>ROUND(G10/50265-1,2)</f>
        <v>0.06</v>
      </c>
    </row>
    <row r="11" spans="1:10" x14ac:dyDescent="0.25">
      <c r="A11" s="1" t="s">
        <v>16</v>
      </c>
      <c r="B11" s="1" t="s">
        <v>20</v>
      </c>
      <c r="C11" s="11">
        <v>54730</v>
      </c>
      <c r="D11" s="11"/>
      <c r="E11" s="11"/>
      <c r="F11" s="11"/>
      <c r="G11" s="11">
        <f t="shared" si="0"/>
        <v>54730</v>
      </c>
      <c r="H11" s="17">
        <f t="shared" si="1"/>
        <v>13.94</v>
      </c>
      <c r="I11" s="16">
        <f t="shared" si="2"/>
        <v>9.9000000000000005E-2</v>
      </c>
      <c r="J11" s="16">
        <f>ROUND(G11/67360-1,2)</f>
        <v>-0.19</v>
      </c>
    </row>
    <row r="12" spans="1:10" x14ac:dyDescent="0.25">
      <c r="A12" s="1" t="s">
        <v>16</v>
      </c>
      <c r="B12" s="1" t="s">
        <v>94</v>
      </c>
      <c r="C12" s="11"/>
      <c r="D12" s="11"/>
      <c r="E12" s="11">
        <v>173</v>
      </c>
      <c r="F12" s="11"/>
      <c r="G12" s="11">
        <f t="shared" si="0"/>
        <v>173</v>
      </c>
      <c r="H12" s="17">
        <f t="shared" si="1"/>
        <v>0.04</v>
      </c>
      <c r="I12" s="16">
        <f t="shared" si="2"/>
        <v>0</v>
      </c>
      <c r="J12" s="16">
        <f>ROUND(G12/116-1,2)</f>
        <v>0.49</v>
      </c>
    </row>
    <row r="13" spans="1:10" x14ac:dyDescent="0.25">
      <c r="A13" s="1" t="s">
        <v>16</v>
      </c>
      <c r="B13" s="1" t="s">
        <v>21</v>
      </c>
      <c r="C13" s="11"/>
      <c r="D13" s="11"/>
      <c r="E13" s="11">
        <v>143</v>
      </c>
      <c r="F13" s="11"/>
      <c r="G13" s="11">
        <f t="shared" si="0"/>
        <v>143</v>
      </c>
      <c r="H13" s="17">
        <f t="shared" si="1"/>
        <v>0.04</v>
      </c>
      <c r="I13" s="16">
        <f t="shared" si="2"/>
        <v>0</v>
      </c>
      <c r="J13" s="16">
        <f>ROUND(G13/147-1,2)</f>
        <v>-0.03</v>
      </c>
    </row>
    <row r="14" spans="1:10" x14ac:dyDescent="0.25">
      <c r="A14" s="1" t="s">
        <v>16</v>
      </c>
      <c r="B14" s="1" t="s">
        <v>22</v>
      </c>
      <c r="C14" s="11"/>
      <c r="D14" s="11"/>
      <c r="E14" s="11">
        <v>800</v>
      </c>
      <c r="F14" s="11"/>
      <c r="G14" s="11">
        <f t="shared" si="0"/>
        <v>800</v>
      </c>
      <c r="H14" s="17">
        <f t="shared" si="1"/>
        <v>0.2</v>
      </c>
      <c r="I14" s="16">
        <f t="shared" si="2"/>
        <v>1E-3</v>
      </c>
      <c r="J14" s="16">
        <f>ROUND(G14/2600-1,2)</f>
        <v>-0.69</v>
      </c>
    </row>
    <row r="15" spans="1:10" x14ac:dyDescent="0.25">
      <c r="A15" s="1" t="s">
        <v>16</v>
      </c>
      <c r="B15" s="1" t="s">
        <v>24</v>
      </c>
      <c r="C15" s="11">
        <v>76260</v>
      </c>
      <c r="D15" s="11"/>
      <c r="E15" s="11">
        <v>13055</v>
      </c>
      <c r="F15" s="11"/>
      <c r="G15" s="11">
        <f t="shared" si="0"/>
        <v>89315</v>
      </c>
      <c r="H15" s="17">
        <f t="shared" si="1"/>
        <v>22.75</v>
      </c>
      <c r="I15" s="16">
        <f t="shared" si="2"/>
        <v>0.16200000000000001</v>
      </c>
      <c r="J15" s="16">
        <f>ROUND(G15/91270-1,2)</f>
        <v>-0.02</v>
      </c>
    </row>
    <row r="16" spans="1:10" x14ac:dyDescent="0.25">
      <c r="A16" s="1" t="s">
        <v>16</v>
      </c>
      <c r="B16" s="1" t="s">
        <v>25</v>
      </c>
      <c r="C16" s="11"/>
      <c r="D16" s="11"/>
      <c r="E16" s="11">
        <v>5230</v>
      </c>
      <c r="F16" s="11"/>
      <c r="G16" s="11">
        <f t="shared" si="0"/>
        <v>5230</v>
      </c>
      <c r="H16" s="17">
        <f t="shared" si="1"/>
        <v>1.33</v>
      </c>
      <c r="I16" s="16">
        <f t="shared" si="2"/>
        <v>8.9999999999999993E-3</v>
      </c>
      <c r="J16" s="16">
        <f>ROUND(G16/2640-1,2)</f>
        <v>0.98</v>
      </c>
    </row>
    <row r="17" spans="1:10" x14ac:dyDescent="0.25">
      <c r="A17" s="1" t="s">
        <v>16</v>
      </c>
      <c r="B17" s="1" t="s">
        <v>26</v>
      </c>
      <c r="C17" s="11">
        <v>122760</v>
      </c>
      <c r="D17" s="11"/>
      <c r="E17" s="11"/>
      <c r="F17" s="11"/>
      <c r="G17" s="11">
        <f t="shared" si="0"/>
        <v>122760</v>
      </c>
      <c r="H17" s="17">
        <f t="shared" si="1"/>
        <v>31.27</v>
      </c>
      <c r="I17" s="16">
        <f t="shared" si="2"/>
        <v>0.222</v>
      </c>
      <c r="J17" s="16">
        <f>ROUND(G17/118720-1,2)</f>
        <v>0.03</v>
      </c>
    </row>
    <row r="18" spans="1:10" x14ac:dyDescent="0.25">
      <c r="A18" s="1" t="s">
        <v>16</v>
      </c>
      <c r="B18" s="1" t="s">
        <v>27</v>
      </c>
      <c r="C18" s="11"/>
      <c r="D18" s="11"/>
      <c r="E18" s="11">
        <v>128</v>
      </c>
      <c r="F18" s="11"/>
      <c r="G18" s="11">
        <f t="shared" si="0"/>
        <v>128</v>
      </c>
      <c r="H18" s="17">
        <f t="shared" si="1"/>
        <v>0.03</v>
      </c>
      <c r="I18" s="16">
        <f t="shared" si="2"/>
        <v>0</v>
      </c>
      <c r="J18" s="16">
        <f>ROUND(G18/159-1,2)</f>
        <v>-0.19</v>
      </c>
    </row>
    <row r="19" spans="1:10" x14ac:dyDescent="0.25">
      <c r="A19" s="1" t="s">
        <v>16</v>
      </c>
      <c r="B19" s="1" t="s">
        <v>28</v>
      </c>
      <c r="C19" s="11"/>
      <c r="D19" s="11"/>
      <c r="E19" s="11">
        <v>93</v>
      </c>
      <c r="F19" s="11"/>
      <c r="G19" s="11">
        <f t="shared" si="0"/>
        <v>93</v>
      </c>
      <c r="H19" s="17">
        <f t="shared" si="1"/>
        <v>0.02</v>
      </c>
      <c r="I19" s="16">
        <f t="shared" si="2"/>
        <v>0</v>
      </c>
      <c r="J19" s="16">
        <f>ROUND(G19/110-1,2)</f>
        <v>-0.15</v>
      </c>
    </row>
    <row r="20" spans="1:10" x14ac:dyDescent="0.25">
      <c r="A20" s="1" t="s">
        <v>16</v>
      </c>
      <c r="B20" s="1" t="s">
        <v>29</v>
      </c>
      <c r="C20" s="11"/>
      <c r="D20" s="11"/>
      <c r="E20" s="11">
        <v>300</v>
      </c>
      <c r="F20" s="11"/>
      <c r="G20" s="11">
        <f t="shared" si="0"/>
        <v>300</v>
      </c>
      <c r="H20" s="17">
        <f t="shared" si="1"/>
        <v>0.08</v>
      </c>
      <c r="I20" s="16">
        <f t="shared" si="2"/>
        <v>1E-3</v>
      </c>
      <c r="J20" s="16">
        <f>ROUND(G20/250-1,2)</f>
        <v>0.2</v>
      </c>
    </row>
    <row r="21" spans="1:10" x14ac:dyDescent="0.25">
      <c r="A21" s="1" t="s">
        <v>16</v>
      </c>
      <c r="B21" s="1" t="s">
        <v>30</v>
      </c>
      <c r="C21" s="11"/>
      <c r="D21" s="11"/>
      <c r="E21" s="11">
        <v>250</v>
      </c>
      <c r="F21" s="11"/>
      <c r="G21" s="11">
        <f t="shared" si="0"/>
        <v>250</v>
      </c>
      <c r="H21" s="17">
        <f t="shared" si="1"/>
        <v>0.06</v>
      </c>
      <c r="I21" s="16">
        <f t="shared" si="2"/>
        <v>0</v>
      </c>
      <c r="J21" s="16"/>
    </row>
    <row r="22" spans="1:10" x14ac:dyDescent="0.25">
      <c r="A22" s="1" t="s">
        <v>16</v>
      </c>
      <c r="B22" s="1" t="s">
        <v>31</v>
      </c>
      <c r="C22" s="11"/>
      <c r="D22" s="11"/>
      <c r="E22" s="11">
        <v>705</v>
      </c>
      <c r="F22" s="11"/>
      <c r="G22" s="11">
        <f t="shared" si="0"/>
        <v>705</v>
      </c>
      <c r="H22" s="17">
        <f t="shared" si="1"/>
        <v>0.18</v>
      </c>
      <c r="I22" s="16">
        <f t="shared" si="2"/>
        <v>1E-3</v>
      </c>
      <c r="J22" s="16">
        <f>ROUND(G22/990-1,2)</f>
        <v>-0.28999999999999998</v>
      </c>
    </row>
    <row r="23" spans="1:10" x14ac:dyDescent="0.25">
      <c r="A23" s="1" t="s">
        <v>16</v>
      </c>
      <c r="B23" s="1" t="s">
        <v>32</v>
      </c>
      <c r="C23" s="11"/>
      <c r="D23" s="11">
        <v>146</v>
      </c>
      <c r="E23" s="11"/>
      <c r="F23" s="11"/>
      <c r="G23" s="11">
        <f t="shared" si="0"/>
        <v>146</v>
      </c>
      <c r="H23" s="17">
        <f t="shared" si="1"/>
        <v>0.04</v>
      </c>
      <c r="I23" s="16">
        <f t="shared" si="2"/>
        <v>0</v>
      </c>
      <c r="J23" s="16">
        <f>ROUND(G23/85-1,2)</f>
        <v>0.72</v>
      </c>
    </row>
    <row r="24" spans="1:10" x14ac:dyDescent="0.25">
      <c r="A24" s="1" t="s">
        <v>16</v>
      </c>
      <c r="B24" s="1" t="s">
        <v>33</v>
      </c>
      <c r="C24" s="11"/>
      <c r="D24" s="11"/>
      <c r="E24" s="11">
        <v>310</v>
      </c>
      <c r="F24" s="11"/>
      <c r="G24" s="11">
        <f t="shared" si="0"/>
        <v>310</v>
      </c>
      <c r="H24" s="17">
        <f t="shared" si="1"/>
        <v>0.08</v>
      </c>
      <c r="I24" s="16">
        <f t="shared" si="2"/>
        <v>1E-3</v>
      </c>
      <c r="J24" s="16">
        <f>ROUND(G24/100-1,2)</f>
        <v>2.1</v>
      </c>
    </row>
    <row r="25" spans="1:10" x14ac:dyDescent="0.25">
      <c r="A25" s="1" t="s">
        <v>16</v>
      </c>
      <c r="B25" s="1" t="s">
        <v>34</v>
      </c>
      <c r="C25" s="11"/>
      <c r="D25" s="11"/>
      <c r="E25" s="11">
        <v>1080</v>
      </c>
      <c r="F25" s="11"/>
      <c r="G25" s="11">
        <f t="shared" si="0"/>
        <v>1080</v>
      </c>
      <c r="H25" s="17">
        <f t="shared" si="1"/>
        <v>0.28000000000000003</v>
      </c>
      <c r="I25" s="16">
        <f t="shared" si="2"/>
        <v>2E-3</v>
      </c>
      <c r="J25" s="16"/>
    </row>
    <row r="26" spans="1:10" x14ac:dyDescent="0.25">
      <c r="A26" s="1" t="s">
        <v>16</v>
      </c>
      <c r="B26" s="1" t="s">
        <v>35</v>
      </c>
      <c r="C26" s="11"/>
      <c r="D26" s="11"/>
      <c r="E26" s="11">
        <v>34760</v>
      </c>
      <c r="F26" s="11"/>
      <c r="G26" s="11">
        <f t="shared" si="0"/>
        <v>34760</v>
      </c>
      <c r="H26" s="17">
        <f t="shared" si="1"/>
        <v>8.85</v>
      </c>
      <c r="I26" s="16">
        <f t="shared" si="2"/>
        <v>6.3E-2</v>
      </c>
      <c r="J26" s="16">
        <f>ROUND(G26/24680-1,2)</f>
        <v>0.41</v>
      </c>
    </row>
    <row r="27" spans="1:10" x14ac:dyDescent="0.25">
      <c r="A27" s="1" t="s">
        <v>16</v>
      </c>
      <c r="B27" s="1" t="s">
        <v>36</v>
      </c>
      <c r="C27" s="11"/>
      <c r="D27" s="11"/>
      <c r="E27" s="11">
        <v>645</v>
      </c>
      <c r="F27" s="11"/>
      <c r="G27" s="11">
        <f t="shared" si="0"/>
        <v>645</v>
      </c>
      <c r="H27" s="17">
        <f t="shared" si="1"/>
        <v>0.16</v>
      </c>
      <c r="I27" s="16">
        <f t="shared" si="2"/>
        <v>1E-3</v>
      </c>
      <c r="J27" s="16">
        <f>ROUND(G27/2320-1,2)</f>
        <v>-0.72</v>
      </c>
    </row>
    <row r="28" spans="1:10" x14ac:dyDescent="0.25">
      <c r="A28" s="1" t="s">
        <v>16</v>
      </c>
      <c r="B28" s="1" t="s">
        <v>37</v>
      </c>
      <c r="C28" s="11"/>
      <c r="D28" s="11"/>
      <c r="E28" s="11">
        <v>13550</v>
      </c>
      <c r="F28" s="11"/>
      <c r="G28" s="11">
        <f t="shared" si="0"/>
        <v>13550</v>
      </c>
      <c r="H28" s="17">
        <f t="shared" si="1"/>
        <v>3.45</v>
      </c>
      <c r="I28" s="16">
        <f t="shared" si="2"/>
        <v>2.5000000000000001E-2</v>
      </c>
      <c r="J28" s="16">
        <f>ROUND(G28/8300-1,2)</f>
        <v>0.63</v>
      </c>
    </row>
    <row r="29" spans="1:10" x14ac:dyDescent="0.25">
      <c r="A29" s="1" t="s">
        <v>16</v>
      </c>
      <c r="B29" s="1" t="s">
        <v>38</v>
      </c>
      <c r="C29" s="11"/>
      <c r="D29" s="11"/>
      <c r="E29" s="11">
        <v>55440</v>
      </c>
      <c r="F29" s="11"/>
      <c r="G29" s="11">
        <f t="shared" si="0"/>
        <v>55440</v>
      </c>
      <c r="H29" s="17">
        <f t="shared" si="1"/>
        <v>14.12</v>
      </c>
      <c r="I29" s="16">
        <f t="shared" si="2"/>
        <v>0.1</v>
      </c>
      <c r="J29" s="16">
        <f>ROUND(G29/39400-1,2)</f>
        <v>0.41</v>
      </c>
    </row>
    <row r="30" spans="1:10" x14ac:dyDescent="0.25">
      <c r="A30" s="1" t="s">
        <v>16</v>
      </c>
      <c r="B30" s="1" t="s">
        <v>23</v>
      </c>
      <c r="C30" s="11"/>
      <c r="D30" s="11"/>
      <c r="E30" s="11"/>
      <c r="F30" s="11"/>
      <c r="G30" s="11">
        <f t="shared" si="0"/>
        <v>0</v>
      </c>
      <c r="H30" s="17">
        <f t="shared" si="1"/>
        <v>0</v>
      </c>
      <c r="I30" s="16">
        <f t="shared" si="2"/>
        <v>0</v>
      </c>
      <c r="J30" s="16">
        <f>ROUND(G30/47880-1,2)</f>
        <v>-1</v>
      </c>
    </row>
    <row r="31" spans="1:10" x14ac:dyDescent="0.25">
      <c r="A31" s="1" t="s">
        <v>16</v>
      </c>
      <c r="B31" s="1" t="s">
        <v>40</v>
      </c>
      <c r="C31" s="11"/>
      <c r="D31" s="11"/>
      <c r="E31" s="11"/>
      <c r="F31" s="11"/>
      <c r="G31" s="11">
        <f t="shared" si="0"/>
        <v>0</v>
      </c>
      <c r="H31" s="17">
        <f t="shared" si="1"/>
        <v>0</v>
      </c>
      <c r="I31" s="16">
        <f t="shared" si="2"/>
        <v>0</v>
      </c>
      <c r="J31" s="16">
        <f>ROUND(G31/960-1,2)</f>
        <v>-1</v>
      </c>
    </row>
    <row r="32" spans="1:10" x14ac:dyDescent="0.25">
      <c r="A32" s="1" t="s">
        <v>16</v>
      </c>
      <c r="B32" s="1" t="s">
        <v>41</v>
      </c>
      <c r="C32" s="11"/>
      <c r="D32" s="11"/>
      <c r="E32" s="11"/>
      <c r="F32" s="11"/>
      <c r="G32" s="11">
        <f t="shared" si="0"/>
        <v>0</v>
      </c>
      <c r="H32" s="17">
        <f t="shared" si="1"/>
        <v>0</v>
      </c>
      <c r="I32" s="16">
        <f t="shared" si="2"/>
        <v>0</v>
      </c>
      <c r="J32" s="16">
        <f>ROUND(G32/892-1,2)</f>
        <v>-1</v>
      </c>
    </row>
    <row r="33" spans="1:10" x14ac:dyDescent="0.25">
      <c r="A33" s="1" t="s">
        <v>16</v>
      </c>
      <c r="B33" s="1" t="s">
        <v>42</v>
      </c>
      <c r="C33" s="11"/>
      <c r="D33" s="11"/>
      <c r="E33" s="11"/>
      <c r="F33" s="11"/>
      <c r="G33" s="11">
        <f t="shared" si="0"/>
        <v>0</v>
      </c>
      <c r="H33" s="17">
        <f t="shared" si="1"/>
        <v>0</v>
      </c>
      <c r="I33" s="16">
        <f t="shared" si="2"/>
        <v>0</v>
      </c>
      <c r="J33" s="16">
        <f>ROUND(G33/4974-1,2)</f>
        <v>-1</v>
      </c>
    </row>
    <row r="34" spans="1:10" x14ac:dyDescent="0.25">
      <c r="A34" s="1" t="s">
        <v>16</v>
      </c>
      <c r="B34" s="1" t="s">
        <v>43</v>
      </c>
      <c r="C34" s="11"/>
      <c r="D34" s="11"/>
      <c r="E34" s="11"/>
      <c r="F34" s="11"/>
      <c r="G34" s="11">
        <f t="shared" si="0"/>
        <v>0</v>
      </c>
      <c r="H34" s="17">
        <f t="shared" si="1"/>
        <v>0</v>
      </c>
      <c r="I34" s="16">
        <f t="shared" si="2"/>
        <v>0</v>
      </c>
      <c r="J34" s="16">
        <f>ROUND(G34/1659-1,2)</f>
        <v>-1</v>
      </c>
    </row>
    <row r="35" spans="1:10" x14ac:dyDescent="0.25">
      <c r="A35" s="1" t="s">
        <v>16</v>
      </c>
      <c r="B35" s="1" t="s">
        <v>39</v>
      </c>
      <c r="C35" s="11"/>
      <c r="D35" s="11"/>
      <c r="E35" s="11"/>
      <c r="F35" s="11"/>
      <c r="G35" s="11">
        <f t="shared" si="0"/>
        <v>0</v>
      </c>
      <c r="H35" s="17">
        <f t="shared" si="1"/>
        <v>0</v>
      </c>
      <c r="I35" s="16">
        <f t="shared" si="2"/>
        <v>0</v>
      </c>
      <c r="J35" s="16"/>
    </row>
    <row r="36" spans="1:10" x14ac:dyDescent="0.25">
      <c r="A36" s="1" t="s">
        <v>44</v>
      </c>
      <c r="B36" s="1" t="s">
        <v>45</v>
      </c>
      <c r="C36" s="11">
        <v>75940</v>
      </c>
      <c r="D36" s="11"/>
      <c r="E36" s="11"/>
      <c r="F36" s="11">
        <v>260</v>
      </c>
      <c r="G36" s="11">
        <f t="shared" si="0"/>
        <v>76200</v>
      </c>
      <c r="H36" s="17">
        <f t="shared" si="1"/>
        <v>19.41</v>
      </c>
      <c r="I36" s="16">
        <f t="shared" si="2"/>
        <v>0.13800000000000001</v>
      </c>
      <c r="J36" s="16">
        <f>ROUND(G36/73350-1,2)</f>
        <v>0.04</v>
      </c>
    </row>
    <row r="37" spans="1:10" x14ac:dyDescent="0.25">
      <c r="A37" s="1" t="s">
        <v>44</v>
      </c>
      <c r="B37" s="1" t="s">
        <v>47</v>
      </c>
      <c r="C37" s="11"/>
      <c r="D37" s="11"/>
      <c r="E37" s="11"/>
      <c r="F37" s="11">
        <v>22820</v>
      </c>
      <c r="G37" s="11">
        <f t="shared" si="0"/>
        <v>22820</v>
      </c>
      <c r="H37" s="17">
        <f t="shared" si="1"/>
        <v>5.81</v>
      </c>
      <c r="I37" s="16">
        <f t="shared" si="2"/>
        <v>4.1000000000000002E-2</v>
      </c>
      <c r="J37" s="16">
        <f>ROUND(G37/11260-1,2)</f>
        <v>1.03</v>
      </c>
    </row>
    <row r="38" spans="1:10" x14ac:dyDescent="0.25">
      <c r="A38" s="1" t="s">
        <v>44</v>
      </c>
      <c r="B38" s="1" t="s">
        <v>46</v>
      </c>
      <c r="C38" s="11"/>
      <c r="D38" s="11"/>
      <c r="E38" s="11">
        <v>19255</v>
      </c>
      <c r="F38" s="11"/>
      <c r="G38" s="11">
        <f t="shared" si="0"/>
        <v>19255</v>
      </c>
      <c r="H38" s="17">
        <f t="shared" si="1"/>
        <v>4.9000000000000004</v>
      </c>
      <c r="I38" s="16">
        <f t="shared" si="2"/>
        <v>3.5000000000000003E-2</v>
      </c>
      <c r="J38" s="16">
        <f>ROUND(G38/12600-1,2)</f>
        <v>0.53</v>
      </c>
    </row>
    <row r="39" spans="1:10" x14ac:dyDescent="0.25">
      <c r="A39" s="1" t="s">
        <v>48</v>
      </c>
      <c r="B39" s="1" t="s">
        <v>51</v>
      </c>
      <c r="C39" s="11"/>
      <c r="D39" s="11"/>
      <c r="E39" s="11"/>
      <c r="F39" s="11"/>
      <c r="G39" s="11">
        <f t="shared" si="0"/>
        <v>0</v>
      </c>
      <c r="H39" s="17">
        <f t="shared" si="1"/>
        <v>0</v>
      </c>
      <c r="I39" s="16">
        <f t="shared" si="2"/>
        <v>0</v>
      </c>
      <c r="J39" s="16"/>
    </row>
    <row r="40" spans="1:10" x14ac:dyDescent="0.25">
      <c r="A40" s="1" t="s">
        <v>48</v>
      </c>
      <c r="B40" s="1" t="s">
        <v>86</v>
      </c>
      <c r="C40" s="11"/>
      <c r="D40" s="11"/>
      <c r="E40" s="11"/>
      <c r="F40" s="11"/>
      <c r="G40" s="11">
        <f t="shared" si="0"/>
        <v>0</v>
      </c>
      <c r="H40" s="17">
        <f t="shared" si="1"/>
        <v>0</v>
      </c>
      <c r="I40" s="16">
        <f t="shared" si="2"/>
        <v>0</v>
      </c>
      <c r="J40" s="16"/>
    </row>
    <row r="41" spans="1:10" x14ac:dyDescent="0.25">
      <c r="A41" s="21" t="s">
        <v>12</v>
      </c>
      <c r="B41" s="21"/>
      <c r="C41" s="12">
        <f t="shared" ref="C41:H41" si="3">SUM(C8:C40)</f>
        <v>372890</v>
      </c>
      <c r="D41" s="12">
        <f t="shared" si="3"/>
        <v>146</v>
      </c>
      <c r="E41" s="12">
        <f t="shared" si="3"/>
        <v>155862</v>
      </c>
      <c r="F41" s="12">
        <f t="shared" si="3"/>
        <v>23080</v>
      </c>
      <c r="G41" s="12">
        <f t="shared" si="3"/>
        <v>551978</v>
      </c>
      <c r="H41" s="15">
        <f t="shared" si="3"/>
        <v>140.57000000000002</v>
      </c>
      <c r="I41" s="18"/>
      <c r="J41" s="18"/>
    </row>
    <row r="42" spans="1:10" x14ac:dyDescent="0.25">
      <c r="A42" s="21" t="s">
        <v>14</v>
      </c>
      <c r="B42" s="21"/>
      <c r="C42" s="13">
        <f>ROUND(C41/G41,2)</f>
        <v>0.68</v>
      </c>
      <c r="D42" s="13">
        <f>ROUND(D41/G41,2)</f>
        <v>0</v>
      </c>
      <c r="E42" s="13">
        <f>ROUND(E41/G41,2)</f>
        <v>0.28000000000000003</v>
      </c>
      <c r="F42" s="13">
        <f>ROUND(F41/G41,2)</f>
        <v>0.04</v>
      </c>
      <c r="G42" s="14"/>
      <c r="H42" s="14"/>
      <c r="I42" s="18"/>
      <c r="J42" s="18"/>
    </row>
    <row r="43" spans="1:10" x14ac:dyDescent="0.25">
      <c r="A43" s="2" t="s">
        <v>52</v>
      </c>
      <c r="B43" s="2"/>
      <c r="C43" s="14"/>
      <c r="D43" s="14"/>
      <c r="E43" s="14"/>
      <c r="F43" s="14"/>
      <c r="G43" s="14"/>
      <c r="H43" s="14"/>
      <c r="I43" s="18"/>
      <c r="J43" s="18"/>
    </row>
    <row r="44" spans="1:10" x14ac:dyDescent="0.25">
      <c r="C44" s="9"/>
      <c r="D44" s="9"/>
      <c r="E44" s="9"/>
      <c r="F44" s="9"/>
      <c r="G44" s="9"/>
      <c r="H44" s="9"/>
      <c r="I44" s="10"/>
      <c r="J44" s="10"/>
    </row>
    <row r="45" spans="1:10" x14ac:dyDescent="0.25">
      <c r="C45" s="9"/>
      <c r="D45" s="9"/>
      <c r="E45" s="9"/>
      <c r="F45" s="9"/>
      <c r="G45" s="9"/>
      <c r="H45" s="9"/>
      <c r="I45" s="10"/>
      <c r="J45" s="10"/>
    </row>
    <row r="46" spans="1:10" x14ac:dyDescent="0.25">
      <c r="C46" s="9"/>
      <c r="D46" s="9"/>
      <c r="E46" s="9"/>
      <c r="F46" s="9"/>
      <c r="G46" s="9"/>
      <c r="H46" s="9"/>
      <c r="I46" s="10"/>
      <c r="J46" s="10"/>
    </row>
    <row r="47" spans="1:10" x14ac:dyDescent="0.25">
      <c r="A47" s="21" t="s">
        <v>53</v>
      </c>
      <c r="B47" s="21"/>
      <c r="C47" s="12" t="s">
        <v>8</v>
      </c>
      <c r="D47" s="12" t="s">
        <v>9</v>
      </c>
      <c r="E47" s="12" t="s">
        <v>10</v>
      </c>
      <c r="F47" s="12" t="s">
        <v>11</v>
      </c>
      <c r="G47" s="12" t="s">
        <v>12</v>
      </c>
      <c r="H47" s="15" t="s">
        <v>13</v>
      </c>
      <c r="I47" s="18"/>
      <c r="J47" s="18"/>
    </row>
    <row r="48" spans="1:10" x14ac:dyDescent="0.25">
      <c r="A48" s="20" t="s">
        <v>54</v>
      </c>
      <c r="B48" s="20"/>
      <c r="C48" s="11">
        <v>296950</v>
      </c>
      <c r="D48" s="11">
        <v>146</v>
      </c>
      <c r="E48" s="11">
        <v>136607</v>
      </c>
      <c r="F48" s="11">
        <v>0</v>
      </c>
      <c r="G48" s="11">
        <f>SUM(C48:F48)</f>
        <v>433703</v>
      </c>
      <c r="H48" s="17">
        <f>ROUND(G48/3926,2)</f>
        <v>110.47</v>
      </c>
      <c r="I48" s="10"/>
      <c r="J48" s="10"/>
    </row>
    <row r="49" spans="1:10" x14ac:dyDescent="0.25">
      <c r="A49" s="20" t="s">
        <v>55</v>
      </c>
      <c r="B49" s="20"/>
      <c r="C49" s="11">
        <v>75940</v>
      </c>
      <c r="D49" s="11">
        <v>0</v>
      </c>
      <c r="E49" s="11">
        <v>19255</v>
      </c>
      <c r="F49" s="11">
        <v>23080</v>
      </c>
      <c r="G49" s="11">
        <f>SUM(C49:F49)</f>
        <v>118275</v>
      </c>
      <c r="H49" s="17">
        <f>ROUND(G49/3926,2)</f>
        <v>30.13</v>
      </c>
      <c r="I49" s="10"/>
      <c r="J49" s="10"/>
    </row>
    <row r="50" spans="1:10" x14ac:dyDescent="0.25">
      <c r="A50" s="20" t="s">
        <v>56</v>
      </c>
      <c r="B50" s="20"/>
      <c r="C50" s="11">
        <v>0</v>
      </c>
      <c r="D50" s="11">
        <v>0</v>
      </c>
      <c r="E50" s="11">
        <v>0</v>
      </c>
      <c r="F50" s="11">
        <v>0</v>
      </c>
      <c r="G50" s="11">
        <f>SUM(C50:F50)</f>
        <v>0</v>
      </c>
      <c r="H50" s="17">
        <f>ROUND(G50/3926,2)</f>
        <v>0</v>
      </c>
      <c r="I50" s="10"/>
      <c r="J50" s="10"/>
    </row>
    <row r="51" spans="1:10" x14ac:dyDescent="0.25">
      <c r="C51" s="9"/>
      <c r="D51" s="9"/>
      <c r="E51" s="9"/>
      <c r="F51" s="9"/>
      <c r="G51" s="9"/>
      <c r="H51" s="9"/>
      <c r="I51" s="10"/>
      <c r="J51" s="10"/>
    </row>
    <row r="52" spans="1:10" x14ac:dyDescent="0.25">
      <c r="C52" s="9"/>
      <c r="D52" s="9"/>
      <c r="E52" s="9"/>
      <c r="F52" s="9"/>
      <c r="G52" s="9"/>
      <c r="H52" s="9"/>
      <c r="I52" s="10"/>
      <c r="J52" s="10"/>
    </row>
    <row r="53" spans="1:10" x14ac:dyDescent="0.25">
      <c r="C53" s="9"/>
      <c r="D53" s="9"/>
      <c r="E53" s="9"/>
      <c r="F53" s="9"/>
      <c r="G53" s="9"/>
      <c r="H53" s="9"/>
      <c r="I53" s="10"/>
      <c r="J53" s="10"/>
    </row>
    <row r="54" spans="1:10" x14ac:dyDescent="0.25">
      <c r="C54" s="9"/>
      <c r="D54" s="9"/>
      <c r="E54" s="9"/>
      <c r="F54" s="9"/>
      <c r="G54" s="9"/>
      <c r="H54" s="9"/>
      <c r="I54" s="10"/>
      <c r="J54" s="10"/>
    </row>
    <row r="55" spans="1:10" x14ac:dyDescent="0.25">
      <c r="A55" s="21" t="s">
        <v>57</v>
      </c>
      <c r="B55" s="21"/>
      <c r="C55" s="15" t="s">
        <v>2</v>
      </c>
      <c r="D55" s="15">
        <v>2023</v>
      </c>
      <c r="E55" s="15" t="s">
        <v>59</v>
      </c>
      <c r="F55" s="14"/>
      <c r="G55" s="15" t="s">
        <v>60</v>
      </c>
      <c r="H55" s="15" t="s">
        <v>2</v>
      </c>
      <c r="I55" s="13" t="s">
        <v>61</v>
      </c>
      <c r="J55" s="13" t="s">
        <v>59</v>
      </c>
    </row>
    <row r="56" spans="1:10" x14ac:dyDescent="0.25">
      <c r="A56" s="20" t="s">
        <v>58</v>
      </c>
      <c r="B56" s="20"/>
      <c r="C56" s="16">
        <f>ROUND(0.8521, 4)</f>
        <v>0.85209999999999997</v>
      </c>
      <c r="D56" s="16">
        <f>ROUND(0.8544, 4)</f>
        <v>0.85440000000000005</v>
      </c>
      <c r="E56" s="16">
        <f>ROUND(0.777, 4)</f>
        <v>0.77700000000000002</v>
      </c>
      <c r="F56" s="9"/>
      <c r="G56" s="15" t="s">
        <v>62</v>
      </c>
      <c r="H56" s="22" t="s">
        <v>63</v>
      </c>
      <c r="I56" s="24" t="s">
        <v>64</v>
      </c>
      <c r="J56" s="24" t="s">
        <v>65</v>
      </c>
    </row>
    <row r="57" spans="1:10" x14ac:dyDescent="0.25">
      <c r="A57" s="20" t="s">
        <v>66</v>
      </c>
      <c r="B57" s="20"/>
      <c r="C57" s="16">
        <f>ROUND(0.8397, 4)</f>
        <v>0.8397</v>
      </c>
      <c r="D57" s="16">
        <f>ROUND(0.8414, 4)</f>
        <v>0.84140000000000004</v>
      </c>
      <c r="E57" s="16">
        <f>ROUND(0.7608, 4)</f>
        <v>0.76080000000000003</v>
      </c>
      <c r="F57" s="9"/>
      <c r="G57" s="15" t="s">
        <v>67</v>
      </c>
      <c r="H57" s="23"/>
      <c r="I57" s="25"/>
      <c r="J57" s="25"/>
    </row>
    <row r="58" spans="1:10" x14ac:dyDescent="0.25">
      <c r="C58" s="9"/>
      <c r="D58" s="9"/>
      <c r="E58" s="9"/>
      <c r="F58" s="9"/>
      <c r="G58" s="9"/>
      <c r="H58" s="9"/>
      <c r="I58" s="10"/>
      <c r="J58" s="10"/>
    </row>
    <row r="59" spans="1:10" x14ac:dyDescent="0.25">
      <c r="C59" s="9"/>
      <c r="D59" s="9"/>
      <c r="E59" s="9"/>
      <c r="F59" s="9"/>
      <c r="G59" s="9"/>
      <c r="H59" s="9"/>
      <c r="I59" s="10"/>
      <c r="J59" s="10"/>
    </row>
    <row r="60" spans="1:10" x14ac:dyDescent="0.25">
      <c r="C60" s="9"/>
      <c r="D60" s="9"/>
      <c r="E60" s="9"/>
      <c r="F60" s="9"/>
      <c r="G60" s="9"/>
      <c r="H60" s="9"/>
      <c r="I60" s="10"/>
      <c r="J60" s="10"/>
    </row>
    <row r="61" spans="1:10" x14ac:dyDescent="0.25">
      <c r="A61" s="21" t="s">
        <v>68</v>
      </c>
      <c r="B61" s="21"/>
      <c r="C61" s="15" t="s">
        <v>2</v>
      </c>
      <c r="D61" s="15" t="s">
        <v>107</v>
      </c>
      <c r="E61" s="15" t="s">
        <v>70</v>
      </c>
      <c r="F61" s="15" t="s">
        <v>71</v>
      </c>
      <c r="G61" s="15" t="s">
        <v>72</v>
      </c>
      <c r="H61" s="14"/>
      <c r="I61" s="18"/>
      <c r="J61" s="18"/>
    </row>
    <row r="62" spans="1:10" x14ac:dyDescent="0.25">
      <c r="A62" s="20" t="s">
        <v>73</v>
      </c>
      <c r="B62" s="20"/>
      <c r="C62" s="17">
        <v>19.41</v>
      </c>
      <c r="D62" s="17">
        <v>54.1</v>
      </c>
      <c r="E62" s="17">
        <v>81.84</v>
      </c>
      <c r="F62" s="17">
        <v>48</v>
      </c>
      <c r="G62" s="17">
        <f>12/4*C62</f>
        <v>58.230000000000004</v>
      </c>
      <c r="H62" s="9"/>
      <c r="I62" s="10"/>
      <c r="J62" s="10"/>
    </row>
    <row r="63" spans="1:10" x14ac:dyDescent="0.25">
      <c r="A63" s="20" t="s">
        <v>74</v>
      </c>
      <c r="B63" s="20"/>
      <c r="C63" s="17">
        <v>31.27</v>
      </c>
      <c r="D63" s="17">
        <v>74.36</v>
      </c>
      <c r="E63" s="17">
        <v>55.63</v>
      </c>
      <c r="F63" s="17">
        <v>55.33</v>
      </c>
      <c r="G63" s="17">
        <f>12/4*C63</f>
        <v>93.81</v>
      </c>
      <c r="H63" s="9"/>
      <c r="I63" s="10"/>
      <c r="J63" s="10"/>
    </row>
    <row r="64" spans="1:10" x14ac:dyDescent="0.25">
      <c r="A64" s="20" t="s">
        <v>75</v>
      </c>
      <c r="B64" s="20"/>
      <c r="C64" s="17">
        <v>110.47</v>
      </c>
      <c r="D64" s="17">
        <v>311.13</v>
      </c>
      <c r="E64" s="17">
        <v>257.88</v>
      </c>
      <c r="F64" s="17">
        <v>242.78</v>
      </c>
      <c r="G64" s="17">
        <f>12/4*C64</f>
        <v>331.40999999999997</v>
      </c>
      <c r="H64" s="9"/>
      <c r="I64" s="10"/>
      <c r="J64" s="10"/>
    </row>
    <row r="65" spans="1:10" x14ac:dyDescent="0.25">
      <c r="A65" s="20" t="s">
        <v>76</v>
      </c>
      <c r="B65" s="20"/>
      <c r="C65" s="17">
        <v>30.13</v>
      </c>
      <c r="D65" s="17">
        <v>76.510000000000005</v>
      </c>
      <c r="E65" s="17">
        <v>103.14</v>
      </c>
      <c r="F65" s="17">
        <v>68.31</v>
      </c>
      <c r="G65" s="17">
        <f>12/4*C65</f>
        <v>90.39</v>
      </c>
      <c r="H65" s="9"/>
      <c r="I65" s="10"/>
      <c r="J65" s="10"/>
    </row>
    <row r="66" spans="1:10" x14ac:dyDescent="0.25">
      <c r="C66" s="9"/>
      <c r="D66" s="9"/>
      <c r="E66" s="9"/>
      <c r="F66" s="9"/>
      <c r="G66" s="9"/>
      <c r="H66" s="9"/>
      <c r="I66" s="10"/>
      <c r="J66" s="10"/>
    </row>
    <row r="68" spans="1:10" x14ac:dyDescent="0.25">
      <c r="A68" s="19" t="s">
        <v>60</v>
      </c>
      <c r="B68" s="26"/>
    </row>
    <row r="69" spans="1:10" x14ac:dyDescent="0.25">
      <c r="A69" s="3" t="s">
        <v>77</v>
      </c>
      <c r="B69" s="1" t="s">
        <v>108</v>
      </c>
    </row>
    <row r="70" spans="1:10" x14ac:dyDescent="0.25">
      <c r="A70" s="3" t="s">
        <v>70</v>
      </c>
      <c r="B70" s="1" t="s">
        <v>79</v>
      </c>
    </row>
    <row r="71" spans="1:10" x14ac:dyDescent="0.25">
      <c r="A71" s="3" t="s">
        <v>71</v>
      </c>
      <c r="B71" s="1" t="s">
        <v>80</v>
      </c>
    </row>
    <row r="72" spans="1:10" x14ac:dyDescent="0.25">
      <c r="A72" s="3" t="s">
        <v>72</v>
      </c>
      <c r="B72" s="1" t="s">
        <v>81</v>
      </c>
    </row>
  </sheetData>
  <mergeCells count="19">
    <mergeCell ref="A63:B63"/>
    <mergeCell ref="A64:B64"/>
    <mergeCell ref="A65:B65"/>
    <mergeCell ref="A68:B68"/>
    <mergeCell ref="I56:I57"/>
    <mergeCell ref="J56:J57"/>
    <mergeCell ref="A57:B57"/>
    <mergeCell ref="A61:B61"/>
    <mergeCell ref="A62:B62"/>
    <mergeCell ref="A49:B49"/>
    <mergeCell ref="A50:B50"/>
    <mergeCell ref="A55:B55"/>
    <mergeCell ref="A56:B56"/>
    <mergeCell ref="H56:H57"/>
    <mergeCell ref="C7:G7"/>
    <mergeCell ref="A41:B41"/>
    <mergeCell ref="A42:B42"/>
    <mergeCell ref="A47:B47"/>
    <mergeCell ref="A48:B48"/>
  </mergeCells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dimension ref="A2:J68"/>
  <sheetViews>
    <sheetView workbookViewId="0">
      <selection activeCell="A64" sqref="A64:B64"/>
    </sheetView>
  </sheetViews>
  <sheetFormatPr defaultRowHeight="15" x14ac:dyDescent="0.25"/>
  <cols>
    <col min="1" max="1" width="38.85546875" bestFit="1" customWidth="1"/>
    <col min="2" max="2" width="79" bestFit="1" customWidth="1"/>
    <col min="3" max="3" width="14" bestFit="1" customWidth="1"/>
    <col min="4" max="4" width="22.28515625" bestFit="1" customWidth="1"/>
    <col min="5" max="5" width="16.42578125" bestFit="1" customWidth="1"/>
    <col min="6" max="6" width="10.5703125" bestFit="1" customWidth="1"/>
    <col min="7" max="7" width="68.28515625" bestFit="1" customWidth="1"/>
    <col min="8" max="9" width="20" bestFit="1" customWidth="1"/>
    <col min="10" max="10" width="30.5703125" bestFit="1" customWidth="1"/>
  </cols>
  <sheetData>
    <row r="2" spans="1:10" x14ac:dyDescent="0.25">
      <c r="A2" t="s">
        <v>0</v>
      </c>
      <c r="B2" t="s">
        <v>354</v>
      </c>
    </row>
    <row r="3" spans="1:10" x14ac:dyDescent="0.25">
      <c r="A3" t="s">
        <v>2</v>
      </c>
      <c r="B3" t="s">
        <v>3</v>
      </c>
    </row>
    <row r="4" spans="1:10" x14ac:dyDescent="0.25">
      <c r="A4" t="s">
        <v>4</v>
      </c>
      <c r="B4">
        <v>535</v>
      </c>
    </row>
    <row r="7" spans="1:10" x14ac:dyDescent="0.25">
      <c r="C7" s="28" t="s">
        <v>5</v>
      </c>
      <c r="D7" s="28"/>
      <c r="E7" s="28"/>
      <c r="F7" s="28"/>
      <c r="G7" s="28"/>
    </row>
    <row r="8" spans="1:10" x14ac:dyDescent="0.2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  <c r="J8" s="1" t="s">
        <v>15</v>
      </c>
    </row>
    <row r="9" spans="1:10" x14ac:dyDescent="0.25">
      <c r="A9" s="1" t="s">
        <v>16</v>
      </c>
      <c r="B9" s="1" t="s">
        <v>17</v>
      </c>
      <c r="C9" s="5"/>
      <c r="D9" s="5"/>
      <c r="E9" s="5">
        <v>11</v>
      </c>
      <c r="F9" s="5"/>
      <c r="G9" s="5">
        <f t="shared" ref="G9:G36" si="0">SUM(C9:F9)</f>
        <v>11</v>
      </c>
      <c r="H9" s="1">
        <f t="shared" ref="H9:H36" si="1">ROUND(G9/535,2)</f>
        <v>0.02</v>
      </c>
      <c r="I9" s="1">
        <f t="shared" ref="I9:I36" si="2">ROUND(G9/$G$37,3)</f>
        <v>0</v>
      </c>
      <c r="J9" s="1"/>
    </row>
    <row r="10" spans="1:10" x14ac:dyDescent="0.25">
      <c r="A10" s="1" t="s">
        <v>16</v>
      </c>
      <c r="B10" s="1" t="s">
        <v>19</v>
      </c>
      <c r="C10" s="5">
        <v>5050</v>
      </c>
      <c r="D10" s="5"/>
      <c r="E10" s="5">
        <v>1212</v>
      </c>
      <c r="F10" s="5"/>
      <c r="G10" s="5">
        <f t="shared" si="0"/>
        <v>6262</v>
      </c>
      <c r="H10" s="1">
        <f t="shared" si="1"/>
        <v>11.7</v>
      </c>
      <c r="I10" s="1">
        <f t="shared" si="2"/>
        <v>9.4E-2</v>
      </c>
      <c r="J10" s="1">
        <f>ROUND(G10/7037.63-1,2)</f>
        <v>-0.11</v>
      </c>
    </row>
    <row r="11" spans="1:10" x14ac:dyDescent="0.25">
      <c r="A11" s="1" t="s">
        <v>16</v>
      </c>
      <c r="B11" s="1" t="s">
        <v>20</v>
      </c>
      <c r="C11" s="5">
        <v>8735</v>
      </c>
      <c r="D11" s="5"/>
      <c r="E11" s="5"/>
      <c r="F11" s="5"/>
      <c r="G11" s="5">
        <f t="shared" si="0"/>
        <v>8735</v>
      </c>
      <c r="H11" s="1">
        <f t="shared" si="1"/>
        <v>16.329999999999998</v>
      </c>
      <c r="I11" s="1">
        <f t="shared" si="2"/>
        <v>0.13100000000000001</v>
      </c>
      <c r="J11" s="1">
        <f>ROUND(G11/7150-1,2)</f>
        <v>0.22</v>
      </c>
    </row>
    <row r="12" spans="1:10" x14ac:dyDescent="0.25">
      <c r="A12" s="1" t="s">
        <v>16</v>
      </c>
      <c r="B12" s="1" t="s">
        <v>21</v>
      </c>
      <c r="C12" s="5"/>
      <c r="D12" s="5"/>
      <c r="E12" s="5">
        <v>22</v>
      </c>
      <c r="F12" s="5"/>
      <c r="G12" s="5">
        <f t="shared" si="0"/>
        <v>22</v>
      </c>
      <c r="H12" s="1">
        <f t="shared" si="1"/>
        <v>0.04</v>
      </c>
      <c r="I12" s="1">
        <f t="shared" si="2"/>
        <v>0</v>
      </c>
      <c r="J12" s="1">
        <f>ROUND(G12/15.38-1,2)</f>
        <v>0.43</v>
      </c>
    </row>
    <row r="13" spans="1:10" x14ac:dyDescent="0.25">
      <c r="A13" s="1" t="s">
        <v>16</v>
      </c>
      <c r="B13" s="1" t="s">
        <v>22</v>
      </c>
      <c r="C13" s="5"/>
      <c r="D13" s="5"/>
      <c r="E13" s="5">
        <v>216</v>
      </c>
      <c r="F13" s="5"/>
      <c r="G13" s="5">
        <f t="shared" si="0"/>
        <v>216</v>
      </c>
      <c r="H13" s="1">
        <f t="shared" si="1"/>
        <v>0.4</v>
      </c>
      <c r="I13" s="1">
        <f t="shared" si="2"/>
        <v>3.0000000000000001E-3</v>
      </c>
      <c r="J13" s="1"/>
    </row>
    <row r="14" spans="1:10" x14ac:dyDescent="0.25">
      <c r="A14" s="1" t="s">
        <v>16</v>
      </c>
      <c r="B14" s="1" t="s">
        <v>23</v>
      </c>
      <c r="C14" s="5"/>
      <c r="D14" s="5"/>
      <c r="E14" s="5">
        <v>6032</v>
      </c>
      <c r="F14" s="5"/>
      <c r="G14" s="5">
        <f t="shared" si="0"/>
        <v>6032</v>
      </c>
      <c r="H14" s="1">
        <f t="shared" si="1"/>
        <v>11.27</v>
      </c>
      <c r="I14" s="1">
        <f t="shared" si="2"/>
        <v>0.09</v>
      </c>
      <c r="J14" s="1">
        <f>ROUND(G14/4755.16-1,2)</f>
        <v>0.27</v>
      </c>
    </row>
    <row r="15" spans="1:10" x14ac:dyDescent="0.25">
      <c r="A15" s="1" t="s">
        <v>16</v>
      </c>
      <c r="B15" s="1" t="s">
        <v>24</v>
      </c>
      <c r="C15" s="5">
        <v>5640</v>
      </c>
      <c r="D15" s="5"/>
      <c r="E15" s="5">
        <v>2275</v>
      </c>
      <c r="F15" s="5"/>
      <c r="G15" s="5">
        <f t="shared" si="0"/>
        <v>7915</v>
      </c>
      <c r="H15" s="1">
        <f t="shared" si="1"/>
        <v>14.79</v>
      </c>
      <c r="I15" s="1">
        <f t="shared" si="2"/>
        <v>0.11799999999999999</v>
      </c>
      <c r="J15" s="1">
        <f>ROUND(G15/5301.64-1,2)</f>
        <v>0.49</v>
      </c>
    </row>
    <row r="16" spans="1:10" x14ac:dyDescent="0.25">
      <c r="A16" s="1" t="s">
        <v>16</v>
      </c>
      <c r="B16" s="1" t="s">
        <v>25</v>
      </c>
      <c r="C16" s="5"/>
      <c r="D16" s="5"/>
      <c r="E16" s="5">
        <v>911</v>
      </c>
      <c r="F16" s="5"/>
      <c r="G16" s="5">
        <f t="shared" si="0"/>
        <v>911</v>
      </c>
      <c r="H16" s="1">
        <f t="shared" si="1"/>
        <v>1.7</v>
      </c>
      <c r="I16" s="1">
        <f t="shared" si="2"/>
        <v>1.4E-2</v>
      </c>
      <c r="J16" s="1"/>
    </row>
    <row r="17" spans="1:10" x14ac:dyDescent="0.25">
      <c r="A17" s="1" t="s">
        <v>16</v>
      </c>
      <c r="B17" s="1" t="s">
        <v>26</v>
      </c>
      <c r="C17" s="5">
        <v>3730</v>
      </c>
      <c r="D17" s="5"/>
      <c r="E17" s="5"/>
      <c r="F17" s="5"/>
      <c r="G17" s="5">
        <f t="shared" si="0"/>
        <v>3730</v>
      </c>
      <c r="H17" s="1">
        <f t="shared" si="1"/>
        <v>6.97</v>
      </c>
      <c r="I17" s="1">
        <f t="shared" si="2"/>
        <v>5.6000000000000001E-2</v>
      </c>
      <c r="J17" s="1">
        <f>ROUND(G17/7810-1,2)</f>
        <v>-0.52</v>
      </c>
    </row>
    <row r="18" spans="1:10" x14ac:dyDescent="0.25">
      <c r="A18" s="1" t="s">
        <v>16</v>
      </c>
      <c r="B18" s="1" t="s">
        <v>27</v>
      </c>
      <c r="C18" s="5"/>
      <c r="D18" s="5"/>
      <c r="E18" s="5">
        <v>40</v>
      </c>
      <c r="F18" s="5"/>
      <c r="G18" s="5">
        <f t="shared" si="0"/>
        <v>40</v>
      </c>
      <c r="H18" s="1">
        <f t="shared" si="1"/>
        <v>7.0000000000000007E-2</v>
      </c>
      <c r="I18" s="1">
        <f t="shared" si="2"/>
        <v>1E-3</v>
      </c>
      <c r="J18" s="1"/>
    </row>
    <row r="19" spans="1:10" x14ac:dyDescent="0.25">
      <c r="A19" s="1" t="s">
        <v>16</v>
      </c>
      <c r="B19" s="1" t="s">
        <v>28</v>
      </c>
      <c r="C19" s="5"/>
      <c r="D19" s="5"/>
      <c r="E19" s="5">
        <v>14</v>
      </c>
      <c r="F19" s="5"/>
      <c r="G19" s="5">
        <f t="shared" si="0"/>
        <v>14</v>
      </c>
      <c r="H19" s="1">
        <f t="shared" si="1"/>
        <v>0.03</v>
      </c>
      <c r="I19" s="1">
        <f t="shared" si="2"/>
        <v>0</v>
      </c>
      <c r="J19" s="1"/>
    </row>
    <row r="20" spans="1:10" x14ac:dyDescent="0.25">
      <c r="A20" s="1" t="s">
        <v>16</v>
      </c>
      <c r="B20" s="1" t="s">
        <v>29</v>
      </c>
      <c r="C20" s="5"/>
      <c r="D20" s="5"/>
      <c r="E20" s="5">
        <v>15</v>
      </c>
      <c r="F20" s="5"/>
      <c r="G20" s="5">
        <f t="shared" si="0"/>
        <v>15</v>
      </c>
      <c r="H20" s="1">
        <f t="shared" si="1"/>
        <v>0.03</v>
      </c>
      <c r="I20" s="1">
        <f t="shared" si="2"/>
        <v>0</v>
      </c>
      <c r="J20" s="1">
        <f>ROUND(G20/57.63-1,2)</f>
        <v>-0.74</v>
      </c>
    </row>
    <row r="21" spans="1:10" x14ac:dyDescent="0.25">
      <c r="A21" s="1" t="s">
        <v>16</v>
      </c>
      <c r="B21" s="1" t="s">
        <v>31</v>
      </c>
      <c r="C21" s="5"/>
      <c r="D21" s="5"/>
      <c r="E21" s="5">
        <v>47</v>
      </c>
      <c r="F21" s="5"/>
      <c r="G21" s="5">
        <f t="shared" si="0"/>
        <v>47</v>
      </c>
      <c r="H21" s="1">
        <f t="shared" si="1"/>
        <v>0.09</v>
      </c>
      <c r="I21" s="1">
        <f t="shared" si="2"/>
        <v>1E-3</v>
      </c>
      <c r="J21" s="1"/>
    </row>
    <row r="22" spans="1:10" x14ac:dyDescent="0.25">
      <c r="A22" s="1" t="s">
        <v>16</v>
      </c>
      <c r="B22" s="1" t="s">
        <v>32</v>
      </c>
      <c r="C22" s="5"/>
      <c r="D22" s="5"/>
      <c r="E22" s="5">
        <v>6</v>
      </c>
      <c r="F22" s="5"/>
      <c r="G22" s="5">
        <f t="shared" si="0"/>
        <v>6</v>
      </c>
      <c r="H22" s="1">
        <f t="shared" si="1"/>
        <v>0.01</v>
      </c>
      <c r="I22" s="1">
        <f t="shared" si="2"/>
        <v>0</v>
      </c>
      <c r="J22" s="1"/>
    </row>
    <row r="23" spans="1:10" x14ac:dyDescent="0.25">
      <c r="A23" s="1" t="s">
        <v>16</v>
      </c>
      <c r="B23" s="1" t="s">
        <v>34</v>
      </c>
      <c r="C23" s="5"/>
      <c r="D23" s="5"/>
      <c r="E23" s="5">
        <v>106</v>
      </c>
      <c r="F23" s="5"/>
      <c r="G23" s="5">
        <f t="shared" si="0"/>
        <v>106</v>
      </c>
      <c r="H23" s="1">
        <f t="shared" si="1"/>
        <v>0.2</v>
      </c>
      <c r="I23" s="1">
        <f t="shared" si="2"/>
        <v>2E-3</v>
      </c>
      <c r="J23" s="1">
        <f>ROUND(G23/73.75-1,2)</f>
        <v>0.44</v>
      </c>
    </row>
    <row r="24" spans="1:10" x14ac:dyDescent="0.25">
      <c r="A24" s="1" t="s">
        <v>16</v>
      </c>
      <c r="B24" s="1" t="s">
        <v>35</v>
      </c>
      <c r="C24" s="5"/>
      <c r="D24" s="5"/>
      <c r="E24" s="5">
        <v>5855</v>
      </c>
      <c r="F24" s="5"/>
      <c r="G24" s="5">
        <f t="shared" si="0"/>
        <v>5855</v>
      </c>
      <c r="H24" s="1">
        <f t="shared" si="1"/>
        <v>10.94</v>
      </c>
      <c r="I24" s="1">
        <f t="shared" si="2"/>
        <v>8.7999999999999995E-2</v>
      </c>
      <c r="J24" s="1">
        <f>ROUND(G24/3156.65-1,2)</f>
        <v>0.85</v>
      </c>
    </row>
    <row r="25" spans="1:10" x14ac:dyDescent="0.25">
      <c r="A25" s="1" t="s">
        <v>16</v>
      </c>
      <c r="B25" s="1" t="s">
        <v>37</v>
      </c>
      <c r="C25" s="5"/>
      <c r="D25" s="5"/>
      <c r="E25" s="5">
        <v>2124</v>
      </c>
      <c r="F25" s="5"/>
      <c r="G25" s="5">
        <f t="shared" si="0"/>
        <v>2124</v>
      </c>
      <c r="H25" s="1">
        <f t="shared" si="1"/>
        <v>3.97</v>
      </c>
      <c r="I25" s="1">
        <f t="shared" si="2"/>
        <v>3.2000000000000001E-2</v>
      </c>
      <c r="J25" s="1">
        <f>ROUND(G25/1507.27-1,2)</f>
        <v>0.41</v>
      </c>
    </row>
    <row r="26" spans="1:10" x14ac:dyDescent="0.25">
      <c r="A26" s="1" t="s">
        <v>16</v>
      </c>
      <c r="B26" s="1" t="s">
        <v>38</v>
      </c>
      <c r="C26" s="5"/>
      <c r="D26" s="5"/>
      <c r="E26" s="5">
        <v>1491</v>
      </c>
      <c r="F26" s="5"/>
      <c r="G26" s="5">
        <f t="shared" si="0"/>
        <v>1491</v>
      </c>
      <c r="H26" s="1">
        <f t="shared" si="1"/>
        <v>2.79</v>
      </c>
      <c r="I26" s="1">
        <f t="shared" si="2"/>
        <v>2.1999999999999999E-2</v>
      </c>
      <c r="J26" s="1">
        <f>ROUND(G26/1560.07-1,2)</f>
        <v>-0.04</v>
      </c>
    </row>
    <row r="27" spans="1:10" x14ac:dyDescent="0.25">
      <c r="A27" s="1" t="s">
        <v>16</v>
      </c>
      <c r="B27" s="1" t="s">
        <v>39</v>
      </c>
      <c r="C27" s="5"/>
      <c r="D27" s="5"/>
      <c r="E27" s="5"/>
      <c r="F27" s="5"/>
      <c r="G27" s="5">
        <f t="shared" si="0"/>
        <v>0</v>
      </c>
      <c r="H27" s="1">
        <f t="shared" si="1"/>
        <v>0</v>
      </c>
      <c r="I27" s="1">
        <f t="shared" si="2"/>
        <v>0</v>
      </c>
      <c r="J27" s="1">
        <f>ROUND(G27/22.77-1,2)</f>
        <v>-1</v>
      </c>
    </row>
    <row r="28" spans="1:10" x14ac:dyDescent="0.25">
      <c r="A28" s="1" t="s">
        <v>16</v>
      </c>
      <c r="B28" s="1" t="s">
        <v>41</v>
      </c>
      <c r="C28" s="5"/>
      <c r="D28" s="5"/>
      <c r="E28" s="5"/>
      <c r="F28" s="5"/>
      <c r="G28" s="5">
        <f t="shared" si="0"/>
        <v>0</v>
      </c>
      <c r="H28" s="1">
        <f t="shared" si="1"/>
        <v>0</v>
      </c>
      <c r="I28" s="1">
        <f t="shared" si="2"/>
        <v>0</v>
      </c>
      <c r="J28" s="1">
        <f>ROUND(G28/316.8-1,2)</f>
        <v>-1</v>
      </c>
    </row>
    <row r="29" spans="1:10" x14ac:dyDescent="0.25">
      <c r="A29" s="1" t="s">
        <v>16</v>
      </c>
      <c r="B29" s="1" t="s">
        <v>42</v>
      </c>
      <c r="C29" s="5"/>
      <c r="D29" s="5"/>
      <c r="E29" s="5"/>
      <c r="F29" s="5"/>
      <c r="G29" s="5">
        <f t="shared" si="0"/>
        <v>0</v>
      </c>
      <c r="H29" s="1">
        <f t="shared" si="1"/>
        <v>0</v>
      </c>
      <c r="I29" s="1">
        <f t="shared" si="2"/>
        <v>0</v>
      </c>
      <c r="J29" s="1">
        <f>ROUND(G29/50.31-1,2)</f>
        <v>-1</v>
      </c>
    </row>
    <row r="30" spans="1:10" x14ac:dyDescent="0.25">
      <c r="A30" s="1" t="s">
        <v>16</v>
      </c>
      <c r="B30" s="1" t="s">
        <v>40</v>
      </c>
      <c r="C30" s="5"/>
      <c r="D30" s="5"/>
      <c r="E30" s="5"/>
      <c r="F30" s="5"/>
      <c r="G30" s="5">
        <f t="shared" si="0"/>
        <v>0</v>
      </c>
      <c r="H30" s="1">
        <f t="shared" si="1"/>
        <v>0</v>
      </c>
      <c r="I30" s="1">
        <f t="shared" si="2"/>
        <v>0</v>
      </c>
      <c r="J30" s="1"/>
    </row>
    <row r="31" spans="1:10" x14ac:dyDescent="0.25">
      <c r="A31" s="1" t="s">
        <v>16</v>
      </c>
      <c r="B31" s="1" t="s">
        <v>30</v>
      </c>
      <c r="C31" s="5"/>
      <c r="D31" s="5"/>
      <c r="E31" s="5"/>
      <c r="F31" s="5"/>
      <c r="G31" s="5">
        <f t="shared" si="0"/>
        <v>0</v>
      </c>
      <c r="H31" s="1">
        <f t="shared" si="1"/>
        <v>0</v>
      </c>
      <c r="I31" s="1">
        <f t="shared" si="2"/>
        <v>0</v>
      </c>
      <c r="J31" s="1"/>
    </row>
    <row r="32" spans="1:10" x14ac:dyDescent="0.25">
      <c r="A32" s="1" t="s">
        <v>16</v>
      </c>
      <c r="B32" s="1" t="s">
        <v>36</v>
      </c>
      <c r="C32" s="5"/>
      <c r="D32" s="5"/>
      <c r="E32" s="5"/>
      <c r="F32" s="5"/>
      <c r="G32" s="5">
        <f t="shared" si="0"/>
        <v>0</v>
      </c>
      <c r="H32" s="1">
        <f t="shared" si="1"/>
        <v>0</v>
      </c>
      <c r="I32" s="1">
        <f t="shared" si="2"/>
        <v>0</v>
      </c>
      <c r="J32" s="1"/>
    </row>
    <row r="33" spans="1:10" x14ac:dyDescent="0.25">
      <c r="A33" s="1" t="s">
        <v>44</v>
      </c>
      <c r="B33" s="1" t="s">
        <v>45</v>
      </c>
      <c r="C33" s="5">
        <v>19180</v>
      </c>
      <c r="D33" s="5"/>
      <c r="E33" s="5"/>
      <c r="F33" s="5"/>
      <c r="G33" s="5">
        <f t="shared" si="0"/>
        <v>19180</v>
      </c>
      <c r="H33" s="1">
        <f t="shared" si="1"/>
        <v>35.85</v>
      </c>
      <c r="I33" s="1">
        <f t="shared" si="2"/>
        <v>0.28699999999999998</v>
      </c>
      <c r="J33" s="1">
        <f>ROUND(G33/15440-1,2)</f>
        <v>0.24</v>
      </c>
    </row>
    <row r="34" spans="1:10" x14ac:dyDescent="0.25">
      <c r="A34" s="1" t="s">
        <v>44</v>
      </c>
      <c r="B34" s="1" t="s">
        <v>46</v>
      </c>
      <c r="C34" s="5"/>
      <c r="D34" s="5"/>
      <c r="E34" s="5">
        <v>4171</v>
      </c>
      <c r="F34" s="5"/>
      <c r="G34" s="5">
        <f t="shared" si="0"/>
        <v>4171</v>
      </c>
      <c r="H34" s="1">
        <f t="shared" si="1"/>
        <v>7.8</v>
      </c>
      <c r="I34" s="1">
        <f t="shared" si="2"/>
        <v>6.2E-2</v>
      </c>
      <c r="J34" s="1">
        <f>ROUND(G34/2105.48-1,2)</f>
        <v>0.98</v>
      </c>
    </row>
    <row r="35" spans="1:10" x14ac:dyDescent="0.25">
      <c r="A35" s="1" t="s">
        <v>44</v>
      </c>
      <c r="B35" s="1" t="s">
        <v>47</v>
      </c>
      <c r="C35" s="5"/>
      <c r="D35" s="5"/>
      <c r="E35" s="5"/>
      <c r="F35" s="5"/>
      <c r="G35" s="5">
        <f t="shared" si="0"/>
        <v>0</v>
      </c>
      <c r="H35" s="1">
        <f t="shared" si="1"/>
        <v>0</v>
      </c>
      <c r="I35" s="1">
        <f t="shared" si="2"/>
        <v>0</v>
      </c>
      <c r="J35" s="1"/>
    </row>
    <row r="36" spans="1:10" x14ac:dyDescent="0.25">
      <c r="A36" s="1" t="s">
        <v>48</v>
      </c>
      <c r="B36" s="1" t="s">
        <v>51</v>
      </c>
      <c r="C36" s="5"/>
      <c r="D36" s="5"/>
      <c r="E36" s="5"/>
      <c r="F36" s="5"/>
      <c r="G36" s="5">
        <f t="shared" si="0"/>
        <v>0</v>
      </c>
      <c r="H36" s="1">
        <f t="shared" si="1"/>
        <v>0</v>
      </c>
      <c r="I36" s="1">
        <f t="shared" si="2"/>
        <v>0</v>
      </c>
      <c r="J36" s="1"/>
    </row>
    <row r="37" spans="1:10" x14ac:dyDescent="0.25">
      <c r="A37" s="21" t="s">
        <v>12</v>
      </c>
      <c r="B37" s="21"/>
      <c r="C37" s="6">
        <f t="shared" ref="C37:H37" si="3">SUM(C8:C36)</f>
        <v>42335</v>
      </c>
      <c r="D37" s="6">
        <f t="shared" si="3"/>
        <v>0</v>
      </c>
      <c r="E37" s="6">
        <f t="shared" si="3"/>
        <v>24548</v>
      </c>
      <c r="F37" s="6">
        <f t="shared" si="3"/>
        <v>0</v>
      </c>
      <c r="G37" s="6">
        <f t="shared" si="3"/>
        <v>66883</v>
      </c>
      <c r="H37" s="3">
        <f t="shared" si="3"/>
        <v>125.00000000000001</v>
      </c>
      <c r="I37" s="2"/>
      <c r="J37" s="2"/>
    </row>
    <row r="38" spans="1:10" x14ac:dyDescent="0.25">
      <c r="A38" s="21" t="s">
        <v>14</v>
      </c>
      <c r="B38" s="21"/>
      <c r="C38" s="7">
        <f>ROUND(C37/G37,2)</f>
        <v>0.63</v>
      </c>
      <c r="D38" s="7">
        <f>ROUND(D37/G37,2)</f>
        <v>0</v>
      </c>
      <c r="E38" s="7">
        <f>ROUND(E37/G37,2)</f>
        <v>0.37</v>
      </c>
      <c r="F38" s="7">
        <f>ROUND(F37/G37,2)</f>
        <v>0</v>
      </c>
      <c r="G38" s="2"/>
      <c r="H38" s="2"/>
      <c r="I38" s="2"/>
      <c r="J38" s="2"/>
    </row>
    <row r="39" spans="1:10" x14ac:dyDescent="0.25">
      <c r="A39" s="2" t="s">
        <v>52</v>
      </c>
      <c r="B39" s="2"/>
      <c r="C39" s="2"/>
      <c r="D39" s="2"/>
      <c r="E39" s="2"/>
      <c r="F39" s="2"/>
      <c r="G39" s="2"/>
      <c r="H39" s="2"/>
      <c r="I39" s="2"/>
      <c r="J39" s="2"/>
    </row>
    <row r="43" spans="1:10" x14ac:dyDescent="0.25">
      <c r="A43" s="21" t="s">
        <v>53</v>
      </c>
      <c r="B43" s="21"/>
      <c r="C43" s="6" t="s">
        <v>8</v>
      </c>
      <c r="D43" s="6" t="s">
        <v>9</v>
      </c>
      <c r="E43" s="6" t="s">
        <v>10</v>
      </c>
      <c r="F43" s="6" t="s">
        <v>11</v>
      </c>
      <c r="G43" s="6" t="s">
        <v>12</v>
      </c>
      <c r="H43" s="3" t="s">
        <v>13</v>
      </c>
      <c r="I43" s="2"/>
      <c r="J43" s="2"/>
    </row>
    <row r="44" spans="1:10" x14ac:dyDescent="0.25">
      <c r="A44" s="20" t="s">
        <v>54</v>
      </c>
      <c r="B44" s="20"/>
      <c r="C44" s="5">
        <v>23155</v>
      </c>
      <c r="D44" s="5">
        <v>0</v>
      </c>
      <c r="E44" s="5">
        <v>20377</v>
      </c>
      <c r="F44" s="5">
        <v>0</v>
      </c>
      <c r="G44" s="5">
        <f>SUM(C44:F44)</f>
        <v>43532</v>
      </c>
      <c r="H44" s="1">
        <f>ROUND(G44/535,2)</f>
        <v>81.37</v>
      </c>
    </row>
    <row r="45" spans="1:10" x14ac:dyDescent="0.25">
      <c r="A45" s="20" t="s">
        <v>55</v>
      </c>
      <c r="B45" s="20"/>
      <c r="C45" s="5">
        <v>19180</v>
      </c>
      <c r="D45" s="5">
        <v>0</v>
      </c>
      <c r="E45" s="5">
        <v>4171</v>
      </c>
      <c r="F45" s="5">
        <v>0</v>
      </c>
      <c r="G45" s="5">
        <f>SUM(C45:F45)</f>
        <v>23351</v>
      </c>
      <c r="H45" s="1">
        <f>ROUND(G45/535,2)</f>
        <v>43.65</v>
      </c>
    </row>
    <row r="46" spans="1:10" x14ac:dyDescent="0.25">
      <c r="A46" s="20" t="s">
        <v>56</v>
      </c>
      <c r="B46" s="20"/>
      <c r="C46" s="5">
        <v>0</v>
      </c>
      <c r="D46" s="5">
        <v>0</v>
      </c>
      <c r="E46" s="5">
        <v>0</v>
      </c>
      <c r="F46" s="5">
        <v>0</v>
      </c>
      <c r="G46" s="5">
        <f>SUM(C46:F46)</f>
        <v>0</v>
      </c>
      <c r="H46" s="1">
        <f>ROUND(G46/535,2)</f>
        <v>0</v>
      </c>
    </row>
    <row r="51" spans="1:10" x14ac:dyDescent="0.25">
      <c r="A51" s="21" t="s">
        <v>57</v>
      </c>
      <c r="B51" s="21"/>
      <c r="C51" s="3" t="s">
        <v>2</v>
      </c>
      <c r="D51" s="3">
        <v>2023</v>
      </c>
      <c r="E51" s="3" t="s">
        <v>59</v>
      </c>
      <c r="F51" s="2"/>
      <c r="G51" s="3" t="s">
        <v>60</v>
      </c>
      <c r="H51" s="3" t="s">
        <v>2</v>
      </c>
      <c r="I51" s="3" t="s">
        <v>61</v>
      </c>
      <c r="J51" s="3" t="s">
        <v>59</v>
      </c>
    </row>
    <row r="52" spans="1:10" x14ac:dyDescent="0.25">
      <c r="A52" s="20" t="s">
        <v>58</v>
      </c>
      <c r="B52" s="20"/>
      <c r="C52" s="8">
        <f>ROUND(0.6837, 4)</f>
        <v>0.68369999999999997</v>
      </c>
      <c r="D52" s="8">
        <f>ROUND(0.629, 4)</f>
        <v>0.629</v>
      </c>
      <c r="E52" s="8">
        <f>ROUND(0.777, 4)</f>
        <v>0.77700000000000002</v>
      </c>
      <c r="G52" s="3" t="s">
        <v>62</v>
      </c>
      <c r="H52" s="27" t="s">
        <v>63</v>
      </c>
      <c r="I52" s="27" t="s">
        <v>64</v>
      </c>
      <c r="J52" s="27" t="s">
        <v>65</v>
      </c>
    </row>
    <row r="53" spans="1:10" x14ac:dyDescent="0.25">
      <c r="A53" s="20" t="s">
        <v>66</v>
      </c>
      <c r="B53" s="20"/>
      <c r="C53" s="8">
        <f>ROUND(0.6453, 4)</f>
        <v>0.64529999999999998</v>
      </c>
      <c r="D53" s="8">
        <f>ROUND(0.5814, 4)</f>
        <v>0.58140000000000003</v>
      </c>
      <c r="E53" s="8">
        <f>ROUND(0.7608, 4)</f>
        <v>0.76080000000000003</v>
      </c>
      <c r="G53" s="3" t="s">
        <v>67</v>
      </c>
      <c r="H53" s="20"/>
      <c r="I53" s="20"/>
      <c r="J53" s="20"/>
    </row>
    <row r="57" spans="1:10" x14ac:dyDescent="0.25">
      <c r="A57" s="21" t="s">
        <v>68</v>
      </c>
      <c r="B57" s="21"/>
      <c r="C57" s="3" t="s">
        <v>2</v>
      </c>
      <c r="D57" s="3" t="s">
        <v>355</v>
      </c>
      <c r="E57" s="3" t="s">
        <v>70</v>
      </c>
      <c r="F57" s="3" t="s">
        <v>71</v>
      </c>
      <c r="G57" s="3" t="s">
        <v>72</v>
      </c>
      <c r="H57" s="2"/>
      <c r="I57" s="2"/>
      <c r="J57" s="2"/>
    </row>
    <row r="58" spans="1:10" x14ac:dyDescent="0.25">
      <c r="A58" s="20" t="s">
        <v>73</v>
      </c>
      <c r="B58" s="20"/>
      <c r="C58" s="1">
        <v>35.85</v>
      </c>
      <c r="D58" s="1">
        <v>79.17</v>
      </c>
      <c r="E58" s="1">
        <v>81.84</v>
      </c>
      <c r="F58" s="1">
        <v>48</v>
      </c>
      <c r="G58" s="1">
        <f>12/4*C58</f>
        <v>107.55000000000001</v>
      </c>
    </row>
    <row r="59" spans="1:10" x14ac:dyDescent="0.25">
      <c r="A59" s="20" t="s">
        <v>74</v>
      </c>
      <c r="B59" s="20"/>
      <c r="C59" s="1">
        <v>6.97</v>
      </c>
      <c r="D59" s="1">
        <v>41.81</v>
      </c>
      <c r="E59" s="1">
        <v>55.63</v>
      </c>
      <c r="F59" s="1">
        <v>55.33</v>
      </c>
      <c r="G59" s="1">
        <f>12/4*C59</f>
        <v>20.91</v>
      </c>
    </row>
    <row r="60" spans="1:10" x14ac:dyDescent="0.25">
      <c r="A60" s="20" t="s">
        <v>75</v>
      </c>
      <c r="B60" s="20"/>
      <c r="C60" s="1">
        <v>81.37</v>
      </c>
      <c r="D60" s="1">
        <v>224.64</v>
      </c>
      <c r="E60" s="1">
        <v>257.88</v>
      </c>
      <c r="F60" s="1">
        <v>242.78</v>
      </c>
      <c r="G60" s="1">
        <f>12/4*C60</f>
        <v>244.11</v>
      </c>
    </row>
    <row r="61" spans="1:10" x14ac:dyDescent="0.25">
      <c r="A61" s="20" t="s">
        <v>76</v>
      </c>
      <c r="B61" s="20"/>
      <c r="C61" s="1">
        <v>43.65</v>
      </c>
      <c r="D61" s="1">
        <v>97.04</v>
      </c>
      <c r="E61" s="1">
        <v>103.14</v>
      </c>
      <c r="F61" s="1">
        <v>68.31</v>
      </c>
      <c r="G61" s="1">
        <f>12/4*C61</f>
        <v>130.94999999999999</v>
      </c>
    </row>
    <row r="64" spans="1:10" x14ac:dyDescent="0.25">
      <c r="A64" s="19" t="s">
        <v>60</v>
      </c>
      <c r="B64" s="26"/>
    </row>
    <row r="65" spans="1:2" x14ac:dyDescent="0.25">
      <c r="A65" s="3" t="s">
        <v>77</v>
      </c>
      <c r="B65" s="1" t="s">
        <v>356</v>
      </c>
    </row>
    <row r="66" spans="1:2" x14ac:dyDescent="0.25">
      <c r="A66" s="3" t="s">
        <v>70</v>
      </c>
      <c r="B66" s="1" t="s">
        <v>79</v>
      </c>
    </row>
    <row r="67" spans="1:2" x14ac:dyDescent="0.25">
      <c r="A67" s="3" t="s">
        <v>71</v>
      </c>
      <c r="B67" s="1" t="s">
        <v>80</v>
      </c>
    </row>
    <row r="68" spans="1:2" x14ac:dyDescent="0.25">
      <c r="A68" s="3" t="s">
        <v>72</v>
      </c>
      <c r="B68" s="1" t="s">
        <v>81</v>
      </c>
    </row>
  </sheetData>
  <mergeCells count="19">
    <mergeCell ref="A59:B59"/>
    <mergeCell ref="A60:B60"/>
    <mergeCell ref="A61:B61"/>
    <mergeCell ref="A64:B64"/>
    <mergeCell ref="I52:I53"/>
    <mergeCell ref="J52:J53"/>
    <mergeCell ref="A53:B53"/>
    <mergeCell ref="A57:B57"/>
    <mergeCell ref="A58:B58"/>
    <mergeCell ref="A45:B45"/>
    <mergeCell ref="A46:B46"/>
    <mergeCell ref="A51:B51"/>
    <mergeCell ref="A52:B52"/>
    <mergeCell ref="H52:H53"/>
    <mergeCell ref="C7:G7"/>
    <mergeCell ref="A37:B37"/>
    <mergeCell ref="A38:B38"/>
    <mergeCell ref="A43:B43"/>
    <mergeCell ref="A44:B4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J78"/>
  <sheetViews>
    <sheetView workbookViewId="0">
      <selection activeCell="C9" sqref="C9:J78"/>
    </sheetView>
  </sheetViews>
  <sheetFormatPr defaultRowHeight="15" x14ac:dyDescent="0.25"/>
  <cols>
    <col min="1" max="1" width="38.85546875" bestFit="1" customWidth="1"/>
    <col min="2" max="2" width="79" bestFit="1" customWidth="1"/>
    <col min="3" max="3" width="14" bestFit="1" customWidth="1"/>
    <col min="4" max="4" width="40" bestFit="1" customWidth="1"/>
    <col min="5" max="5" width="16.42578125" bestFit="1" customWidth="1"/>
    <col min="6" max="6" width="10.5703125" bestFit="1" customWidth="1"/>
    <col min="7" max="7" width="68.28515625" bestFit="1" customWidth="1"/>
    <col min="8" max="9" width="20" bestFit="1" customWidth="1"/>
    <col min="10" max="10" width="30.5703125" bestFit="1" customWidth="1"/>
  </cols>
  <sheetData>
    <row r="2" spans="1:10" ht="18.75" x14ac:dyDescent="0.3">
      <c r="A2" s="3" t="s">
        <v>0</v>
      </c>
      <c r="B2" s="4" t="s">
        <v>109</v>
      </c>
    </row>
    <row r="3" spans="1:10" x14ac:dyDescent="0.25">
      <c r="A3" s="3" t="s">
        <v>2</v>
      </c>
      <c r="B3" s="1" t="s">
        <v>3</v>
      </c>
    </row>
    <row r="4" spans="1:10" x14ac:dyDescent="0.25">
      <c r="A4" s="3" t="s">
        <v>4</v>
      </c>
      <c r="B4" s="1">
        <v>1533</v>
      </c>
    </row>
    <row r="7" spans="1:10" x14ac:dyDescent="0.25">
      <c r="C7" s="19" t="s">
        <v>5</v>
      </c>
      <c r="D7" s="20"/>
      <c r="E7" s="20"/>
      <c r="F7" s="20"/>
      <c r="G7" s="20"/>
    </row>
    <row r="8" spans="1:10" x14ac:dyDescent="0.25">
      <c r="A8" s="3" t="s">
        <v>6</v>
      </c>
      <c r="B8" s="3" t="s">
        <v>7</v>
      </c>
      <c r="C8" s="3" t="s">
        <v>8</v>
      </c>
      <c r="D8" s="3" t="s">
        <v>9</v>
      </c>
      <c r="E8" s="3" t="s">
        <v>10</v>
      </c>
      <c r="F8" s="3" t="s">
        <v>11</v>
      </c>
      <c r="G8" s="3" t="s">
        <v>12</v>
      </c>
      <c r="H8" s="3" t="s">
        <v>13</v>
      </c>
      <c r="I8" s="3" t="s">
        <v>14</v>
      </c>
      <c r="J8" s="3" t="s">
        <v>15</v>
      </c>
    </row>
    <row r="9" spans="1:10" x14ac:dyDescent="0.25">
      <c r="A9" s="1" t="s">
        <v>16</v>
      </c>
      <c r="B9" s="1" t="s">
        <v>19</v>
      </c>
      <c r="C9" s="11">
        <v>17180</v>
      </c>
      <c r="D9" s="11"/>
      <c r="E9" s="11"/>
      <c r="F9" s="11"/>
      <c r="G9" s="11">
        <f t="shared" ref="G9:G34" si="0">SUM(C9:F9)</f>
        <v>17180</v>
      </c>
      <c r="H9" s="17">
        <f t="shared" ref="H9:H34" si="1">ROUND(G9/1533,2)</f>
        <v>11.21</v>
      </c>
      <c r="I9" s="16">
        <f t="shared" ref="I9:I34" si="2">ROUND(G9/$G$35,3)</f>
        <v>8.5000000000000006E-2</v>
      </c>
      <c r="J9" s="16">
        <f>ROUND(G9/16220-1,2)</f>
        <v>0.06</v>
      </c>
    </row>
    <row r="10" spans="1:10" x14ac:dyDescent="0.25">
      <c r="A10" s="1" t="s">
        <v>16</v>
      </c>
      <c r="B10" s="1" t="s">
        <v>20</v>
      </c>
      <c r="C10" s="11">
        <v>23230</v>
      </c>
      <c r="D10" s="11"/>
      <c r="E10" s="11"/>
      <c r="F10" s="11"/>
      <c r="G10" s="11">
        <f t="shared" si="0"/>
        <v>23230</v>
      </c>
      <c r="H10" s="17">
        <f t="shared" si="1"/>
        <v>15.15</v>
      </c>
      <c r="I10" s="16">
        <f t="shared" si="2"/>
        <v>0.115</v>
      </c>
      <c r="J10" s="16">
        <f>ROUND(G10/20740-1,2)</f>
        <v>0.12</v>
      </c>
    </row>
    <row r="11" spans="1:10" x14ac:dyDescent="0.25">
      <c r="A11" s="1" t="s">
        <v>16</v>
      </c>
      <c r="B11" s="1" t="s">
        <v>24</v>
      </c>
      <c r="C11" s="11">
        <v>22420</v>
      </c>
      <c r="D11" s="11"/>
      <c r="E11" s="11"/>
      <c r="F11" s="11"/>
      <c r="G11" s="11">
        <f t="shared" si="0"/>
        <v>22420</v>
      </c>
      <c r="H11" s="17">
        <f t="shared" si="1"/>
        <v>14.62</v>
      </c>
      <c r="I11" s="16">
        <f t="shared" si="2"/>
        <v>0.111</v>
      </c>
      <c r="J11" s="16">
        <f>ROUND(G11/20900-1,2)</f>
        <v>7.0000000000000007E-2</v>
      </c>
    </row>
    <row r="12" spans="1:10" x14ac:dyDescent="0.25">
      <c r="A12" s="1" t="s">
        <v>16</v>
      </c>
      <c r="B12" s="1" t="s">
        <v>26</v>
      </c>
      <c r="C12" s="11">
        <v>46530</v>
      </c>
      <c r="D12" s="11"/>
      <c r="E12" s="11"/>
      <c r="F12" s="11"/>
      <c r="G12" s="11">
        <f t="shared" si="0"/>
        <v>46530</v>
      </c>
      <c r="H12" s="17">
        <f t="shared" si="1"/>
        <v>30.35</v>
      </c>
      <c r="I12" s="16">
        <f t="shared" si="2"/>
        <v>0.23</v>
      </c>
      <c r="J12" s="16">
        <f>ROUND(G12/45880-1,2)</f>
        <v>0.01</v>
      </c>
    </row>
    <row r="13" spans="1:10" x14ac:dyDescent="0.25">
      <c r="A13" s="1" t="s">
        <v>16</v>
      </c>
      <c r="B13" s="1" t="s">
        <v>27</v>
      </c>
      <c r="C13" s="11"/>
      <c r="D13" s="11"/>
      <c r="E13" s="11">
        <v>279</v>
      </c>
      <c r="F13" s="11"/>
      <c r="G13" s="11">
        <f t="shared" si="0"/>
        <v>279</v>
      </c>
      <c r="H13" s="17">
        <f t="shared" si="1"/>
        <v>0.18</v>
      </c>
      <c r="I13" s="16">
        <f t="shared" si="2"/>
        <v>1E-3</v>
      </c>
      <c r="J13" s="16">
        <f>ROUND(G13/17-1,2)</f>
        <v>15.41</v>
      </c>
    </row>
    <row r="14" spans="1:10" x14ac:dyDescent="0.25">
      <c r="A14" s="1" t="s">
        <v>16</v>
      </c>
      <c r="B14" s="1" t="s">
        <v>28</v>
      </c>
      <c r="C14" s="11"/>
      <c r="D14" s="11"/>
      <c r="E14" s="11">
        <v>150</v>
      </c>
      <c r="F14" s="11"/>
      <c r="G14" s="11">
        <f t="shared" si="0"/>
        <v>150</v>
      </c>
      <c r="H14" s="17">
        <f t="shared" si="1"/>
        <v>0.1</v>
      </c>
      <c r="I14" s="16">
        <f t="shared" si="2"/>
        <v>1E-3</v>
      </c>
      <c r="J14" s="16">
        <f>ROUND(G14/10-1,2)</f>
        <v>14</v>
      </c>
    </row>
    <row r="15" spans="1:10" x14ac:dyDescent="0.25">
      <c r="A15" s="1" t="s">
        <v>16</v>
      </c>
      <c r="B15" s="1" t="s">
        <v>29</v>
      </c>
      <c r="C15" s="11"/>
      <c r="D15" s="11"/>
      <c r="E15" s="11">
        <v>170</v>
      </c>
      <c r="F15" s="11"/>
      <c r="G15" s="11">
        <f t="shared" si="0"/>
        <v>170</v>
      </c>
      <c r="H15" s="17">
        <f t="shared" si="1"/>
        <v>0.11</v>
      </c>
      <c r="I15" s="16">
        <f t="shared" si="2"/>
        <v>1E-3</v>
      </c>
      <c r="J15" s="16">
        <f>ROUND(G15/210-1,2)</f>
        <v>-0.19</v>
      </c>
    </row>
    <row r="16" spans="1:10" x14ac:dyDescent="0.25">
      <c r="A16" s="1" t="s">
        <v>16</v>
      </c>
      <c r="B16" s="1" t="s">
        <v>32</v>
      </c>
      <c r="C16" s="11"/>
      <c r="D16" s="11">
        <v>83</v>
      </c>
      <c r="E16" s="11"/>
      <c r="F16" s="11"/>
      <c r="G16" s="11">
        <f t="shared" si="0"/>
        <v>83</v>
      </c>
      <c r="H16" s="17">
        <f t="shared" si="1"/>
        <v>0.05</v>
      </c>
      <c r="I16" s="16">
        <f t="shared" si="2"/>
        <v>0</v>
      </c>
      <c r="J16" s="16">
        <f>ROUND(G16/43-1,2)</f>
        <v>0.93</v>
      </c>
    </row>
    <row r="17" spans="1:10" x14ac:dyDescent="0.25">
      <c r="A17" s="1" t="s">
        <v>16</v>
      </c>
      <c r="B17" s="1" t="s">
        <v>35</v>
      </c>
      <c r="C17" s="11"/>
      <c r="D17" s="11"/>
      <c r="E17" s="11">
        <v>10130</v>
      </c>
      <c r="F17" s="11"/>
      <c r="G17" s="11">
        <f t="shared" si="0"/>
        <v>10130</v>
      </c>
      <c r="H17" s="17">
        <f t="shared" si="1"/>
        <v>6.61</v>
      </c>
      <c r="I17" s="16">
        <f t="shared" si="2"/>
        <v>0.05</v>
      </c>
      <c r="J17" s="16">
        <f>ROUND(G17/8810-1,2)</f>
        <v>0.15</v>
      </c>
    </row>
    <row r="18" spans="1:10" x14ac:dyDescent="0.25">
      <c r="A18" s="1" t="s">
        <v>16</v>
      </c>
      <c r="B18" s="1" t="s">
        <v>36</v>
      </c>
      <c r="C18" s="11"/>
      <c r="D18" s="11"/>
      <c r="E18" s="11">
        <v>1265</v>
      </c>
      <c r="F18" s="11"/>
      <c r="G18" s="11">
        <f t="shared" si="0"/>
        <v>1265</v>
      </c>
      <c r="H18" s="17">
        <f t="shared" si="1"/>
        <v>0.83</v>
      </c>
      <c r="I18" s="16">
        <f t="shared" si="2"/>
        <v>6.0000000000000001E-3</v>
      </c>
      <c r="J18" s="16">
        <f>ROUND(G18/440-1,2)</f>
        <v>1.88</v>
      </c>
    </row>
    <row r="19" spans="1:10" x14ac:dyDescent="0.25">
      <c r="A19" s="1" t="s">
        <v>16</v>
      </c>
      <c r="B19" s="1" t="s">
        <v>37</v>
      </c>
      <c r="C19" s="11"/>
      <c r="D19" s="11"/>
      <c r="E19" s="11">
        <v>2480</v>
      </c>
      <c r="F19" s="11"/>
      <c r="G19" s="11">
        <f t="shared" si="0"/>
        <v>2480</v>
      </c>
      <c r="H19" s="17">
        <f t="shared" si="1"/>
        <v>1.62</v>
      </c>
      <c r="I19" s="16">
        <f t="shared" si="2"/>
        <v>1.2E-2</v>
      </c>
      <c r="J19" s="16">
        <f>ROUND(G19/1060-1,2)</f>
        <v>1.34</v>
      </c>
    </row>
    <row r="20" spans="1:10" x14ac:dyDescent="0.25">
      <c r="A20" s="1" t="s">
        <v>16</v>
      </c>
      <c r="B20" s="1" t="s">
        <v>38</v>
      </c>
      <c r="C20" s="11"/>
      <c r="D20" s="11"/>
      <c r="E20" s="11">
        <v>13370</v>
      </c>
      <c r="F20" s="11"/>
      <c r="G20" s="11">
        <f t="shared" si="0"/>
        <v>13370</v>
      </c>
      <c r="H20" s="17">
        <f t="shared" si="1"/>
        <v>8.7200000000000006</v>
      </c>
      <c r="I20" s="16">
        <f t="shared" si="2"/>
        <v>6.6000000000000003E-2</v>
      </c>
      <c r="J20" s="16">
        <f>ROUND(G20/11480-1,2)</f>
        <v>0.16</v>
      </c>
    </row>
    <row r="21" spans="1:10" x14ac:dyDescent="0.25">
      <c r="A21" s="1" t="s">
        <v>16</v>
      </c>
      <c r="B21" s="1" t="s">
        <v>25</v>
      </c>
      <c r="C21" s="11"/>
      <c r="D21" s="11"/>
      <c r="E21" s="11"/>
      <c r="F21" s="11"/>
      <c r="G21" s="11">
        <f t="shared" si="0"/>
        <v>0</v>
      </c>
      <c r="H21" s="17">
        <f t="shared" si="1"/>
        <v>0</v>
      </c>
      <c r="I21" s="16">
        <f t="shared" si="2"/>
        <v>0</v>
      </c>
      <c r="J21" s="16"/>
    </row>
    <row r="22" spans="1:10" x14ac:dyDescent="0.25">
      <c r="A22" s="1" t="s">
        <v>16</v>
      </c>
      <c r="B22" s="1" t="s">
        <v>39</v>
      </c>
      <c r="C22" s="11"/>
      <c r="D22" s="11"/>
      <c r="E22" s="11"/>
      <c r="F22" s="11"/>
      <c r="G22" s="11">
        <f t="shared" si="0"/>
        <v>0</v>
      </c>
      <c r="H22" s="17">
        <f t="shared" si="1"/>
        <v>0</v>
      </c>
      <c r="I22" s="16">
        <f t="shared" si="2"/>
        <v>0</v>
      </c>
      <c r="J22" s="16">
        <f>ROUND(G22/68-1,2)</f>
        <v>-1</v>
      </c>
    </row>
    <row r="23" spans="1:10" x14ac:dyDescent="0.25">
      <c r="A23" s="1" t="s">
        <v>16</v>
      </c>
      <c r="B23" s="1" t="s">
        <v>40</v>
      </c>
      <c r="C23" s="11"/>
      <c r="D23" s="11"/>
      <c r="E23" s="11"/>
      <c r="F23" s="11"/>
      <c r="G23" s="11">
        <f t="shared" si="0"/>
        <v>0</v>
      </c>
      <c r="H23" s="17">
        <f t="shared" si="1"/>
        <v>0</v>
      </c>
      <c r="I23" s="16">
        <f t="shared" si="2"/>
        <v>0</v>
      </c>
      <c r="J23" s="16">
        <f>ROUND(G23/670-1,2)</f>
        <v>-1</v>
      </c>
    </row>
    <row r="24" spans="1:10" x14ac:dyDescent="0.25">
      <c r="A24" s="1" t="s">
        <v>16</v>
      </c>
      <c r="B24" s="1" t="s">
        <v>41</v>
      </c>
      <c r="C24" s="11"/>
      <c r="D24" s="11"/>
      <c r="E24" s="11"/>
      <c r="F24" s="11"/>
      <c r="G24" s="11">
        <f t="shared" si="0"/>
        <v>0</v>
      </c>
      <c r="H24" s="17">
        <f t="shared" si="1"/>
        <v>0</v>
      </c>
      <c r="I24" s="16">
        <f t="shared" si="2"/>
        <v>0</v>
      </c>
      <c r="J24" s="16">
        <f>ROUND(G24/440-1,2)</f>
        <v>-1</v>
      </c>
    </row>
    <row r="25" spans="1:10" x14ac:dyDescent="0.25">
      <c r="A25" s="1" t="s">
        <v>16</v>
      </c>
      <c r="B25" s="1" t="s">
        <v>43</v>
      </c>
      <c r="C25" s="11"/>
      <c r="D25" s="11"/>
      <c r="E25" s="11"/>
      <c r="F25" s="11"/>
      <c r="G25" s="11">
        <f t="shared" si="0"/>
        <v>0</v>
      </c>
      <c r="H25" s="17">
        <f t="shared" si="1"/>
        <v>0</v>
      </c>
      <c r="I25" s="16">
        <f t="shared" si="2"/>
        <v>0</v>
      </c>
      <c r="J25" s="16">
        <f>ROUND(G25/880-1,2)</f>
        <v>-1</v>
      </c>
    </row>
    <row r="26" spans="1:10" x14ac:dyDescent="0.25">
      <c r="A26" s="1" t="s">
        <v>16</v>
      </c>
      <c r="B26" s="1" t="s">
        <v>42</v>
      </c>
      <c r="C26" s="11"/>
      <c r="D26" s="11"/>
      <c r="E26" s="11"/>
      <c r="F26" s="11"/>
      <c r="G26" s="11">
        <f t="shared" si="0"/>
        <v>0</v>
      </c>
      <c r="H26" s="17">
        <f t="shared" si="1"/>
        <v>0</v>
      </c>
      <c r="I26" s="16">
        <f t="shared" si="2"/>
        <v>0</v>
      </c>
      <c r="J26" s="16">
        <f>ROUND(G26/700-1,2)</f>
        <v>-1</v>
      </c>
    </row>
    <row r="27" spans="1:10" x14ac:dyDescent="0.25">
      <c r="A27" s="1" t="s">
        <v>16</v>
      </c>
      <c r="B27" s="1" t="s">
        <v>33</v>
      </c>
      <c r="C27" s="11"/>
      <c r="D27" s="11"/>
      <c r="E27" s="11"/>
      <c r="F27" s="11"/>
      <c r="G27" s="11">
        <f t="shared" si="0"/>
        <v>0</v>
      </c>
      <c r="H27" s="17">
        <f t="shared" si="1"/>
        <v>0</v>
      </c>
      <c r="I27" s="16">
        <f t="shared" si="2"/>
        <v>0</v>
      </c>
      <c r="J27" s="16"/>
    </row>
    <row r="28" spans="1:10" x14ac:dyDescent="0.25">
      <c r="A28" s="1" t="s">
        <v>16</v>
      </c>
      <c r="B28" s="1" t="s">
        <v>34</v>
      </c>
      <c r="C28" s="11"/>
      <c r="D28" s="11"/>
      <c r="E28" s="11"/>
      <c r="F28" s="11"/>
      <c r="G28" s="11">
        <f t="shared" si="0"/>
        <v>0</v>
      </c>
      <c r="H28" s="17">
        <f t="shared" si="1"/>
        <v>0</v>
      </c>
      <c r="I28" s="16">
        <f t="shared" si="2"/>
        <v>0</v>
      </c>
      <c r="J28" s="16"/>
    </row>
    <row r="29" spans="1:10" x14ac:dyDescent="0.25">
      <c r="A29" s="1" t="s">
        <v>16</v>
      </c>
      <c r="B29" s="1" t="s">
        <v>94</v>
      </c>
      <c r="C29" s="11"/>
      <c r="D29" s="11"/>
      <c r="E29" s="11"/>
      <c r="F29" s="11"/>
      <c r="G29" s="11">
        <f t="shared" si="0"/>
        <v>0</v>
      </c>
      <c r="H29" s="17">
        <f t="shared" si="1"/>
        <v>0</v>
      </c>
      <c r="I29" s="16">
        <f t="shared" si="2"/>
        <v>0</v>
      </c>
      <c r="J29" s="16"/>
    </row>
    <row r="30" spans="1:10" x14ac:dyDescent="0.25">
      <c r="A30" s="1" t="s">
        <v>16</v>
      </c>
      <c r="B30" s="1" t="s">
        <v>17</v>
      </c>
      <c r="C30" s="11"/>
      <c r="D30" s="11"/>
      <c r="E30" s="11"/>
      <c r="F30" s="11"/>
      <c r="G30" s="11">
        <f t="shared" si="0"/>
        <v>0</v>
      </c>
      <c r="H30" s="17">
        <f t="shared" si="1"/>
        <v>0</v>
      </c>
      <c r="I30" s="16">
        <f t="shared" si="2"/>
        <v>0</v>
      </c>
      <c r="J30" s="16"/>
    </row>
    <row r="31" spans="1:10" x14ac:dyDescent="0.25">
      <c r="A31" s="1" t="s">
        <v>16</v>
      </c>
      <c r="B31" s="1" t="s">
        <v>23</v>
      </c>
      <c r="C31" s="11"/>
      <c r="D31" s="11"/>
      <c r="E31" s="11"/>
      <c r="F31" s="11"/>
      <c r="G31" s="11">
        <f t="shared" si="0"/>
        <v>0</v>
      </c>
      <c r="H31" s="17">
        <f t="shared" si="1"/>
        <v>0</v>
      </c>
      <c r="I31" s="16">
        <f t="shared" si="2"/>
        <v>0</v>
      </c>
      <c r="J31" s="16"/>
    </row>
    <row r="32" spans="1:10" x14ac:dyDescent="0.25">
      <c r="A32" s="1" t="s">
        <v>44</v>
      </c>
      <c r="B32" s="1" t="s">
        <v>45</v>
      </c>
      <c r="C32" s="11">
        <v>49530</v>
      </c>
      <c r="D32" s="11"/>
      <c r="E32" s="11"/>
      <c r="F32" s="11"/>
      <c r="G32" s="11">
        <f t="shared" si="0"/>
        <v>49530</v>
      </c>
      <c r="H32" s="17">
        <f t="shared" si="1"/>
        <v>32.31</v>
      </c>
      <c r="I32" s="16">
        <f t="shared" si="2"/>
        <v>0.24399999999999999</v>
      </c>
      <c r="J32" s="16">
        <f>ROUND(G32/47280-1,2)</f>
        <v>0.05</v>
      </c>
    </row>
    <row r="33" spans="1:10" x14ac:dyDescent="0.25">
      <c r="A33" s="1" t="s">
        <v>44</v>
      </c>
      <c r="B33" s="1" t="s">
        <v>47</v>
      </c>
      <c r="C33" s="11"/>
      <c r="D33" s="11"/>
      <c r="E33" s="11"/>
      <c r="F33" s="11">
        <v>5580</v>
      </c>
      <c r="G33" s="11">
        <f t="shared" si="0"/>
        <v>5580</v>
      </c>
      <c r="H33" s="17">
        <f t="shared" si="1"/>
        <v>3.64</v>
      </c>
      <c r="I33" s="16">
        <f t="shared" si="2"/>
        <v>2.8000000000000001E-2</v>
      </c>
      <c r="J33" s="16">
        <f>ROUND(G33/9780-1,2)</f>
        <v>-0.43</v>
      </c>
    </row>
    <row r="34" spans="1:10" x14ac:dyDescent="0.25">
      <c r="A34" s="1" t="s">
        <v>44</v>
      </c>
      <c r="B34" s="1" t="s">
        <v>46</v>
      </c>
      <c r="C34" s="11"/>
      <c r="D34" s="11"/>
      <c r="E34" s="11">
        <v>10310</v>
      </c>
      <c r="F34" s="11"/>
      <c r="G34" s="11">
        <f t="shared" si="0"/>
        <v>10310</v>
      </c>
      <c r="H34" s="17">
        <f t="shared" si="1"/>
        <v>6.73</v>
      </c>
      <c r="I34" s="16">
        <f t="shared" si="2"/>
        <v>5.0999999999999997E-2</v>
      </c>
      <c r="J34" s="16">
        <f>ROUND(G34/4420-1,2)</f>
        <v>1.33</v>
      </c>
    </row>
    <row r="35" spans="1:10" x14ac:dyDescent="0.25">
      <c r="A35" s="21" t="s">
        <v>12</v>
      </c>
      <c r="B35" s="21"/>
      <c r="C35" s="12">
        <f t="shared" ref="C35:H35" si="3">SUM(C8:C34)</f>
        <v>158890</v>
      </c>
      <c r="D35" s="12">
        <f t="shared" si="3"/>
        <v>83</v>
      </c>
      <c r="E35" s="12">
        <f t="shared" si="3"/>
        <v>38154</v>
      </c>
      <c r="F35" s="12">
        <f t="shared" si="3"/>
        <v>5580</v>
      </c>
      <c r="G35" s="12">
        <f t="shared" si="3"/>
        <v>202707</v>
      </c>
      <c r="H35" s="15">
        <f t="shared" si="3"/>
        <v>132.22999999999999</v>
      </c>
      <c r="I35" s="18"/>
      <c r="J35" s="18"/>
    </row>
    <row r="36" spans="1:10" x14ac:dyDescent="0.25">
      <c r="A36" s="21" t="s">
        <v>14</v>
      </c>
      <c r="B36" s="21"/>
      <c r="C36" s="13">
        <f>ROUND(C35/G35,2)</f>
        <v>0.78</v>
      </c>
      <c r="D36" s="13">
        <f>ROUND(D35/G35,2)</f>
        <v>0</v>
      </c>
      <c r="E36" s="13">
        <f>ROUND(E35/G35,2)</f>
        <v>0.19</v>
      </c>
      <c r="F36" s="13">
        <f>ROUND(F35/G35,2)</f>
        <v>0.03</v>
      </c>
      <c r="G36" s="14"/>
      <c r="H36" s="14"/>
      <c r="I36" s="18"/>
      <c r="J36" s="18"/>
    </row>
    <row r="37" spans="1:10" x14ac:dyDescent="0.25">
      <c r="A37" s="2" t="s">
        <v>52</v>
      </c>
      <c r="B37" s="2"/>
      <c r="C37" s="14"/>
      <c r="D37" s="14"/>
      <c r="E37" s="14"/>
      <c r="F37" s="14"/>
      <c r="G37" s="14"/>
      <c r="H37" s="14"/>
      <c r="I37" s="18"/>
      <c r="J37" s="18"/>
    </row>
    <row r="38" spans="1:10" x14ac:dyDescent="0.25">
      <c r="C38" s="9"/>
      <c r="D38" s="9"/>
      <c r="E38" s="9"/>
      <c r="F38" s="9"/>
      <c r="G38" s="9"/>
      <c r="H38" s="9"/>
      <c r="I38" s="10"/>
      <c r="J38" s="10"/>
    </row>
    <row r="39" spans="1:10" x14ac:dyDescent="0.25">
      <c r="C39" s="9"/>
      <c r="D39" s="9"/>
      <c r="E39" s="9"/>
      <c r="F39" s="9"/>
      <c r="G39" s="9"/>
      <c r="H39" s="9"/>
      <c r="I39" s="10"/>
      <c r="J39" s="10"/>
    </row>
    <row r="40" spans="1:10" x14ac:dyDescent="0.25">
      <c r="C40" s="9"/>
      <c r="D40" s="9"/>
      <c r="E40" s="9"/>
      <c r="F40" s="9"/>
      <c r="G40" s="9"/>
      <c r="H40" s="9"/>
      <c r="I40" s="10"/>
      <c r="J40" s="10"/>
    </row>
    <row r="41" spans="1:10" x14ac:dyDescent="0.25">
      <c r="A41" s="21" t="s">
        <v>53</v>
      </c>
      <c r="B41" s="21"/>
      <c r="C41" s="12" t="s">
        <v>8</v>
      </c>
      <c r="D41" s="12" t="s">
        <v>9</v>
      </c>
      <c r="E41" s="12" t="s">
        <v>10</v>
      </c>
      <c r="F41" s="12" t="s">
        <v>11</v>
      </c>
      <c r="G41" s="12" t="s">
        <v>12</v>
      </c>
      <c r="H41" s="15" t="s">
        <v>13</v>
      </c>
      <c r="I41" s="18"/>
      <c r="J41" s="18"/>
    </row>
    <row r="42" spans="1:10" x14ac:dyDescent="0.25">
      <c r="A42" s="20" t="s">
        <v>54</v>
      </c>
      <c r="B42" s="20"/>
      <c r="C42" s="11">
        <v>109360</v>
      </c>
      <c r="D42" s="11">
        <v>83</v>
      </c>
      <c r="E42" s="11">
        <v>27844</v>
      </c>
      <c r="F42" s="11">
        <v>0</v>
      </c>
      <c r="G42" s="11">
        <f>SUM(C42:F42)</f>
        <v>137287</v>
      </c>
      <c r="H42" s="17">
        <f>ROUND(G42/1533,2)</f>
        <v>89.55</v>
      </c>
      <c r="I42" s="10"/>
      <c r="J42" s="10"/>
    </row>
    <row r="43" spans="1:10" x14ac:dyDescent="0.25">
      <c r="A43" s="20" t="s">
        <v>55</v>
      </c>
      <c r="B43" s="20"/>
      <c r="C43" s="11">
        <v>49530</v>
      </c>
      <c r="D43" s="11">
        <v>0</v>
      </c>
      <c r="E43" s="11">
        <v>10310</v>
      </c>
      <c r="F43" s="11">
        <v>5580</v>
      </c>
      <c r="G43" s="11">
        <f>SUM(C43:F43)</f>
        <v>65420</v>
      </c>
      <c r="H43" s="17">
        <f>ROUND(G43/1533,2)</f>
        <v>42.67</v>
      </c>
      <c r="I43" s="10"/>
      <c r="J43" s="10"/>
    </row>
    <row r="44" spans="1:10" x14ac:dyDescent="0.25">
      <c r="A44" s="20" t="s">
        <v>56</v>
      </c>
      <c r="B44" s="20"/>
      <c r="C44" s="11"/>
      <c r="D44" s="11"/>
      <c r="E44" s="11"/>
      <c r="F44" s="11"/>
      <c r="G44" s="11">
        <f>SUM(C44:F44)</f>
        <v>0</v>
      </c>
      <c r="H44" s="17">
        <f>ROUND(G44/1533,2)</f>
        <v>0</v>
      </c>
      <c r="I44" s="10"/>
      <c r="J44" s="10"/>
    </row>
    <row r="45" spans="1:10" x14ac:dyDescent="0.25">
      <c r="C45" s="9"/>
      <c r="D45" s="9"/>
      <c r="E45" s="9"/>
      <c r="F45" s="9"/>
      <c r="G45" s="9"/>
      <c r="H45" s="9"/>
      <c r="I45" s="10"/>
      <c r="J45" s="10"/>
    </row>
    <row r="46" spans="1:10" x14ac:dyDescent="0.25">
      <c r="C46" s="9"/>
      <c r="D46" s="9"/>
      <c r="E46" s="9"/>
      <c r="F46" s="9"/>
      <c r="G46" s="9"/>
      <c r="H46" s="9"/>
      <c r="I46" s="10"/>
      <c r="J46" s="10"/>
    </row>
    <row r="47" spans="1:10" x14ac:dyDescent="0.25">
      <c r="C47" s="9"/>
      <c r="D47" s="9"/>
      <c r="E47" s="9"/>
      <c r="F47" s="9"/>
      <c r="G47" s="9"/>
      <c r="H47" s="9"/>
      <c r="I47" s="10"/>
      <c r="J47" s="10"/>
    </row>
    <row r="48" spans="1:10" x14ac:dyDescent="0.25">
      <c r="C48" s="9"/>
      <c r="D48" s="9"/>
      <c r="E48" s="9"/>
      <c r="F48" s="9"/>
      <c r="G48" s="9"/>
      <c r="H48" s="9"/>
      <c r="I48" s="10"/>
      <c r="J48" s="10"/>
    </row>
    <row r="49" spans="1:10" x14ac:dyDescent="0.25">
      <c r="A49" s="21" t="s">
        <v>57</v>
      </c>
      <c r="B49" s="21"/>
      <c r="C49" s="15" t="s">
        <v>2</v>
      </c>
      <c r="D49" s="15">
        <v>2023</v>
      </c>
      <c r="E49" s="15" t="s">
        <v>59</v>
      </c>
      <c r="F49" s="14"/>
      <c r="G49" s="15" t="s">
        <v>60</v>
      </c>
      <c r="H49" s="15" t="s">
        <v>2</v>
      </c>
      <c r="I49" s="13" t="s">
        <v>61</v>
      </c>
      <c r="J49" s="13" t="s">
        <v>59</v>
      </c>
    </row>
    <row r="50" spans="1:10" x14ac:dyDescent="0.25">
      <c r="A50" s="20" t="s">
        <v>58</v>
      </c>
      <c r="B50" s="20"/>
      <c r="C50" s="16">
        <f>ROUND(0.7517, 4)</f>
        <v>0.75170000000000003</v>
      </c>
      <c r="D50" s="16">
        <f>ROUND(0.7468, 4)</f>
        <v>0.74680000000000002</v>
      </c>
      <c r="E50" s="16">
        <f>ROUND(0.777, 4)</f>
        <v>0.77700000000000002</v>
      </c>
      <c r="F50" s="9"/>
      <c r="G50" s="15" t="s">
        <v>62</v>
      </c>
      <c r="H50" s="22" t="s">
        <v>63</v>
      </c>
      <c r="I50" s="24" t="s">
        <v>64</v>
      </c>
      <c r="J50" s="24" t="s">
        <v>65</v>
      </c>
    </row>
    <row r="51" spans="1:10" x14ac:dyDescent="0.25">
      <c r="A51" s="20" t="s">
        <v>66</v>
      </c>
      <c r="B51" s="20"/>
      <c r="C51" s="16">
        <f>ROUND(0.7408, 4)</f>
        <v>0.74080000000000001</v>
      </c>
      <c r="D51" s="16">
        <f>ROUND(0.7361, 4)</f>
        <v>0.73609999999999998</v>
      </c>
      <c r="E51" s="16">
        <f>ROUND(0.7608, 4)</f>
        <v>0.76080000000000003</v>
      </c>
      <c r="F51" s="9"/>
      <c r="G51" s="15" t="s">
        <v>67</v>
      </c>
      <c r="H51" s="23"/>
      <c r="I51" s="25"/>
      <c r="J51" s="25"/>
    </row>
    <row r="52" spans="1:10" x14ac:dyDescent="0.25">
      <c r="C52" s="9"/>
      <c r="D52" s="9"/>
      <c r="E52" s="9"/>
      <c r="F52" s="9"/>
      <c r="G52" s="9"/>
      <c r="H52" s="9"/>
      <c r="I52" s="10"/>
      <c r="J52" s="10"/>
    </row>
    <row r="53" spans="1:10" x14ac:dyDescent="0.25">
      <c r="C53" s="9"/>
      <c r="D53" s="9"/>
      <c r="E53" s="9"/>
      <c r="F53" s="9"/>
      <c r="G53" s="9"/>
      <c r="H53" s="9"/>
      <c r="I53" s="10"/>
      <c r="J53" s="10"/>
    </row>
    <row r="54" spans="1:10" x14ac:dyDescent="0.25">
      <c r="C54" s="9"/>
      <c r="D54" s="9"/>
      <c r="E54" s="9"/>
      <c r="F54" s="9"/>
      <c r="G54" s="9"/>
      <c r="H54" s="9"/>
      <c r="I54" s="10"/>
      <c r="J54" s="10"/>
    </row>
    <row r="55" spans="1:10" x14ac:dyDescent="0.25">
      <c r="A55" s="21" t="s">
        <v>68</v>
      </c>
      <c r="B55" s="21"/>
      <c r="C55" s="15" t="s">
        <v>2</v>
      </c>
      <c r="D55" s="15" t="s">
        <v>110</v>
      </c>
      <c r="E55" s="15" t="s">
        <v>70</v>
      </c>
      <c r="F55" s="15" t="s">
        <v>71</v>
      </c>
      <c r="G55" s="15" t="s">
        <v>72</v>
      </c>
      <c r="H55" s="14"/>
      <c r="I55" s="18"/>
      <c r="J55" s="18"/>
    </row>
    <row r="56" spans="1:10" x14ac:dyDescent="0.25">
      <c r="A56" s="20" t="s">
        <v>73</v>
      </c>
      <c r="B56" s="20"/>
      <c r="C56" s="17">
        <v>32.31</v>
      </c>
      <c r="D56" s="17">
        <v>85.89</v>
      </c>
      <c r="E56" s="17">
        <v>81.84</v>
      </c>
      <c r="F56" s="17">
        <v>48</v>
      </c>
      <c r="G56" s="17">
        <f>12/4*C56</f>
        <v>96.93</v>
      </c>
      <c r="H56" s="9"/>
      <c r="I56" s="10"/>
      <c r="J56" s="10"/>
    </row>
    <row r="57" spans="1:10" x14ac:dyDescent="0.25">
      <c r="A57" s="20" t="s">
        <v>74</v>
      </c>
      <c r="B57" s="20"/>
      <c r="C57" s="17">
        <v>30.35</v>
      </c>
      <c r="D57" s="17">
        <v>85.5</v>
      </c>
      <c r="E57" s="17">
        <v>55.63</v>
      </c>
      <c r="F57" s="17">
        <v>55.33</v>
      </c>
      <c r="G57" s="17">
        <f>12/4*C57</f>
        <v>91.050000000000011</v>
      </c>
      <c r="H57" s="9"/>
      <c r="I57" s="10"/>
      <c r="J57" s="10"/>
    </row>
    <row r="58" spans="1:10" x14ac:dyDescent="0.25">
      <c r="A58" s="20" t="s">
        <v>75</v>
      </c>
      <c r="B58" s="20"/>
      <c r="C58" s="17">
        <v>89.55</v>
      </c>
      <c r="D58" s="17">
        <v>249.43</v>
      </c>
      <c r="E58" s="17">
        <v>257.88</v>
      </c>
      <c r="F58" s="17">
        <v>242.78</v>
      </c>
      <c r="G58" s="17">
        <f>12/4*C58</f>
        <v>268.64999999999998</v>
      </c>
      <c r="H58" s="9"/>
      <c r="I58" s="10"/>
      <c r="J58" s="10"/>
    </row>
    <row r="59" spans="1:10" x14ac:dyDescent="0.25">
      <c r="A59" s="20" t="s">
        <v>76</v>
      </c>
      <c r="B59" s="20"/>
      <c r="C59" s="17">
        <v>42.67</v>
      </c>
      <c r="D59" s="17">
        <v>109.38</v>
      </c>
      <c r="E59" s="17">
        <v>103.14</v>
      </c>
      <c r="F59" s="17">
        <v>68.31</v>
      </c>
      <c r="G59" s="17">
        <f>12/4*C59</f>
        <v>128.01</v>
      </c>
      <c r="H59" s="9"/>
      <c r="I59" s="10"/>
      <c r="J59" s="10"/>
    </row>
    <row r="60" spans="1:10" x14ac:dyDescent="0.25">
      <c r="C60" s="9"/>
      <c r="D60" s="9"/>
      <c r="E60" s="9"/>
      <c r="F60" s="9"/>
      <c r="G60" s="9"/>
      <c r="H60" s="9"/>
      <c r="I60" s="10"/>
      <c r="J60" s="10"/>
    </row>
    <row r="61" spans="1:10" x14ac:dyDescent="0.25">
      <c r="C61" s="9"/>
      <c r="D61" s="9"/>
      <c r="E61" s="9"/>
      <c r="F61" s="9"/>
      <c r="G61" s="9"/>
      <c r="H61" s="9"/>
      <c r="I61" s="10"/>
      <c r="J61" s="10"/>
    </row>
    <row r="62" spans="1:10" x14ac:dyDescent="0.25">
      <c r="A62" s="19" t="s">
        <v>60</v>
      </c>
      <c r="B62" s="26"/>
      <c r="C62" s="9"/>
      <c r="D62" s="9"/>
      <c r="E62" s="9"/>
      <c r="F62" s="9"/>
      <c r="G62" s="9"/>
      <c r="H62" s="9"/>
      <c r="I62" s="10"/>
      <c r="J62" s="10"/>
    </row>
    <row r="63" spans="1:10" x14ac:dyDescent="0.25">
      <c r="A63" s="3" t="s">
        <v>77</v>
      </c>
      <c r="B63" s="1" t="s">
        <v>111</v>
      </c>
      <c r="C63" s="9"/>
      <c r="D63" s="9"/>
      <c r="E63" s="9"/>
      <c r="F63" s="9"/>
      <c r="G63" s="9"/>
      <c r="H63" s="9"/>
      <c r="I63" s="10"/>
      <c r="J63" s="10"/>
    </row>
    <row r="64" spans="1:10" x14ac:dyDescent="0.25">
      <c r="A64" s="3" t="s">
        <v>70</v>
      </c>
      <c r="B64" s="1" t="s">
        <v>79</v>
      </c>
      <c r="C64" s="9"/>
      <c r="D64" s="9"/>
      <c r="E64" s="9"/>
      <c r="F64" s="9"/>
      <c r="G64" s="9"/>
      <c r="H64" s="9"/>
      <c r="I64" s="10"/>
      <c r="J64" s="10"/>
    </row>
    <row r="65" spans="1:10" x14ac:dyDescent="0.25">
      <c r="A65" s="3" t="s">
        <v>71</v>
      </c>
      <c r="B65" s="1" t="s">
        <v>80</v>
      </c>
      <c r="C65" s="9"/>
      <c r="D65" s="9"/>
      <c r="E65" s="9"/>
      <c r="F65" s="9"/>
      <c r="G65" s="9"/>
      <c r="H65" s="9"/>
      <c r="I65" s="10"/>
      <c r="J65" s="10"/>
    </row>
    <row r="66" spans="1:10" x14ac:dyDescent="0.25">
      <c r="A66" s="3" t="s">
        <v>72</v>
      </c>
      <c r="B66" s="1" t="s">
        <v>81</v>
      </c>
      <c r="C66" s="9"/>
      <c r="D66" s="9"/>
      <c r="E66" s="9"/>
      <c r="F66" s="9"/>
      <c r="G66" s="9"/>
      <c r="H66" s="9"/>
      <c r="I66" s="10"/>
      <c r="J66" s="10"/>
    </row>
    <row r="67" spans="1:10" x14ac:dyDescent="0.25">
      <c r="C67" s="9"/>
      <c r="D67" s="9"/>
      <c r="E67" s="9"/>
      <c r="F67" s="9"/>
      <c r="G67" s="9"/>
      <c r="H67" s="9"/>
      <c r="I67" s="10"/>
      <c r="J67" s="10"/>
    </row>
    <row r="68" spans="1:10" x14ac:dyDescent="0.25">
      <c r="C68" s="9"/>
      <c r="D68" s="9"/>
      <c r="E68" s="9"/>
      <c r="F68" s="9"/>
      <c r="G68" s="9"/>
      <c r="H68" s="9"/>
      <c r="I68" s="10"/>
      <c r="J68" s="10"/>
    </row>
    <row r="69" spans="1:10" x14ac:dyDescent="0.25">
      <c r="C69" s="9"/>
      <c r="D69" s="9"/>
      <c r="E69" s="9"/>
      <c r="F69" s="9"/>
      <c r="G69" s="9"/>
      <c r="H69" s="9"/>
      <c r="I69" s="10"/>
      <c r="J69" s="10"/>
    </row>
    <row r="70" spans="1:10" x14ac:dyDescent="0.25">
      <c r="C70" s="9"/>
      <c r="D70" s="9"/>
      <c r="E70" s="9"/>
      <c r="F70" s="9"/>
      <c r="G70" s="9"/>
      <c r="H70" s="9"/>
      <c r="I70" s="10"/>
      <c r="J70" s="10"/>
    </row>
    <row r="71" spans="1:10" x14ac:dyDescent="0.25">
      <c r="C71" s="9"/>
      <c r="D71" s="9"/>
      <c r="E71" s="9"/>
      <c r="F71" s="9"/>
      <c r="G71" s="9"/>
      <c r="H71" s="9"/>
      <c r="I71" s="10"/>
      <c r="J71" s="10"/>
    </row>
    <row r="72" spans="1:10" x14ac:dyDescent="0.25">
      <c r="C72" s="9"/>
      <c r="D72" s="9"/>
      <c r="E72" s="9"/>
      <c r="F72" s="9"/>
      <c r="G72" s="9"/>
      <c r="H72" s="9"/>
      <c r="I72" s="10"/>
      <c r="J72" s="10"/>
    </row>
    <row r="73" spans="1:10" x14ac:dyDescent="0.25">
      <c r="C73" s="9"/>
      <c r="D73" s="9"/>
      <c r="E73" s="9"/>
      <c r="F73" s="9"/>
      <c r="G73" s="9"/>
      <c r="H73" s="9"/>
      <c r="I73" s="10"/>
      <c r="J73" s="10"/>
    </row>
    <row r="74" spans="1:10" x14ac:dyDescent="0.25">
      <c r="C74" s="9"/>
      <c r="D74" s="9"/>
      <c r="E74" s="9"/>
      <c r="F74" s="9"/>
      <c r="G74" s="9"/>
      <c r="H74" s="9"/>
      <c r="I74" s="10"/>
      <c r="J74" s="10"/>
    </row>
    <row r="75" spans="1:10" x14ac:dyDescent="0.25">
      <c r="C75" s="9"/>
      <c r="D75" s="9"/>
      <c r="E75" s="9"/>
      <c r="F75" s="9"/>
      <c r="G75" s="9"/>
      <c r="H75" s="9"/>
      <c r="I75" s="10"/>
      <c r="J75" s="10"/>
    </row>
    <row r="76" spans="1:10" x14ac:dyDescent="0.25">
      <c r="C76" s="9"/>
      <c r="D76" s="9"/>
      <c r="E76" s="9"/>
      <c r="F76" s="9"/>
      <c r="G76" s="9"/>
      <c r="H76" s="9"/>
      <c r="I76" s="10"/>
      <c r="J76" s="10"/>
    </row>
    <row r="77" spans="1:10" x14ac:dyDescent="0.25">
      <c r="C77" s="9"/>
      <c r="D77" s="9"/>
      <c r="E77" s="9"/>
      <c r="F77" s="9"/>
      <c r="G77" s="9"/>
      <c r="H77" s="9"/>
      <c r="I77" s="10"/>
      <c r="J77" s="10"/>
    </row>
    <row r="78" spans="1:10" x14ac:dyDescent="0.25">
      <c r="C78" s="9"/>
      <c r="D78" s="9"/>
      <c r="E78" s="9"/>
      <c r="F78" s="9"/>
      <c r="G78" s="9"/>
      <c r="H78" s="9"/>
      <c r="I78" s="10"/>
      <c r="J78" s="10"/>
    </row>
  </sheetData>
  <mergeCells count="19">
    <mergeCell ref="A57:B57"/>
    <mergeCell ref="A58:B58"/>
    <mergeCell ref="A59:B59"/>
    <mergeCell ref="A62:B62"/>
    <mergeCell ref="I50:I51"/>
    <mergeCell ref="J50:J51"/>
    <mergeCell ref="A51:B51"/>
    <mergeCell ref="A55:B55"/>
    <mergeCell ref="A56:B56"/>
    <mergeCell ref="A43:B43"/>
    <mergeCell ref="A44:B44"/>
    <mergeCell ref="A49:B49"/>
    <mergeCell ref="A50:B50"/>
    <mergeCell ref="H50:H51"/>
    <mergeCell ref="C7:G7"/>
    <mergeCell ref="A35:B35"/>
    <mergeCell ref="A36:B36"/>
    <mergeCell ref="A41:B41"/>
    <mergeCell ref="A42:B4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80</vt:i4>
      </vt:variant>
    </vt:vector>
  </HeadingPairs>
  <TitlesOfParts>
    <vt:vector size="80" baseType="lpstr">
      <vt:lpstr>AMARO</vt:lpstr>
      <vt:lpstr>AMPEZZO</vt:lpstr>
      <vt:lpstr>ARTA TERME</vt:lpstr>
      <vt:lpstr>ARTEGNA</vt:lpstr>
      <vt:lpstr>BASILIANO</vt:lpstr>
      <vt:lpstr>BERTIOLO</vt:lpstr>
      <vt:lpstr>BORDANO</vt:lpstr>
      <vt:lpstr>BUTTRIO</vt:lpstr>
      <vt:lpstr>CAMINO AL TAGLIAMENTO</vt:lpstr>
      <vt:lpstr>CAMPOFORMIDO</vt:lpstr>
      <vt:lpstr>CAVAZZO CARNICO</vt:lpstr>
      <vt:lpstr>CERCIVENTO</vt:lpstr>
      <vt:lpstr>CODROIPO</vt:lpstr>
      <vt:lpstr>COLLOREDO DI MONTE ALBANO</vt:lpstr>
      <vt:lpstr>COMEGLIANS</vt:lpstr>
      <vt:lpstr>CORNO DI ROSAZZO</vt:lpstr>
      <vt:lpstr>COSEANO</vt:lpstr>
      <vt:lpstr>DIGNANO</vt:lpstr>
      <vt:lpstr>DOGNA</vt:lpstr>
      <vt:lpstr>ENEMONZO</vt:lpstr>
      <vt:lpstr>FAGAGNA</vt:lpstr>
      <vt:lpstr>FLAIBANO</vt:lpstr>
      <vt:lpstr>FORGARIA NEL FRIULI</vt:lpstr>
      <vt:lpstr>FORNI AVOLTRI</vt:lpstr>
      <vt:lpstr>FORNI DI SOPRA</vt:lpstr>
      <vt:lpstr>FORNI DI SOTTO</vt:lpstr>
      <vt:lpstr>GEMONA DEL FRIULI</vt:lpstr>
      <vt:lpstr>LAUCO</vt:lpstr>
      <vt:lpstr>LESTIZZA</vt:lpstr>
      <vt:lpstr>LUSEVERA</vt:lpstr>
      <vt:lpstr>MAGNANO IN RIVIERA</vt:lpstr>
      <vt:lpstr>MAJANO</vt:lpstr>
      <vt:lpstr>MARTIGNACCO</vt:lpstr>
      <vt:lpstr>MOGGIO UDINESE</vt:lpstr>
      <vt:lpstr>MOIMACCO</vt:lpstr>
      <vt:lpstr>MONTENARS</vt:lpstr>
      <vt:lpstr>MORTEGLIANO</vt:lpstr>
      <vt:lpstr>MORUZZO</vt:lpstr>
      <vt:lpstr>NIMIS</vt:lpstr>
      <vt:lpstr>OSOPPO</vt:lpstr>
      <vt:lpstr>OVARO</vt:lpstr>
      <vt:lpstr>PAGNACCO</vt:lpstr>
      <vt:lpstr>PALUZZA</vt:lpstr>
      <vt:lpstr>PASIAN DI PRATO</vt:lpstr>
      <vt:lpstr>PAULARO</vt:lpstr>
      <vt:lpstr>PAVIA DI UDINE</vt:lpstr>
      <vt:lpstr>POZZUOLO DEL FRIULI</vt:lpstr>
      <vt:lpstr>PRADAMANO</vt:lpstr>
      <vt:lpstr>PRATO CARNICO</vt:lpstr>
      <vt:lpstr>PREMARIACCO</vt:lpstr>
      <vt:lpstr>PREONE</vt:lpstr>
      <vt:lpstr>RAGOGNA</vt:lpstr>
      <vt:lpstr>RAVASCLETTO</vt:lpstr>
      <vt:lpstr>RAVEO</vt:lpstr>
      <vt:lpstr>REANA DEL ROJALE</vt:lpstr>
      <vt:lpstr>REMANZACCO</vt:lpstr>
      <vt:lpstr>RESIUTTA</vt:lpstr>
      <vt:lpstr>RIGOLATO</vt:lpstr>
      <vt:lpstr>RIVE D'ARCANO</vt:lpstr>
      <vt:lpstr>RIVIGNANO TEOR</vt:lpstr>
      <vt:lpstr>SAN DANIELE DEL FRIULI</vt:lpstr>
      <vt:lpstr>SAN DORLIGO DELLA VALLE</vt:lpstr>
      <vt:lpstr>SAN GIOVANNI AL NATISONE</vt:lpstr>
      <vt:lpstr>SAN VITO DI FAGAGNA</vt:lpstr>
      <vt:lpstr>SAPPADA</vt:lpstr>
      <vt:lpstr>SAURIS</vt:lpstr>
      <vt:lpstr>SEDEGLIANO</vt:lpstr>
      <vt:lpstr>SOCCHIEVE</vt:lpstr>
      <vt:lpstr>SUTRIO</vt:lpstr>
      <vt:lpstr>TAIPANA</vt:lpstr>
      <vt:lpstr>TARCENTO</vt:lpstr>
      <vt:lpstr>TOLMEZZO</vt:lpstr>
      <vt:lpstr>TRASAGHIS</vt:lpstr>
      <vt:lpstr>TREPPO GRANDE</vt:lpstr>
      <vt:lpstr>TREPPO LIGOSULLO</vt:lpstr>
      <vt:lpstr>VARMO</vt:lpstr>
      <vt:lpstr>VENZONE</vt:lpstr>
      <vt:lpstr>VERZEGNIS</vt:lpstr>
      <vt:lpstr>VILLA SANTINA</vt:lpstr>
      <vt:lpstr>ZUGLIO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Michela Dosualdo</cp:lastModifiedBy>
  <dcterms:created xsi:type="dcterms:W3CDTF">2024-06-21T11:36:16Z</dcterms:created>
  <dcterms:modified xsi:type="dcterms:W3CDTF">2024-06-21T11:41:52Z</dcterms:modified>
  <cp:category/>
</cp:coreProperties>
</file>