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X:\AREA COMUNICAZIONE\SITO INTERNET A&amp;T2000\RISULTATI RACCOLTA\2024\"/>
    </mc:Choice>
  </mc:AlternateContent>
  <xr:revisionPtr revIDLastSave="0" documentId="8_{8EEFC22E-0F59-4F3B-A0B9-35A2E9A45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ARO" sheetId="1" r:id="rId1"/>
    <sheet name="AMPEZZO" sheetId="2" r:id="rId2"/>
    <sheet name="ARTA TERME" sheetId="3" r:id="rId3"/>
    <sheet name="ARTEGNA" sheetId="4" r:id="rId4"/>
    <sheet name="BASILIANO" sheetId="5" r:id="rId5"/>
    <sheet name="BERTIOLO" sheetId="6" r:id="rId6"/>
    <sheet name="BORDANO" sheetId="7" r:id="rId7"/>
    <sheet name="BUTTRIO" sheetId="8" r:id="rId8"/>
    <sheet name="CAMINO AL TAGLIAMENTO" sheetId="9" r:id="rId9"/>
    <sheet name="CAMPOFORMIDO" sheetId="10" r:id="rId10"/>
    <sheet name="CAVAZZO CARNICO" sheetId="11" r:id="rId11"/>
    <sheet name="CERCIVENTO" sheetId="12" r:id="rId12"/>
    <sheet name="CODROIPO" sheetId="13" r:id="rId13"/>
    <sheet name="COLLOREDO DI MONTE ALBANO" sheetId="14" r:id="rId14"/>
    <sheet name="COMEGLIANS" sheetId="15" r:id="rId15"/>
    <sheet name="CORNO DI ROSAZZO" sheetId="16" r:id="rId16"/>
    <sheet name="COSEANO" sheetId="17" r:id="rId17"/>
    <sheet name="DIGNANO" sheetId="18" r:id="rId18"/>
    <sheet name="DOGNA" sheetId="19" r:id="rId19"/>
    <sheet name="ENEMONZO" sheetId="20" r:id="rId20"/>
    <sheet name="FAGAGNA" sheetId="21" r:id="rId21"/>
    <sheet name="FLAIBANO" sheetId="22" r:id="rId22"/>
    <sheet name="FORGARIA NEL FRIULI" sheetId="23" r:id="rId23"/>
    <sheet name="FORNI AVOLTRI" sheetId="24" r:id="rId24"/>
    <sheet name="FORNI DI SOPRA" sheetId="25" r:id="rId25"/>
    <sheet name="FORNI DI SOTTO" sheetId="26" r:id="rId26"/>
    <sheet name="GEMONA DEL FRIULI" sheetId="27" r:id="rId27"/>
    <sheet name="LAUCO" sheetId="28" r:id="rId28"/>
    <sheet name="LESTIZZA" sheetId="29" r:id="rId29"/>
    <sheet name="LUSEVERA" sheetId="30" r:id="rId30"/>
    <sheet name="MAGNANO IN RIVIERA" sheetId="31" r:id="rId31"/>
    <sheet name="MAJANO" sheetId="32" r:id="rId32"/>
    <sheet name="MARTIGNACCO" sheetId="33" r:id="rId33"/>
    <sheet name="MOGGIO UDINESE" sheetId="34" r:id="rId34"/>
    <sheet name="MOIMACCO" sheetId="35" r:id="rId35"/>
    <sheet name="MONTENARS" sheetId="36" r:id="rId36"/>
    <sheet name="MORTEGLIANO" sheetId="37" r:id="rId37"/>
    <sheet name="MORUZZO" sheetId="38" r:id="rId38"/>
    <sheet name="NIMIS" sheetId="39" r:id="rId39"/>
    <sheet name="OSOPPO" sheetId="40" r:id="rId40"/>
    <sheet name="OVARO" sheetId="41" r:id="rId41"/>
    <sheet name="PAGNACCO" sheetId="42" r:id="rId42"/>
    <sheet name="PALUZZA" sheetId="43" r:id="rId43"/>
    <sheet name="PASIAN DI PRATO" sheetId="44" r:id="rId44"/>
    <sheet name="PAULARO" sheetId="45" r:id="rId45"/>
    <sheet name="PAVIA DI UDINE" sheetId="46" r:id="rId46"/>
    <sheet name="POZZUOLO DEL FRIULI" sheetId="47" r:id="rId47"/>
    <sheet name="PRADAMANO" sheetId="48" r:id="rId48"/>
    <sheet name="PRATO CARNICO" sheetId="49" r:id="rId49"/>
    <sheet name="PREMARIACCO" sheetId="50" r:id="rId50"/>
    <sheet name="PREONE" sheetId="51" r:id="rId51"/>
    <sheet name="RAGOGNA" sheetId="52" r:id="rId52"/>
    <sheet name="RAVASCLETTO" sheetId="53" r:id="rId53"/>
    <sheet name="RAVEO" sheetId="54" r:id="rId54"/>
    <sheet name="REANA DEL ROJALE" sheetId="55" r:id="rId55"/>
    <sheet name="REMANZACCO" sheetId="56" r:id="rId56"/>
    <sheet name="RESIUTTA" sheetId="57" r:id="rId57"/>
    <sheet name="RIGOLATO" sheetId="58" r:id="rId58"/>
    <sheet name="RIVE D'ARCANO" sheetId="59" r:id="rId59"/>
    <sheet name="RIVIGNANO TEOR" sheetId="60" r:id="rId60"/>
    <sheet name="SAN DANIELE DEL FRIULI" sheetId="61" r:id="rId61"/>
    <sheet name="SAN DORLIGO DELLA VALLE-DOLINA" sheetId="62" r:id="rId62"/>
    <sheet name="SAN GIOVANNI AL NATISONE" sheetId="63" r:id="rId63"/>
    <sheet name="SAN VITO DI FAGAGNA" sheetId="64" r:id="rId64"/>
    <sheet name="SAPPADA" sheetId="65" r:id="rId65"/>
    <sheet name="SAURIS" sheetId="66" r:id="rId66"/>
    <sheet name="SEDEGLIANO" sheetId="67" r:id="rId67"/>
    <sheet name="SOCCHIEVE" sheetId="68" r:id="rId68"/>
    <sheet name="SUTRIO" sheetId="69" r:id="rId69"/>
    <sheet name="TAIPANA" sheetId="70" r:id="rId70"/>
    <sheet name="TARCENTO" sheetId="71" r:id="rId71"/>
    <sheet name="TOLMEZZO" sheetId="72" r:id="rId72"/>
    <sheet name="TRASAGHIS" sheetId="73" r:id="rId73"/>
    <sheet name="TREPPO GRANDE" sheetId="74" r:id="rId74"/>
    <sheet name="TREPPO LIGOSULLO" sheetId="75" r:id="rId75"/>
    <sheet name="VARMO" sheetId="76" r:id="rId76"/>
    <sheet name="VENZONE" sheetId="77" r:id="rId77"/>
    <sheet name="VERZEGNIS" sheetId="78" r:id="rId78"/>
    <sheet name="VILLA SANTINA" sheetId="79" r:id="rId79"/>
    <sheet name="ZUGLIO" sheetId="80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80" l="1"/>
  <c r="G61" i="80"/>
  <c r="G60" i="80"/>
  <c r="G59" i="80"/>
  <c r="E54" i="80"/>
  <c r="D54" i="80"/>
  <c r="C54" i="80"/>
  <c r="E53" i="80"/>
  <c r="D53" i="80"/>
  <c r="C53" i="80"/>
  <c r="H47" i="80"/>
  <c r="G47" i="80"/>
  <c r="H46" i="80"/>
  <c r="G46" i="80"/>
  <c r="H45" i="80"/>
  <c r="G45" i="80"/>
  <c r="F38" i="80"/>
  <c r="E38" i="80"/>
  <c r="D38" i="80"/>
  <c r="C38" i="80"/>
  <c r="G37" i="80"/>
  <c r="H37" i="80" s="1"/>
  <c r="H36" i="80"/>
  <c r="G36" i="80"/>
  <c r="J35" i="80"/>
  <c r="H35" i="80"/>
  <c r="G35" i="80"/>
  <c r="J34" i="80"/>
  <c r="H34" i="80"/>
  <c r="G34" i="80"/>
  <c r="G33" i="80"/>
  <c r="H32" i="80"/>
  <c r="G32" i="80"/>
  <c r="J31" i="80"/>
  <c r="H31" i="80"/>
  <c r="G31" i="80"/>
  <c r="J30" i="80"/>
  <c r="H30" i="80"/>
  <c r="G30" i="80"/>
  <c r="J29" i="80"/>
  <c r="H29" i="80"/>
  <c r="G29" i="80"/>
  <c r="J28" i="80"/>
  <c r="H28" i="80"/>
  <c r="G28" i="80"/>
  <c r="J27" i="80"/>
  <c r="H27" i="80"/>
  <c r="G27" i="80"/>
  <c r="J26" i="80"/>
  <c r="H26" i="80"/>
  <c r="G26" i="80"/>
  <c r="G25" i="80"/>
  <c r="G24" i="80"/>
  <c r="J24" i="80" s="1"/>
  <c r="H23" i="80"/>
  <c r="G23" i="80"/>
  <c r="J22" i="80"/>
  <c r="H22" i="80"/>
  <c r="G22" i="80"/>
  <c r="J21" i="80"/>
  <c r="H21" i="80"/>
  <c r="G21" i="80"/>
  <c r="J20" i="80"/>
  <c r="H20" i="80"/>
  <c r="G20" i="80"/>
  <c r="G19" i="80"/>
  <c r="H19" i="80" s="1"/>
  <c r="H18" i="80"/>
  <c r="G18" i="80"/>
  <c r="J17" i="80"/>
  <c r="H17" i="80"/>
  <c r="G17" i="80"/>
  <c r="G16" i="80"/>
  <c r="H16" i="80" s="1"/>
  <c r="G15" i="80"/>
  <c r="G14" i="80"/>
  <c r="J14" i="80" s="1"/>
  <c r="G13" i="80"/>
  <c r="H13" i="80" s="1"/>
  <c r="G12" i="80"/>
  <c r="G11" i="80"/>
  <c r="J11" i="80" s="1"/>
  <c r="G10" i="80"/>
  <c r="H10" i="80" s="1"/>
  <c r="H9" i="80"/>
  <c r="G9" i="80"/>
  <c r="G66" i="79"/>
  <c r="G65" i="79"/>
  <c r="G64" i="79"/>
  <c r="G63" i="79"/>
  <c r="E58" i="79"/>
  <c r="D58" i="79"/>
  <c r="C58" i="79"/>
  <c r="E57" i="79"/>
  <c r="D57" i="79"/>
  <c r="C57" i="79"/>
  <c r="H51" i="79"/>
  <c r="G51" i="79"/>
  <c r="H50" i="79"/>
  <c r="G50" i="79"/>
  <c r="H49" i="79"/>
  <c r="G49" i="79"/>
  <c r="F42" i="79"/>
  <c r="E42" i="79"/>
  <c r="D42" i="79"/>
  <c r="C42" i="79"/>
  <c r="G41" i="79"/>
  <c r="H41" i="79" s="1"/>
  <c r="G40" i="79"/>
  <c r="H40" i="79" s="1"/>
  <c r="G39" i="79"/>
  <c r="G38" i="79"/>
  <c r="J38" i="79" s="1"/>
  <c r="H37" i="79"/>
  <c r="G37" i="79"/>
  <c r="J36" i="79"/>
  <c r="H36" i="79"/>
  <c r="G36" i="79"/>
  <c r="J35" i="79"/>
  <c r="H35" i="79"/>
  <c r="G35" i="79"/>
  <c r="G34" i="79"/>
  <c r="G33" i="79"/>
  <c r="J33" i="79" s="1"/>
  <c r="H32" i="79"/>
  <c r="G32" i="79"/>
  <c r="J31" i="79"/>
  <c r="H31" i="79"/>
  <c r="G31" i="79"/>
  <c r="J30" i="79"/>
  <c r="H30" i="79"/>
  <c r="G30" i="79"/>
  <c r="J29" i="79"/>
  <c r="H29" i="79"/>
  <c r="G29" i="79"/>
  <c r="J28" i="79"/>
  <c r="H28" i="79"/>
  <c r="G28" i="79"/>
  <c r="J27" i="79"/>
  <c r="H27" i="79"/>
  <c r="G27" i="79"/>
  <c r="J26" i="79"/>
  <c r="H26" i="79"/>
  <c r="G26" i="79"/>
  <c r="J25" i="79"/>
  <c r="H25" i="79"/>
  <c r="G25" i="79"/>
  <c r="J24" i="79"/>
  <c r="H24" i="79"/>
  <c r="G24" i="79"/>
  <c r="J23" i="79"/>
  <c r="H23" i="79"/>
  <c r="G23" i="79"/>
  <c r="J22" i="79"/>
  <c r="H22" i="79"/>
  <c r="G22" i="79"/>
  <c r="J21" i="79"/>
  <c r="H21" i="79"/>
  <c r="G21" i="79"/>
  <c r="J20" i="79"/>
  <c r="H20" i="79"/>
  <c r="G20" i="79"/>
  <c r="J19" i="79"/>
  <c r="H19" i="79"/>
  <c r="G19" i="79"/>
  <c r="J18" i="79"/>
  <c r="H18" i="79"/>
  <c r="G18" i="79"/>
  <c r="J17" i="79"/>
  <c r="H17" i="79"/>
  <c r="G17" i="79"/>
  <c r="J16" i="79"/>
  <c r="H16" i="79"/>
  <c r="G16" i="79"/>
  <c r="J15" i="79"/>
  <c r="H15" i="79"/>
  <c r="G15" i="79"/>
  <c r="J14" i="79"/>
  <c r="H14" i="79"/>
  <c r="G14" i="79"/>
  <c r="J13" i="79"/>
  <c r="H13" i="79"/>
  <c r="G13" i="79"/>
  <c r="J12" i="79"/>
  <c r="H12" i="79"/>
  <c r="G12" i="79"/>
  <c r="J11" i="79"/>
  <c r="H11" i="79"/>
  <c r="G11" i="79"/>
  <c r="J10" i="79"/>
  <c r="H10" i="79"/>
  <c r="G10" i="79"/>
  <c r="J9" i="79"/>
  <c r="H9" i="79"/>
  <c r="G9" i="79"/>
  <c r="G64" i="78"/>
  <c r="G63" i="78"/>
  <c r="G62" i="78"/>
  <c r="G61" i="78"/>
  <c r="E56" i="78"/>
  <c r="D56" i="78"/>
  <c r="C56" i="78"/>
  <c r="E55" i="78"/>
  <c r="D55" i="78"/>
  <c r="C55" i="78"/>
  <c r="H49" i="78"/>
  <c r="G49" i="78"/>
  <c r="H48" i="78"/>
  <c r="G48" i="78"/>
  <c r="H47" i="78"/>
  <c r="G47" i="78"/>
  <c r="F40" i="78"/>
  <c r="E40" i="78"/>
  <c r="D40" i="78"/>
  <c r="C40" i="78"/>
  <c r="G39" i="78"/>
  <c r="H39" i="78" s="1"/>
  <c r="G38" i="78"/>
  <c r="H37" i="78"/>
  <c r="G37" i="78"/>
  <c r="J36" i="78"/>
  <c r="H36" i="78"/>
  <c r="G36" i="78"/>
  <c r="J35" i="78"/>
  <c r="H35" i="78"/>
  <c r="G35" i="78"/>
  <c r="J34" i="78"/>
  <c r="H34" i="78"/>
  <c r="G34" i="78"/>
  <c r="J33" i="78"/>
  <c r="H33" i="78"/>
  <c r="G33" i="78"/>
  <c r="J32" i="78"/>
  <c r="H32" i="78"/>
  <c r="G32" i="78"/>
  <c r="J31" i="78"/>
  <c r="H31" i="78"/>
  <c r="G31" i="78"/>
  <c r="J30" i="78"/>
  <c r="H30" i="78"/>
  <c r="G30" i="78"/>
  <c r="J29" i="78"/>
  <c r="H29" i="78"/>
  <c r="G29" i="78"/>
  <c r="J28" i="78"/>
  <c r="H28" i="78"/>
  <c r="G28" i="78"/>
  <c r="J27" i="78"/>
  <c r="H27" i="78"/>
  <c r="G27" i="78"/>
  <c r="G26" i="78"/>
  <c r="H26" i="78" s="1"/>
  <c r="H25" i="78"/>
  <c r="G25" i="78"/>
  <c r="J24" i="78"/>
  <c r="H24" i="78"/>
  <c r="G24" i="78"/>
  <c r="J23" i="78"/>
  <c r="H23" i="78"/>
  <c r="G23" i="78"/>
  <c r="J22" i="78"/>
  <c r="H22" i="78"/>
  <c r="G22" i="78"/>
  <c r="J21" i="78"/>
  <c r="H21" i="78"/>
  <c r="G21" i="78"/>
  <c r="G20" i="78"/>
  <c r="H20" i="78" s="1"/>
  <c r="H19" i="78"/>
  <c r="G19" i="78"/>
  <c r="J18" i="78"/>
  <c r="H18" i="78"/>
  <c r="G18" i="78"/>
  <c r="G17" i="78"/>
  <c r="G16" i="78"/>
  <c r="J16" i="78" s="1"/>
  <c r="G15" i="78"/>
  <c r="H15" i="78" s="1"/>
  <c r="G14" i="78"/>
  <c r="G13" i="78"/>
  <c r="J13" i="78" s="1"/>
  <c r="G12" i="78"/>
  <c r="H12" i="78" s="1"/>
  <c r="G11" i="78"/>
  <c r="H10" i="78"/>
  <c r="G10" i="78"/>
  <c r="G9" i="78"/>
  <c r="G61" i="77"/>
  <c r="G60" i="77"/>
  <c r="G59" i="77"/>
  <c r="G58" i="77"/>
  <c r="E53" i="77"/>
  <c r="D53" i="77"/>
  <c r="C53" i="77"/>
  <c r="E52" i="77"/>
  <c r="D52" i="77"/>
  <c r="C52" i="77"/>
  <c r="G46" i="77"/>
  <c r="H46" i="77" s="1"/>
  <c r="G45" i="77"/>
  <c r="H45" i="77" s="1"/>
  <c r="G44" i="77"/>
  <c r="H44" i="77" s="1"/>
  <c r="F37" i="77"/>
  <c r="E37" i="77"/>
  <c r="D37" i="77"/>
  <c r="C37" i="77"/>
  <c r="G36" i="77"/>
  <c r="G35" i="77"/>
  <c r="J35" i="77" s="1"/>
  <c r="H34" i="77"/>
  <c r="G34" i="77"/>
  <c r="G33" i="77"/>
  <c r="H33" i="77" s="1"/>
  <c r="G32" i="77"/>
  <c r="H32" i="77" s="1"/>
  <c r="G31" i="77"/>
  <c r="H30" i="77"/>
  <c r="G30" i="77"/>
  <c r="J29" i="77"/>
  <c r="H29" i="77"/>
  <c r="G29" i="77"/>
  <c r="J28" i="77"/>
  <c r="H28" i="77"/>
  <c r="G28" i="77"/>
  <c r="J27" i="77"/>
  <c r="H27" i="77"/>
  <c r="G27" i="77"/>
  <c r="J26" i="77"/>
  <c r="H26" i="77"/>
  <c r="G26" i="77"/>
  <c r="J25" i="77"/>
  <c r="H25" i="77"/>
  <c r="G25" i="77"/>
  <c r="J24" i="77"/>
  <c r="H24" i="77"/>
  <c r="G24" i="77"/>
  <c r="J23" i="77"/>
  <c r="H23" i="77"/>
  <c r="G23" i="77"/>
  <c r="J22" i="77"/>
  <c r="H22" i="77"/>
  <c r="G22" i="77"/>
  <c r="J21" i="77"/>
  <c r="H21" i="77"/>
  <c r="G21" i="77"/>
  <c r="J20" i="77"/>
  <c r="H20" i="77"/>
  <c r="G20" i="77"/>
  <c r="J19" i="77"/>
  <c r="H19" i="77"/>
  <c r="G19" i="77"/>
  <c r="G18" i="77"/>
  <c r="H18" i="77" s="1"/>
  <c r="G17" i="77"/>
  <c r="G16" i="77"/>
  <c r="J16" i="77" s="1"/>
  <c r="G15" i="77"/>
  <c r="H15" i="77" s="1"/>
  <c r="G14" i="77"/>
  <c r="G13" i="77"/>
  <c r="J13" i="77" s="1"/>
  <c r="G12" i="77"/>
  <c r="H12" i="77" s="1"/>
  <c r="G11" i="77"/>
  <c r="G10" i="77"/>
  <c r="J10" i="77" s="1"/>
  <c r="G9" i="77"/>
  <c r="H9" i="77" s="1"/>
  <c r="G68" i="76"/>
  <c r="G67" i="76"/>
  <c r="G66" i="76"/>
  <c r="G65" i="76"/>
  <c r="E60" i="76"/>
  <c r="D60" i="76"/>
  <c r="C60" i="76"/>
  <c r="E59" i="76"/>
  <c r="D59" i="76"/>
  <c r="C59" i="76"/>
  <c r="G53" i="76"/>
  <c r="H53" i="76" s="1"/>
  <c r="G52" i="76"/>
  <c r="H52" i="76" s="1"/>
  <c r="G51" i="76"/>
  <c r="H51" i="76" s="1"/>
  <c r="F44" i="76"/>
  <c r="E44" i="76"/>
  <c r="D44" i="76"/>
  <c r="C44" i="76"/>
  <c r="G43" i="76"/>
  <c r="G42" i="76"/>
  <c r="H41" i="76"/>
  <c r="G41" i="76"/>
  <c r="J40" i="76"/>
  <c r="H40" i="76"/>
  <c r="G40" i="76"/>
  <c r="J39" i="76"/>
  <c r="H39" i="76"/>
  <c r="G39" i="76"/>
  <c r="J38" i="76"/>
  <c r="H38" i="76"/>
  <c r="G38" i="76"/>
  <c r="J37" i="76"/>
  <c r="H37" i="76"/>
  <c r="G37" i="76"/>
  <c r="J36" i="76"/>
  <c r="H36" i="76"/>
  <c r="G36" i="76"/>
  <c r="J35" i="76"/>
  <c r="H35" i="76"/>
  <c r="G35" i="76"/>
  <c r="J34" i="76"/>
  <c r="H34" i="76"/>
  <c r="G34" i="76"/>
  <c r="J33" i="76"/>
  <c r="H33" i="76"/>
  <c r="G33" i="76"/>
  <c r="J32" i="76"/>
  <c r="H32" i="76"/>
  <c r="G32" i="76"/>
  <c r="J31" i="76"/>
  <c r="H31" i="76"/>
  <c r="G31" i="76"/>
  <c r="J30" i="76"/>
  <c r="H30" i="76"/>
  <c r="G30" i="76"/>
  <c r="J29" i="76"/>
  <c r="H29" i="76"/>
  <c r="G29" i="76"/>
  <c r="J28" i="76"/>
  <c r="H28" i="76"/>
  <c r="G28" i="76"/>
  <c r="J27" i="76"/>
  <c r="H27" i="76"/>
  <c r="G27" i="76"/>
  <c r="J26" i="76"/>
  <c r="H26" i="76"/>
  <c r="G26" i="76"/>
  <c r="J25" i="76"/>
  <c r="H25" i="76"/>
  <c r="G25" i="76"/>
  <c r="J24" i="76"/>
  <c r="H24" i="76"/>
  <c r="G24" i="76"/>
  <c r="J23" i="76"/>
  <c r="H23" i="76"/>
  <c r="G23" i="76"/>
  <c r="J22" i="76"/>
  <c r="H22" i="76"/>
  <c r="G22" i="76"/>
  <c r="J21" i="76"/>
  <c r="H21" i="76"/>
  <c r="G21" i="76"/>
  <c r="J20" i="76"/>
  <c r="H20" i="76"/>
  <c r="G20" i="76"/>
  <c r="J19" i="76"/>
  <c r="H19" i="76"/>
  <c r="G19" i="76"/>
  <c r="J18" i="76"/>
  <c r="H18" i="76"/>
  <c r="G18" i="76"/>
  <c r="J17" i="76"/>
  <c r="H17" i="76"/>
  <c r="G17" i="76"/>
  <c r="J16" i="76"/>
  <c r="H16" i="76"/>
  <c r="G16" i="76"/>
  <c r="J15" i="76"/>
  <c r="H15" i="76"/>
  <c r="G15" i="76"/>
  <c r="J14" i="76"/>
  <c r="H14" i="76"/>
  <c r="G14" i="76"/>
  <c r="J13" i="76"/>
  <c r="H13" i="76"/>
  <c r="G13" i="76"/>
  <c r="J12" i="76"/>
  <c r="H12" i="76"/>
  <c r="G12" i="76"/>
  <c r="J11" i="76"/>
  <c r="H11" i="76"/>
  <c r="G11" i="76"/>
  <c r="J10" i="76"/>
  <c r="H10" i="76"/>
  <c r="G10" i="76"/>
  <c r="J9" i="76"/>
  <c r="H9" i="76"/>
  <c r="G9" i="76"/>
  <c r="G61" i="75"/>
  <c r="G60" i="75"/>
  <c r="G59" i="75"/>
  <c r="G58" i="75"/>
  <c r="E53" i="75"/>
  <c r="D53" i="75"/>
  <c r="C53" i="75"/>
  <c r="E52" i="75"/>
  <c r="D52" i="75"/>
  <c r="C52" i="75"/>
  <c r="H46" i="75"/>
  <c r="G46" i="75"/>
  <c r="H45" i="75"/>
  <c r="G45" i="75"/>
  <c r="H44" i="75"/>
  <c r="G44" i="75"/>
  <c r="F37" i="75"/>
  <c r="E37" i="75"/>
  <c r="D37" i="75"/>
  <c r="C37" i="75"/>
  <c r="G36" i="75"/>
  <c r="H36" i="75" s="1"/>
  <c r="H35" i="75"/>
  <c r="G35" i="75"/>
  <c r="J34" i="75"/>
  <c r="H34" i="75"/>
  <c r="G34" i="75"/>
  <c r="J33" i="75"/>
  <c r="H33" i="75"/>
  <c r="G33" i="75"/>
  <c r="G32" i="75"/>
  <c r="H31" i="75"/>
  <c r="G31" i="75"/>
  <c r="G30" i="75"/>
  <c r="H30" i="75" s="1"/>
  <c r="H29" i="75"/>
  <c r="G29" i="75"/>
  <c r="G28" i="75"/>
  <c r="H28" i="75" s="1"/>
  <c r="G27" i="75"/>
  <c r="G26" i="75"/>
  <c r="G25" i="75"/>
  <c r="G24" i="75"/>
  <c r="G23" i="75"/>
  <c r="G22" i="75"/>
  <c r="H21" i="75"/>
  <c r="G21" i="75"/>
  <c r="J20" i="75"/>
  <c r="H20" i="75"/>
  <c r="G20" i="75"/>
  <c r="G19" i="75"/>
  <c r="G18" i="75"/>
  <c r="G17" i="75"/>
  <c r="G16" i="75"/>
  <c r="G15" i="75"/>
  <c r="G14" i="75"/>
  <c r="H13" i="75"/>
  <c r="G13" i="75"/>
  <c r="J12" i="75"/>
  <c r="H12" i="75"/>
  <c r="G12" i="75"/>
  <c r="J11" i="75"/>
  <c r="H11" i="75"/>
  <c r="G11" i="75"/>
  <c r="J10" i="75"/>
  <c r="H10" i="75"/>
  <c r="G10" i="75"/>
  <c r="J9" i="75"/>
  <c r="G9" i="75"/>
  <c r="G43" i="74"/>
  <c r="G42" i="74"/>
  <c r="G41" i="74"/>
  <c r="G40" i="74"/>
  <c r="E35" i="74"/>
  <c r="D35" i="74"/>
  <c r="C35" i="74"/>
  <c r="E34" i="74"/>
  <c r="D34" i="74"/>
  <c r="C34" i="74"/>
  <c r="G28" i="74"/>
  <c r="H28" i="74" s="1"/>
  <c r="H27" i="74"/>
  <c r="G27" i="74"/>
  <c r="H26" i="74"/>
  <c r="G26" i="74"/>
  <c r="F19" i="74"/>
  <c r="E19" i="74"/>
  <c r="D19" i="74"/>
  <c r="D20" i="74" s="1"/>
  <c r="C19" i="74"/>
  <c r="H18" i="74"/>
  <c r="G18" i="74"/>
  <c r="J17" i="74"/>
  <c r="G17" i="74"/>
  <c r="H17" i="74" s="1"/>
  <c r="H16" i="74"/>
  <c r="G16" i="74"/>
  <c r="H15" i="74"/>
  <c r="G15" i="74"/>
  <c r="H14" i="74"/>
  <c r="G14" i="74"/>
  <c r="J14" i="74" s="1"/>
  <c r="J13" i="74"/>
  <c r="G13" i="74"/>
  <c r="H13" i="74" s="1"/>
  <c r="G12" i="74"/>
  <c r="H11" i="74"/>
  <c r="G11" i="74"/>
  <c r="J11" i="74" s="1"/>
  <c r="G10" i="74"/>
  <c r="G19" i="74" s="1"/>
  <c r="J9" i="74"/>
  <c r="H9" i="74"/>
  <c r="G9" i="74"/>
  <c r="G69" i="73"/>
  <c r="G68" i="73"/>
  <c r="G67" i="73"/>
  <c r="G66" i="73"/>
  <c r="E61" i="73"/>
  <c r="D61" i="73"/>
  <c r="C61" i="73"/>
  <c r="E60" i="73"/>
  <c r="D60" i="73"/>
  <c r="C60" i="73"/>
  <c r="H54" i="73"/>
  <c r="G54" i="73"/>
  <c r="G53" i="73"/>
  <c r="H53" i="73" s="1"/>
  <c r="H52" i="73"/>
  <c r="G52" i="73"/>
  <c r="F45" i="73"/>
  <c r="E45" i="73"/>
  <c r="D45" i="73"/>
  <c r="C45" i="73"/>
  <c r="G44" i="73"/>
  <c r="H44" i="73" s="1"/>
  <c r="G43" i="73"/>
  <c r="H42" i="73"/>
  <c r="G42" i="73"/>
  <c r="H41" i="73"/>
  <c r="G41" i="73"/>
  <c r="J41" i="73" s="1"/>
  <c r="J40" i="73"/>
  <c r="G40" i="73"/>
  <c r="H40" i="73" s="1"/>
  <c r="G39" i="73"/>
  <c r="H38" i="73"/>
  <c r="G38" i="73"/>
  <c r="J38" i="73" s="1"/>
  <c r="G37" i="73"/>
  <c r="G36" i="73"/>
  <c r="H36" i="73" s="1"/>
  <c r="G35" i="73"/>
  <c r="H35" i="73" s="1"/>
  <c r="G34" i="73"/>
  <c r="H33" i="73"/>
  <c r="G33" i="73"/>
  <c r="J33" i="73" s="1"/>
  <c r="G32" i="73"/>
  <c r="J31" i="73"/>
  <c r="H31" i="73"/>
  <c r="G31" i="73"/>
  <c r="H30" i="73"/>
  <c r="G30" i="73"/>
  <c r="J30" i="73" s="1"/>
  <c r="J29" i="73"/>
  <c r="G29" i="73"/>
  <c r="H29" i="73" s="1"/>
  <c r="G28" i="73"/>
  <c r="H27" i="73"/>
  <c r="G27" i="73"/>
  <c r="J27" i="73" s="1"/>
  <c r="G26" i="73"/>
  <c r="J25" i="73"/>
  <c r="H25" i="73"/>
  <c r="G25" i="73"/>
  <c r="H24" i="73"/>
  <c r="G24" i="73"/>
  <c r="J24" i="73" s="1"/>
  <c r="J23" i="73"/>
  <c r="G23" i="73"/>
  <c r="H23" i="73" s="1"/>
  <c r="H22" i="73"/>
  <c r="G22" i="73"/>
  <c r="H21" i="73"/>
  <c r="G21" i="73"/>
  <c r="J21" i="73" s="1"/>
  <c r="G20" i="73"/>
  <c r="J19" i="73"/>
  <c r="H19" i="73"/>
  <c r="G19" i="73"/>
  <c r="H18" i="73"/>
  <c r="G18" i="73"/>
  <c r="J18" i="73" s="1"/>
  <c r="J17" i="73"/>
  <c r="G17" i="73"/>
  <c r="H17" i="73" s="1"/>
  <c r="G16" i="73"/>
  <c r="H15" i="73"/>
  <c r="G15" i="73"/>
  <c r="J15" i="73" s="1"/>
  <c r="G14" i="73"/>
  <c r="J13" i="73"/>
  <c r="H13" i="73"/>
  <c r="G13" i="73"/>
  <c r="H12" i="73"/>
  <c r="G12" i="73"/>
  <c r="J12" i="73" s="1"/>
  <c r="J11" i="73"/>
  <c r="G11" i="73"/>
  <c r="H11" i="73" s="1"/>
  <c r="J10" i="73"/>
  <c r="H10" i="73"/>
  <c r="G10" i="73"/>
  <c r="G9" i="73"/>
  <c r="G72" i="72"/>
  <c r="G71" i="72"/>
  <c r="G70" i="72"/>
  <c r="G69" i="72"/>
  <c r="E64" i="72"/>
  <c r="D64" i="72"/>
  <c r="C64" i="72"/>
  <c r="E63" i="72"/>
  <c r="D63" i="72"/>
  <c r="C63" i="72"/>
  <c r="G57" i="72"/>
  <c r="H57" i="72" s="1"/>
  <c r="G56" i="72"/>
  <c r="H56" i="72" s="1"/>
  <c r="G55" i="72"/>
  <c r="H55" i="72" s="1"/>
  <c r="F48" i="72"/>
  <c r="E48" i="72"/>
  <c r="D48" i="72"/>
  <c r="C48" i="72"/>
  <c r="H47" i="72"/>
  <c r="G47" i="72"/>
  <c r="J46" i="72"/>
  <c r="H46" i="72"/>
  <c r="G46" i="72"/>
  <c r="J45" i="72"/>
  <c r="H45" i="72"/>
  <c r="G45" i="72"/>
  <c r="G44" i="72"/>
  <c r="J43" i="72"/>
  <c r="H43" i="72"/>
  <c r="G43" i="72"/>
  <c r="J42" i="72"/>
  <c r="H42" i="72"/>
  <c r="G42" i="72"/>
  <c r="G41" i="72"/>
  <c r="H40" i="72"/>
  <c r="G40" i="72"/>
  <c r="G39" i="72"/>
  <c r="H38" i="72"/>
  <c r="G38" i="72"/>
  <c r="G37" i="72"/>
  <c r="J36" i="72"/>
  <c r="G36" i="72"/>
  <c r="H36" i="72" s="1"/>
  <c r="H35" i="72"/>
  <c r="G35" i="72"/>
  <c r="H34" i="72"/>
  <c r="G34" i="72"/>
  <c r="J34" i="72" s="1"/>
  <c r="G33" i="72"/>
  <c r="J32" i="72"/>
  <c r="H32" i="72"/>
  <c r="G32" i="72"/>
  <c r="H31" i="72"/>
  <c r="G31" i="72"/>
  <c r="J31" i="72" s="1"/>
  <c r="J30" i="72"/>
  <c r="G30" i="72"/>
  <c r="H30" i="72" s="1"/>
  <c r="J29" i="72"/>
  <c r="H29" i="72"/>
  <c r="G29" i="72"/>
  <c r="G28" i="72"/>
  <c r="J27" i="72"/>
  <c r="G27" i="72"/>
  <c r="H27" i="72" s="1"/>
  <c r="H26" i="72"/>
  <c r="G26" i="72"/>
  <c r="H25" i="72"/>
  <c r="G25" i="72"/>
  <c r="J25" i="72" s="1"/>
  <c r="G24" i="72"/>
  <c r="J23" i="72"/>
  <c r="H23" i="72"/>
  <c r="G23" i="72"/>
  <c r="G22" i="72"/>
  <c r="J21" i="72"/>
  <c r="G21" i="72"/>
  <c r="H21" i="72" s="1"/>
  <c r="J20" i="72"/>
  <c r="H20" i="72"/>
  <c r="G20" i="72"/>
  <c r="G19" i="72"/>
  <c r="J18" i="72"/>
  <c r="G18" i="72"/>
  <c r="H18" i="72" s="1"/>
  <c r="H17" i="72"/>
  <c r="G17" i="72"/>
  <c r="H16" i="72"/>
  <c r="G16" i="72"/>
  <c r="J16" i="72" s="1"/>
  <c r="H15" i="72"/>
  <c r="G15" i="72"/>
  <c r="J14" i="72"/>
  <c r="H14" i="72"/>
  <c r="G14" i="72"/>
  <c r="G13" i="72"/>
  <c r="J12" i="72"/>
  <c r="H12" i="72"/>
  <c r="G12" i="72"/>
  <c r="J11" i="72"/>
  <c r="H11" i="72"/>
  <c r="G11" i="72"/>
  <c r="H10" i="72"/>
  <c r="G10" i="72"/>
  <c r="J9" i="72"/>
  <c r="H9" i="72"/>
  <c r="G9" i="72"/>
  <c r="G60" i="71"/>
  <c r="G59" i="71"/>
  <c r="G58" i="71"/>
  <c r="G57" i="71"/>
  <c r="E52" i="71"/>
  <c r="D52" i="71"/>
  <c r="C52" i="71"/>
  <c r="E51" i="71"/>
  <c r="D51" i="71"/>
  <c r="C51" i="71"/>
  <c r="H45" i="71"/>
  <c r="G45" i="71"/>
  <c r="H44" i="71"/>
  <c r="G44" i="71"/>
  <c r="H43" i="71"/>
  <c r="G43" i="71"/>
  <c r="F36" i="71"/>
  <c r="E36" i="71"/>
  <c r="D36" i="71"/>
  <c r="C36" i="71"/>
  <c r="H35" i="71"/>
  <c r="G35" i="71"/>
  <c r="G34" i="71"/>
  <c r="J33" i="71"/>
  <c r="G33" i="71"/>
  <c r="H33" i="71" s="1"/>
  <c r="H32" i="71"/>
  <c r="G32" i="71"/>
  <c r="H31" i="71"/>
  <c r="G31" i="71"/>
  <c r="J31" i="71" s="1"/>
  <c r="G30" i="71"/>
  <c r="J29" i="71"/>
  <c r="H29" i="71"/>
  <c r="G29" i="71"/>
  <c r="H28" i="71"/>
  <c r="G28" i="71"/>
  <c r="J27" i="71"/>
  <c r="G27" i="71"/>
  <c r="H27" i="71" s="1"/>
  <c r="J26" i="71"/>
  <c r="H26" i="71"/>
  <c r="G26" i="71"/>
  <c r="G25" i="71"/>
  <c r="J24" i="71"/>
  <c r="G24" i="71"/>
  <c r="H24" i="71" s="1"/>
  <c r="G23" i="71"/>
  <c r="H22" i="71"/>
  <c r="G22" i="71"/>
  <c r="J21" i="71"/>
  <c r="H21" i="71"/>
  <c r="G21" i="71"/>
  <c r="J20" i="71"/>
  <c r="H20" i="71"/>
  <c r="G20" i="71"/>
  <c r="G19" i="71"/>
  <c r="H19" i="71" s="1"/>
  <c r="J18" i="71"/>
  <c r="H18" i="71"/>
  <c r="G18" i="71"/>
  <c r="G17" i="71"/>
  <c r="J17" i="71" s="1"/>
  <c r="J16" i="71"/>
  <c r="G16" i="71"/>
  <c r="H16" i="71" s="1"/>
  <c r="J15" i="71"/>
  <c r="H15" i="71"/>
  <c r="G15" i="71"/>
  <c r="G14" i="71"/>
  <c r="J13" i="71"/>
  <c r="H13" i="71"/>
  <c r="G13" i="71"/>
  <c r="G12" i="71"/>
  <c r="G11" i="71"/>
  <c r="J10" i="71"/>
  <c r="H10" i="71"/>
  <c r="G10" i="71"/>
  <c r="H9" i="71"/>
  <c r="G9" i="71"/>
  <c r="J9" i="71" s="1"/>
  <c r="G61" i="70"/>
  <c r="G60" i="70"/>
  <c r="G59" i="70"/>
  <c r="G58" i="70"/>
  <c r="E53" i="70"/>
  <c r="D53" i="70"/>
  <c r="C53" i="70"/>
  <c r="E52" i="70"/>
  <c r="D52" i="70"/>
  <c r="C52" i="70"/>
  <c r="H46" i="70"/>
  <c r="G46" i="70"/>
  <c r="H45" i="70"/>
  <c r="G45" i="70"/>
  <c r="G44" i="70"/>
  <c r="H44" i="70" s="1"/>
  <c r="F37" i="70"/>
  <c r="E37" i="70"/>
  <c r="D37" i="70"/>
  <c r="C37" i="70"/>
  <c r="H36" i="70"/>
  <c r="G36" i="70"/>
  <c r="H35" i="70"/>
  <c r="G35" i="70"/>
  <c r="H34" i="70"/>
  <c r="G34" i="70"/>
  <c r="J33" i="70"/>
  <c r="H33" i="70"/>
  <c r="G33" i="70"/>
  <c r="J32" i="70"/>
  <c r="H32" i="70"/>
  <c r="G32" i="70"/>
  <c r="G31" i="70"/>
  <c r="H30" i="70"/>
  <c r="G30" i="70"/>
  <c r="H29" i="70"/>
  <c r="G29" i="70"/>
  <c r="J28" i="70"/>
  <c r="H28" i="70"/>
  <c r="G28" i="70"/>
  <c r="J27" i="70"/>
  <c r="H27" i="70"/>
  <c r="G27" i="70"/>
  <c r="G26" i="70"/>
  <c r="J25" i="70"/>
  <c r="H25" i="70"/>
  <c r="G25" i="70"/>
  <c r="J24" i="70"/>
  <c r="H24" i="70"/>
  <c r="G24" i="70"/>
  <c r="H23" i="70"/>
  <c r="G23" i="70"/>
  <c r="J22" i="70"/>
  <c r="H22" i="70"/>
  <c r="G22" i="70"/>
  <c r="J21" i="70"/>
  <c r="H21" i="70"/>
  <c r="G21" i="70"/>
  <c r="G20" i="70"/>
  <c r="J19" i="70"/>
  <c r="H19" i="70"/>
  <c r="G19" i="70"/>
  <c r="J18" i="70"/>
  <c r="H18" i="70"/>
  <c r="G18" i="70"/>
  <c r="H17" i="70"/>
  <c r="G17" i="70"/>
  <c r="J16" i="70"/>
  <c r="H16" i="70"/>
  <c r="G16" i="70"/>
  <c r="J15" i="70"/>
  <c r="H15" i="70"/>
  <c r="G15" i="70"/>
  <c r="G14" i="70"/>
  <c r="J13" i="70"/>
  <c r="H13" i="70"/>
  <c r="G13" i="70"/>
  <c r="G12" i="70"/>
  <c r="G11" i="70"/>
  <c r="J10" i="70"/>
  <c r="H10" i="70"/>
  <c r="G10" i="70"/>
  <c r="H9" i="70"/>
  <c r="G9" i="70"/>
  <c r="J9" i="70" s="1"/>
  <c r="G69" i="69"/>
  <c r="G68" i="69"/>
  <c r="G67" i="69"/>
  <c r="G66" i="69"/>
  <c r="E61" i="69"/>
  <c r="D61" i="69"/>
  <c r="C61" i="69"/>
  <c r="E60" i="69"/>
  <c r="D60" i="69"/>
  <c r="C60" i="69"/>
  <c r="H54" i="69"/>
  <c r="G54" i="69"/>
  <c r="H53" i="69"/>
  <c r="G53" i="69"/>
  <c r="G52" i="69"/>
  <c r="H52" i="69" s="1"/>
  <c r="F45" i="69"/>
  <c r="E45" i="69"/>
  <c r="D45" i="69"/>
  <c r="C45" i="69"/>
  <c r="H44" i="69"/>
  <c r="G44" i="69"/>
  <c r="J44" i="69" s="1"/>
  <c r="G43" i="69"/>
  <c r="J42" i="69"/>
  <c r="H42" i="69"/>
  <c r="G42" i="69"/>
  <c r="G41" i="69"/>
  <c r="J40" i="69"/>
  <c r="H40" i="69"/>
  <c r="G40" i="69"/>
  <c r="H39" i="69"/>
  <c r="G39" i="69"/>
  <c r="J39" i="69" s="1"/>
  <c r="G38" i="69"/>
  <c r="J37" i="69"/>
  <c r="H37" i="69"/>
  <c r="G37" i="69"/>
  <c r="H36" i="69"/>
  <c r="G36" i="69"/>
  <c r="J36" i="69" s="1"/>
  <c r="G35" i="69"/>
  <c r="J34" i="69"/>
  <c r="H34" i="69"/>
  <c r="G34" i="69"/>
  <c r="H33" i="69"/>
  <c r="G33" i="69"/>
  <c r="J32" i="69"/>
  <c r="G32" i="69"/>
  <c r="J31" i="69"/>
  <c r="H31" i="69"/>
  <c r="G31" i="69"/>
  <c r="H30" i="69"/>
  <c r="G30" i="69"/>
  <c r="J30" i="69" s="1"/>
  <c r="G29" i="69"/>
  <c r="J28" i="69"/>
  <c r="H28" i="69"/>
  <c r="G28" i="69"/>
  <c r="G27" i="69"/>
  <c r="H26" i="69"/>
  <c r="G26" i="69"/>
  <c r="H25" i="69"/>
  <c r="G25" i="69"/>
  <c r="J24" i="69"/>
  <c r="G24" i="69"/>
  <c r="J23" i="69"/>
  <c r="H23" i="69"/>
  <c r="G23" i="69"/>
  <c r="H22" i="69"/>
  <c r="G22" i="69"/>
  <c r="J22" i="69" s="1"/>
  <c r="G21" i="69"/>
  <c r="J20" i="69"/>
  <c r="H20" i="69"/>
  <c r="G20" i="69"/>
  <c r="H19" i="69"/>
  <c r="G19" i="69"/>
  <c r="J18" i="69"/>
  <c r="G18" i="69"/>
  <c r="J17" i="69"/>
  <c r="H17" i="69"/>
  <c r="G17" i="69"/>
  <c r="H16" i="69"/>
  <c r="G16" i="69"/>
  <c r="J16" i="69" s="1"/>
  <c r="G15" i="69"/>
  <c r="J14" i="69"/>
  <c r="H14" i="69"/>
  <c r="G14" i="69"/>
  <c r="G13" i="69"/>
  <c r="J12" i="69"/>
  <c r="G12" i="69"/>
  <c r="J11" i="69"/>
  <c r="H11" i="69"/>
  <c r="G11" i="69"/>
  <c r="H10" i="69"/>
  <c r="G10" i="69"/>
  <c r="J10" i="69" s="1"/>
  <c r="G9" i="69"/>
  <c r="G62" i="68"/>
  <c r="G61" i="68"/>
  <c r="G60" i="68"/>
  <c r="G59" i="68"/>
  <c r="E54" i="68"/>
  <c r="D54" i="68"/>
  <c r="C54" i="68"/>
  <c r="E53" i="68"/>
  <c r="D53" i="68"/>
  <c r="C53" i="68"/>
  <c r="G47" i="68"/>
  <c r="H47" i="68" s="1"/>
  <c r="G46" i="68"/>
  <c r="H46" i="68" s="1"/>
  <c r="H45" i="68"/>
  <c r="G45" i="68"/>
  <c r="F38" i="68"/>
  <c r="E38" i="68"/>
  <c r="D38" i="68"/>
  <c r="C38" i="68"/>
  <c r="H37" i="68"/>
  <c r="G37" i="68"/>
  <c r="G36" i="68"/>
  <c r="G35" i="68"/>
  <c r="J34" i="68"/>
  <c r="H34" i="68"/>
  <c r="G34" i="68"/>
  <c r="G33" i="68"/>
  <c r="H32" i="68"/>
  <c r="G32" i="68"/>
  <c r="H31" i="68"/>
  <c r="G31" i="68"/>
  <c r="J30" i="68"/>
  <c r="G30" i="68"/>
  <c r="J29" i="68"/>
  <c r="H29" i="68"/>
  <c r="G29" i="68"/>
  <c r="H28" i="68"/>
  <c r="G28" i="68"/>
  <c r="J28" i="68" s="1"/>
  <c r="H27" i="68"/>
  <c r="G27" i="68"/>
  <c r="J26" i="68"/>
  <c r="H26" i="68"/>
  <c r="G26" i="68"/>
  <c r="G25" i="68"/>
  <c r="H24" i="68"/>
  <c r="G24" i="68"/>
  <c r="H23" i="68"/>
  <c r="G23" i="68"/>
  <c r="J22" i="68"/>
  <c r="H22" i="68"/>
  <c r="G22" i="68"/>
  <c r="H21" i="68"/>
  <c r="G21" i="68"/>
  <c r="G20" i="68"/>
  <c r="H19" i="68"/>
  <c r="G19" i="68"/>
  <c r="G18" i="68"/>
  <c r="J17" i="68"/>
  <c r="H17" i="68"/>
  <c r="G17" i="68"/>
  <c r="G16" i="68"/>
  <c r="J15" i="68"/>
  <c r="H15" i="68"/>
  <c r="G15" i="68"/>
  <c r="H14" i="68"/>
  <c r="G14" i="68"/>
  <c r="J14" i="68" s="1"/>
  <c r="G13" i="68"/>
  <c r="G12" i="68"/>
  <c r="H11" i="68"/>
  <c r="G11" i="68"/>
  <c r="J10" i="68"/>
  <c r="H10" i="68"/>
  <c r="G10" i="68"/>
  <c r="H9" i="68"/>
  <c r="G9" i="68"/>
  <c r="G69" i="67"/>
  <c r="G68" i="67"/>
  <c r="G67" i="67"/>
  <c r="G66" i="67"/>
  <c r="E61" i="67"/>
  <c r="D61" i="67"/>
  <c r="C61" i="67"/>
  <c r="E60" i="67"/>
  <c r="D60" i="67"/>
  <c r="C60" i="67"/>
  <c r="H54" i="67"/>
  <c r="G54" i="67"/>
  <c r="H53" i="67"/>
  <c r="G53" i="67"/>
  <c r="G52" i="67"/>
  <c r="H52" i="67" s="1"/>
  <c r="F45" i="67"/>
  <c r="E45" i="67"/>
  <c r="D45" i="67"/>
  <c r="C45" i="67"/>
  <c r="H44" i="67"/>
  <c r="G44" i="67"/>
  <c r="J43" i="67"/>
  <c r="H43" i="67"/>
  <c r="G43" i="67"/>
  <c r="G42" i="67"/>
  <c r="H41" i="67"/>
  <c r="G41" i="67"/>
  <c r="J40" i="67"/>
  <c r="H40" i="67"/>
  <c r="G40" i="67"/>
  <c r="H39" i="67"/>
  <c r="G39" i="67"/>
  <c r="H38" i="67"/>
  <c r="G38" i="67"/>
  <c r="J37" i="67"/>
  <c r="H37" i="67"/>
  <c r="G37" i="67"/>
  <c r="G36" i="67"/>
  <c r="H35" i="67"/>
  <c r="G35" i="67"/>
  <c r="H34" i="67"/>
  <c r="G34" i="67"/>
  <c r="J33" i="67"/>
  <c r="H33" i="67"/>
  <c r="G33" i="67"/>
  <c r="G32" i="67"/>
  <c r="H31" i="67"/>
  <c r="G31" i="67"/>
  <c r="J30" i="67"/>
  <c r="H30" i="67"/>
  <c r="G30" i="67"/>
  <c r="J29" i="67"/>
  <c r="H29" i="67"/>
  <c r="G29" i="67"/>
  <c r="G28" i="67"/>
  <c r="J27" i="67"/>
  <c r="H27" i="67"/>
  <c r="G27" i="67"/>
  <c r="H26" i="67"/>
  <c r="G26" i="67"/>
  <c r="J26" i="67" s="1"/>
  <c r="H25" i="67"/>
  <c r="G25" i="67"/>
  <c r="J24" i="67"/>
  <c r="H24" i="67"/>
  <c r="G24" i="67"/>
  <c r="G23" i="67"/>
  <c r="H22" i="67"/>
  <c r="G22" i="67"/>
  <c r="J21" i="67"/>
  <c r="H21" i="67"/>
  <c r="G21" i="67"/>
  <c r="J20" i="67"/>
  <c r="H20" i="67"/>
  <c r="G20" i="67"/>
  <c r="G19" i="67"/>
  <c r="J18" i="67"/>
  <c r="H18" i="67"/>
  <c r="G18" i="67"/>
  <c r="J17" i="67"/>
  <c r="H17" i="67"/>
  <c r="G17" i="67"/>
  <c r="G16" i="67"/>
  <c r="J15" i="67"/>
  <c r="H15" i="67"/>
  <c r="G15" i="67"/>
  <c r="H14" i="67"/>
  <c r="G14" i="67"/>
  <c r="J14" i="67" s="1"/>
  <c r="J13" i="67"/>
  <c r="H13" i="67"/>
  <c r="G13" i="67"/>
  <c r="J12" i="67"/>
  <c r="H12" i="67"/>
  <c r="G12" i="67"/>
  <c r="H11" i="67"/>
  <c r="G11" i="67"/>
  <c r="J10" i="67"/>
  <c r="H10" i="67"/>
  <c r="G10" i="67"/>
  <c r="J9" i="67"/>
  <c r="H9" i="67"/>
  <c r="G9" i="67"/>
  <c r="G61" i="66"/>
  <c r="G60" i="66"/>
  <c r="G59" i="66"/>
  <c r="G58" i="66"/>
  <c r="E53" i="66"/>
  <c r="D53" i="66"/>
  <c r="C53" i="66"/>
  <c r="E52" i="66"/>
  <c r="D52" i="66"/>
  <c r="C52" i="66"/>
  <c r="H46" i="66"/>
  <c r="G46" i="66"/>
  <c r="H45" i="66"/>
  <c r="G45" i="66"/>
  <c r="G44" i="66"/>
  <c r="H44" i="66" s="1"/>
  <c r="F37" i="66"/>
  <c r="E37" i="66"/>
  <c r="D37" i="66"/>
  <c r="C37" i="66"/>
  <c r="J36" i="66"/>
  <c r="H36" i="66"/>
  <c r="G36" i="66"/>
  <c r="H35" i="66"/>
  <c r="G35" i="66"/>
  <c r="G34" i="66"/>
  <c r="J33" i="66"/>
  <c r="H33" i="66"/>
  <c r="G33" i="66"/>
  <c r="G32" i="66"/>
  <c r="H31" i="66"/>
  <c r="G31" i="66"/>
  <c r="G30" i="66"/>
  <c r="H29" i="66"/>
  <c r="G29" i="66"/>
  <c r="H28" i="66"/>
  <c r="G28" i="66"/>
  <c r="G27" i="66"/>
  <c r="H26" i="66"/>
  <c r="G26" i="66"/>
  <c r="J25" i="66"/>
  <c r="H25" i="66"/>
  <c r="G25" i="66"/>
  <c r="G24" i="66"/>
  <c r="J23" i="66"/>
  <c r="H23" i="66"/>
  <c r="G23" i="66"/>
  <c r="J22" i="66"/>
  <c r="H22" i="66"/>
  <c r="G22" i="66"/>
  <c r="J21" i="66"/>
  <c r="H21" i="66"/>
  <c r="G21" i="66"/>
  <c r="J20" i="66"/>
  <c r="H20" i="66"/>
  <c r="G20" i="66"/>
  <c r="J19" i="66"/>
  <c r="H19" i="66"/>
  <c r="G19" i="66"/>
  <c r="J18" i="66"/>
  <c r="H18" i="66"/>
  <c r="G18" i="66"/>
  <c r="G17" i="66"/>
  <c r="J16" i="66"/>
  <c r="H16" i="66"/>
  <c r="G16" i="66"/>
  <c r="H15" i="66"/>
  <c r="G15" i="66"/>
  <c r="H14" i="66"/>
  <c r="G14" i="66"/>
  <c r="H13" i="66"/>
  <c r="G13" i="66"/>
  <c r="J13" i="66" s="1"/>
  <c r="J12" i="66"/>
  <c r="H12" i="66"/>
  <c r="G12" i="66"/>
  <c r="J11" i="66"/>
  <c r="H11" i="66"/>
  <c r="G11" i="66"/>
  <c r="H10" i="66"/>
  <c r="G10" i="66"/>
  <c r="J9" i="66"/>
  <c r="H9" i="66"/>
  <c r="G9" i="66"/>
  <c r="G66" i="65"/>
  <c r="G65" i="65"/>
  <c r="G64" i="65"/>
  <c r="G63" i="65"/>
  <c r="E58" i="65"/>
  <c r="D58" i="65"/>
  <c r="C58" i="65"/>
  <c r="E57" i="65"/>
  <c r="D57" i="65"/>
  <c r="C57" i="65"/>
  <c r="H51" i="65"/>
  <c r="G51" i="65"/>
  <c r="G50" i="65"/>
  <c r="H50" i="65" s="1"/>
  <c r="H49" i="65"/>
  <c r="G49" i="65"/>
  <c r="F42" i="65"/>
  <c r="E42" i="65"/>
  <c r="D42" i="65"/>
  <c r="C42" i="65"/>
  <c r="G41" i="65"/>
  <c r="J40" i="65"/>
  <c r="H40" i="65"/>
  <c r="G40" i="65"/>
  <c r="G39" i="65"/>
  <c r="H38" i="65"/>
  <c r="G38" i="65"/>
  <c r="J37" i="65"/>
  <c r="H37" i="65"/>
  <c r="G37" i="65"/>
  <c r="G36" i="65"/>
  <c r="H35" i="65"/>
  <c r="G35" i="65"/>
  <c r="H34" i="65"/>
  <c r="G34" i="65"/>
  <c r="G33" i="65"/>
  <c r="H32" i="65"/>
  <c r="G32" i="65"/>
  <c r="J32" i="65" s="1"/>
  <c r="J31" i="65"/>
  <c r="G31" i="65"/>
  <c r="H31" i="65" s="1"/>
  <c r="G30" i="65"/>
  <c r="H29" i="65"/>
  <c r="G29" i="65"/>
  <c r="J29" i="65" s="1"/>
  <c r="G28" i="65"/>
  <c r="J27" i="65"/>
  <c r="H27" i="65"/>
  <c r="G27" i="65"/>
  <c r="H26" i="65"/>
  <c r="G26" i="65"/>
  <c r="J25" i="65"/>
  <c r="G25" i="65"/>
  <c r="H25" i="65" s="1"/>
  <c r="G24" i="65"/>
  <c r="H23" i="65"/>
  <c r="G23" i="65"/>
  <c r="J23" i="65" s="1"/>
  <c r="J22" i="65"/>
  <c r="G22" i="65"/>
  <c r="H22" i="65" s="1"/>
  <c r="G21" i="65"/>
  <c r="G20" i="65"/>
  <c r="H19" i="65"/>
  <c r="G19" i="65"/>
  <c r="H18" i="65"/>
  <c r="G18" i="65"/>
  <c r="J18" i="65" s="1"/>
  <c r="H17" i="65"/>
  <c r="G17" i="65"/>
  <c r="G16" i="65"/>
  <c r="H16" i="65" s="1"/>
  <c r="J15" i="65"/>
  <c r="G15" i="65"/>
  <c r="H15" i="65" s="1"/>
  <c r="H14" i="65"/>
  <c r="G14" i="65"/>
  <c r="J13" i="65"/>
  <c r="H13" i="65"/>
  <c r="G13" i="65"/>
  <c r="J12" i="65"/>
  <c r="H12" i="65"/>
  <c r="G12" i="65"/>
  <c r="G11" i="65"/>
  <c r="J10" i="65"/>
  <c r="H10" i="65"/>
  <c r="G10" i="65"/>
  <c r="J9" i="65"/>
  <c r="H9" i="65"/>
  <c r="G9" i="65"/>
  <c r="G62" i="64"/>
  <c r="G61" i="64"/>
  <c r="G60" i="64"/>
  <c r="G59" i="64"/>
  <c r="E54" i="64"/>
  <c r="D54" i="64"/>
  <c r="C54" i="64"/>
  <c r="E53" i="64"/>
  <c r="D53" i="64"/>
  <c r="C53" i="64"/>
  <c r="H47" i="64"/>
  <c r="G47" i="64"/>
  <c r="H46" i="64"/>
  <c r="G46" i="64"/>
  <c r="G45" i="64"/>
  <c r="H45" i="64" s="1"/>
  <c r="F38" i="64"/>
  <c r="E38" i="64"/>
  <c r="D38" i="64"/>
  <c r="C38" i="64"/>
  <c r="G37" i="64"/>
  <c r="H36" i="64"/>
  <c r="G36" i="64"/>
  <c r="J36" i="64" s="1"/>
  <c r="G35" i="64"/>
  <c r="J34" i="64"/>
  <c r="H34" i="64"/>
  <c r="G34" i="64"/>
  <c r="H33" i="64"/>
  <c r="G33" i="64"/>
  <c r="J32" i="64"/>
  <c r="G32" i="64"/>
  <c r="H32" i="64" s="1"/>
  <c r="H31" i="64"/>
  <c r="G31" i="64"/>
  <c r="H30" i="64"/>
  <c r="G30" i="64"/>
  <c r="J30" i="64" s="1"/>
  <c r="H29" i="64"/>
  <c r="G29" i="64"/>
  <c r="G28" i="64"/>
  <c r="J27" i="64"/>
  <c r="H27" i="64"/>
  <c r="G27" i="64"/>
  <c r="J26" i="64"/>
  <c r="H26" i="64"/>
  <c r="G26" i="64"/>
  <c r="J25" i="64"/>
  <c r="H25" i="64"/>
  <c r="G25" i="64"/>
  <c r="G24" i="64"/>
  <c r="J23" i="64"/>
  <c r="H23" i="64"/>
  <c r="G23" i="64"/>
  <c r="J22" i="64"/>
  <c r="H22" i="64"/>
  <c r="G22" i="64"/>
  <c r="H21" i="64"/>
  <c r="G21" i="64"/>
  <c r="J20" i="64"/>
  <c r="H20" i="64"/>
  <c r="G20" i="64"/>
  <c r="J19" i="64"/>
  <c r="H19" i="64"/>
  <c r="G19" i="64"/>
  <c r="G18" i="64"/>
  <c r="J17" i="64"/>
  <c r="H17" i="64"/>
  <c r="G17" i="64"/>
  <c r="H16" i="64"/>
  <c r="G16" i="64"/>
  <c r="J15" i="64"/>
  <c r="H15" i="64"/>
  <c r="G15" i="64"/>
  <c r="J14" i="64"/>
  <c r="H14" i="64"/>
  <c r="G14" i="64"/>
  <c r="H13" i="64"/>
  <c r="G13" i="64"/>
  <c r="J12" i="64"/>
  <c r="H12" i="64"/>
  <c r="G12" i="64"/>
  <c r="J11" i="64"/>
  <c r="H11" i="64"/>
  <c r="G11" i="64"/>
  <c r="G10" i="64"/>
  <c r="J9" i="64"/>
  <c r="H9" i="64"/>
  <c r="G9" i="64"/>
  <c r="G70" i="63"/>
  <c r="G69" i="63"/>
  <c r="G68" i="63"/>
  <c r="G67" i="63"/>
  <c r="E62" i="63"/>
  <c r="D62" i="63"/>
  <c r="C62" i="63"/>
  <c r="E61" i="63"/>
  <c r="D61" i="63"/>
  <c r="C61" i="63"/>
  <c r="H55" i="63"/>
  <c r="G55" i="63"/>
  <c r="H54" i="63"/>
  <c r="G54" i="63"/>
  <c r="H53" i="63"/>
  <c r="G53" i="63"/>
  <c r="F46" i="63"/>
  <c r="E46" i="63"/>
  <c r="D46" i="63"/>
  <c r="C46" i="63"/>
  <c r="J45" i="63"/>
  <c r="H45" i="63"/>
  <c r="G45" i="63"/>
  <c r="H44" i="63"/>
  <c r="G44" i="63"/>
  <c r="J43" i="63"/>
  <c r="H43" i="63"/>
  <c r="G43" i="63"/>
  <c r="H42" i="63"/>
  <c r="G42" i="63"/>
  <c r="H41" i="63"/>
  <c r="G41" i="63"/>
  <c r="G40" i="63"/>
  <c r="G39" i="63"/>
  <c r="J38" i="63"/>
  <c r="H38" i="63"/>
  <c r="G38" i="63"/>
  <c r="G37" i="63"/>
  <c r="G36" i="63"/>
  <c r="J35" i="63"/>
  <c r="H35" i="63"/>
  <c r="G35" i="63"/>
  <c r="G34" i="63"/>
  <c r="J34" i="63" s="1"/>
  <c r="G33" i="63"/>
  <c r="J32" i="63"/>
  <c r="H32" i="63"/>
  <c r="G32" i="63"/>
  <c r="G31" i="63"/>
  <c r="J30" i="63"/>
  <c r="H30" i="63"/>
  <c r="G30" i="63"/>
  <c r="J29" i="63"/>
  <c r="H29" i="63"/>
  <c r="G29" i="63"/>
  <c r="G28" i="63"/>
  <c r="J27" i="63"/>
  <c r="H27" i="63"/>
  <c r="G27" i="63"/>
  <c r="J26" i="63"/>
  <c r="H26" i="63"/>
  <c r="G26" i="63"/>
  <c r="G25" i="63"/>
  <c r="J24" i="63"/>
  <c r="H24" i="63"/>
  <c r="G24" i="63"/>
  <c r="J23" i="63"/>
  <c r="H23" i="63"/>
  <c r="G23" i="63"/>
  <c r="G22" i="63"/>
  <c r="J21" i="63"/>
  <c r="H21" i="63"/>
  <c r="G21" i="63"/>
  <c r="J20" i="63"/>
  <c r="H20" i="63"/>
  <c r="G20" i="63"/>
  <c r="G19" i="63"/>
  <c r="J18" i="63"/>
  <c r="H18" i="63"/>
  <c r="G18" i="63"/>
  <c r="J17" i="63"/>
  <c r="H17" i="63"/>
  <c r="G17" i="63"/>
  <c r="G16" i="63"/>
  <c r="J15" i="63"/>
  <c r="H15" i="63"/>
  <c r="G15" i="63"/>
  <c r="J14" i="63"/>
  <c r="H14" i="63"/>
  <c r="G14" i="63"/>
  <c r="G13" i="63"/>
  <c r="G12" i="63"/>
  <c r="H12" i="63" s="1"/>
  <c r="H11" i="63"/>
  <c r="G11" i="63"/>
  <c r="G10" i="63"/>
  <c r="H10" i="63" s="1"/>
  <c r="G9" i="63"/>
  <c r="G73" i="62"/>
  <c r="G72" i="62"/>
  <c r="G71" i="62"/>
  <c r="G70" i="62"/>
  <c r="E65" i="62"/>
  <c r="D65" i="62"/>
  <c r="C65" i="62"/>
  <c r="E64" i="62"/>
  <c r="D64" i="62"/>
  <c r="C64" i="62"/>
  <c r="G58" i="62"/>
  <c r="H58" i="62" s="1"/>
  <c r="G57" i="62"/>
  <c r="H57" i="62" s="1"/>
  <c r="G56" i="62"/>
  <c r="H56" i="62" s="1"/>
  <c r="F49" i="62"/>
  <c r="E49" i="62"/>
  <c r="D49" i="62"/>
  <c r="C49" i="62"/>
  <c r="H48" i="62"/>
  <c r="G48" i="62"/>
  <c r="G47" i="62"/>
  <c r="H47" i="62" s="1"/>
  <c r="G46" i="62"/>
  <c r="G45" i="62"/>
  <c r="H45" i="62" s="1"/>
  <c r="G44" i="62"/>
  <c r="J44" i="62" s="1"/>
  <c r="G43" i="62"/>
  <c r="J42" i="62"/>
  <c r="G42" i="62"/>
  <c r="H42" i="62" s="1"/>
  <c r="G41" i="62"/>
  <c r="G40" i="62"/>
  <c r="H40" i="62" s="1"/>
  <c r="H39" i="62"/>
  <c r="G39" i="62"/>
  <c r="J39" i="62" s="1"/>
  <c r="G38" i="62"/>
  <c r="J37" i="62"/>
  <c r="G37" i="62"/>
  <c r="H37" i="62" s="1"/>
  <c r="G36" i="62"/>
  <c r="J36" i="62" s="1"/>
  <c r="G35" i="62"/>
  <c r="J34" i="62"/>
  <c r="G34" i="62"/>
  <c r="H34" i="62" s="1"/>
  <c r="G33" i="62"/>
  <c r="G32" i="62"/>
  <c r="J31" i="62"/>
  <c r="G31" i="62"/>
  <c r="H31" i="62" s="1"/>
  <c r="G30" i="62"/>
  <c r="G29" i="62"/>
  <c r="G28" i="62"/>
  <c r="G27" i="62"/>
  <c r="G26" i="62"/>
  <c r="G25" i="62"/>
  <c r="G24" i="62"/>
  <c r="J23" i="62"/>
  <c r="G23" i="62"/>
  <c r="G22" i="62"/>
  <c r="H21" i="62"/>
  <c r="G21" i="62"/>
  <c r="J21" i="62" s="1"/>
  <c r="G20" i="62"/>
  <c r="J19" i="62"/>
  <c r="G19" i="62"/>
  <c r="H19" i="62" s="1"/>
  <c r="G18" i="62"/>
  <c r="J17" i="62"/>
  <c r="H17" i="62"/>
  <c r="G17" i="62"/>
  <c r="J16" i="62"/>
  <c r="G16" i="62"/>
  <c r="H16" i="62" s="1"/>
  <c r="G15" i="62"/>
  <c r="J14" i="62"/>
  <c r="H14" i="62"/>
  <c r="G14" i="62"/>
  <c r="H13" i="62"/>
  <c r="G13" i="62"/>
  <c r="J13" i="62" s="1"/>
  <c r="G12" i="62"/>
  <c r="H12" i="62" s="1"/>
  <c r="H11" i="62"/>
  <c r="G11" i="62"/>
  <c r="H10" i="62"/>
  <c r="G10" i="62"/>
  <c r="J9" i="62"/>
  <c r="H9" i="62"/>
  <c r="G9" i="62"/>
  <c r="G65" i="61"/>
  <c r="G64" i="61"/>
  <c r="G63" i="61"/>
  <c r="G62" i="61"/>
  <c r="E57" i="61"/>
  <c r="D57" i="61"/>
  <c r="C57" i="61"/>
  <c r="E56" i="61"/>
  <c r="D56" i="61"/>
  <c r="C56" i="61"/>
  <c r="H50" i="61"/>
  <c r="G50" i="61"/>
  <c r="H49" i="61"/>
  <c r="G49" i="61"/>
  <c r="G48" i="61"/>
  <c r="H48" i="61" s="1"/>
  <c r="F41" i="61"/>
  <c r="E41" i="61"/>
  <c r="D41" i="61"/>
  <c r="C41" i="61"/>
  <c r="J40" i="61"/>
  <c r="H40" i="61"/>
  <c r="G40" i="61"/>
  <c r="H39" i="61"/>
  <c r="G39" i="61"/>
  <c r="G38" i="61"/>
  <c r="J37" i="61"/>
  <c r="G37" i="61"/>
  <c r="H37" i="61" s="1"/>
  <c r="H36" i="61"/>
  <c r="G36" i="61"/>
  <c r="J36" i="61" s="1"/>
  <c r="J35" i="61"/>
  <c r="G35" i="61"/>
  <c r="H35" i="61" s="1"/>
  <c r="G34" i="61"/>
  <c r="G33" i="61"/>
  <c r="J32" i="61"/>
  <c r="G32" i="61"/>
  <c r="G31" i="61"/>
  <c r="H30" i="61"/>
  <c r="G30" i="61"/>
  <c r="J30" i="61" s="1"/>
  <c r="G29" i="61"/>
  <c r="H28" i="61"/>
  <c r="G28" i="61"/>
  <c r="H27" i="61"/>
  <c r="G27" i="61"/>
  <c r="J26" i="61"/>
  <c r="H26" i="61"/>
  <c r="G26" i="61"/>
  <c r="J25" i="61"/>
  <c r="G25" i="61"/>
  <c r="H25" i="61" s="1"/>
  <c r="G24" i="61"/>
  <c r="J23" i="61"/>
  <c r="H23" i="61"/>
  <c r="G23" i="61"/>
  <c r="H22" i="61"/>
  <c r="G22" i="61"/>
  <c r="J22" i="61" s="1"/>
  <c r="J21" i="61"/>
  <c r="G21" i="61"/>
  <c r="J20" i="61"/>
  <c r="G20" i="61"/>
  <c r="H20" i="61" s="1"/>
  <c r="G19" i="61"/>
  <c r="J18" i="61"/>
  <c r="G18" i="61"/>
  <c r="H18" i="61" s="1"/>
  <c r="J17" i="61"/>
  <c r="G17" i="61"/>
  <c r="H17" i="61" s="1"/>
  <c r="G16" i="61"/>
  <c r="H15" i="61"/>
  <c r="G15" i="61"/>
  <c r="H14" i="61"/>
  <c r="G14" i="61"/>
  <c r="J14" i="61" s="1"/>
  <c r="J13" i="61"/>
  <c r="G13" i="61"/>
  <c r="J12" i="61"/>
  <c r="H12" i="61"/>
  <c r="G12" i="61"/>
  <c r="H11" i="61"/>
  <c r="G11" i="61"/>
  <c r="J11" i="61" s="1"/>
  <c r="J10" i="61"/>
  <c r="G10" i="61"/>
  <c r="J9" i="61"/>
  <c r="H9" i="61"/>
  <c r="G9" i="61"/>
  <c r="G68" i="60"/>
  <c r="G67" i="60"/>
  <c r="G66" i="60"/>
  <c r="G65" i="60"/>
  <c r="E60" i="60"/>
  <c r="D60" i="60"/>
  <c r="C60" i="60"/>
  <c r="E59" i="60"/>
  <c r="D59" i="60"/>
  <c r="C59" i="60"/>
  <c r="H53" i="60"/>
  <c r="G53" i="60"/>
  <c r="G52" i="60"/>
  <c r="H52" i="60" s="1"/>
  <c r="H51" i="60"/>
  <c r="G51" i="60"/>
  <c r="F44" i="60"/>
  <c r="E44" i="60"/>
  <c r="D44" i="60"/>
  <c r="C44" i="60"/>
  <c r="G43" i="60"/>
  <c r="H43" i="60" s="1"/>
  <c r="G42" i="60"/>
  <c r="G41" i="60"/>
  <c r="H41" i="60" s="1"/>
  <c r="G40" i="60"/>
  <c r="J39" i="60"/>
  <c r="G39" i="60"/>
  <c r="H39" i="60" s="1"/>
  <c r="G38" i="60"/>
  <c r="G37" i="60"/>
  <c r="J36" i="60"/>
  <c r="H36" i="60"/>
  <c r="G36" i="60"/>
  <c r="H35" i="60"/>
  <c r="G35" i="60"/>
  <c r="J35" i="60" s="1"/>
  <c r="G34" i="60"/>
  <c r="J33" i="60"/>
  <c r="H33" i="60"/>
  <c r="G33" i="60"/>
  <c r="H32" i="60"/>
  <c r="G32" i="60"/>
  <c r="J32" i="60" s="1"/>
  <c r="G31" i="60"/>
  <c r="J30" i="60"/>
  <c r="H30" i="60"/>
  <c r="G30" i="60"/>
  <c r="H29" i="60"/>
  <c r="G29" i="60"/>
  <c r="J29" i="60" s="1"/>
  <c r="G28" i="60"/>
  <c r="J27" i="60"/>
  <c r="H27" i="60"/>
  <c r="G27" i="60"/>
  <c r="H26" i="60"/>
  <c r="G26" i="60"/>
  <c r="J26" i="60" s="1"/>
  <c r="G25" i="60"/>
  <c r="J24" i="60"/>
  <c r="H24" i="60"/>
  <c r="G24" i="60"/>
  <c r="H23" i="60"/>
  <c r="G23" i="60"/>
  <c r="J23" i="60" s="1"/>
  <c r="G22" i="60"/>
  <c r="J21" i="60"/>
  <c r="H21" i="60"/>
  <c r="G21" i="60"/>
  <c r="H20" i="60"/>
  <c r="G20" i="60"/>
  <c r="J20" i="60" s="1"/>
  <c r="J19" i="60"/>
  <c r="G19" i="60"/>
  <c r="J18" i="60"/>
  <c r="H18" i="60"/>
  <c r="G18" i="60"/>
  <c r="H17" i="60"/>
  <c r="G17" i="60"/>
  <c r="J17" i="60" s="1"/>
  <c r="G16" i="60"/>
  <c r="G15" i="60"/>
  <c r="H15" i="60" s="1"/>
  <c r="G14" i="60"/>
  <c r="J13" i="60"/>
  <c r="G13" i="60"/>
  <c r="H13" i="60" s="1"/>
  <c r="G12" i="60"/>
  <c r="G11" i="60"/>
  <c r="J10" i="60"/>
  <c r="G10" i="60"/>
  <c r="H10" i="60" s="1"/>
  <c r="J9" i="60"/>
  <c r="H9" i="60"/>
  <c r="G9" i="60"/>
  <c r="G61" i="59"/>
  <c r="G60" i="59"/>
  <c r="G59" i="59"/>
  <c r="G58" i="59"/>
  <c r="E53" i="59"/>
  <c r="D53" i="59"/>
  <c r="C53" i="59"/>
  <c r="E52" i="59"/>
  <c r="D52" i="59"/>
  <c r="C52" i="59"/>
  <c r="H46" i="59"/>
  <c r="G46" i="59"/>
  <c r="G45" i="59"/>
  <c r="H45" i="59" s="1"/>
  <c r="G44" i="59"/>
  <c r="H44" i="59" s="1"/>
  <c r="F37" i="59"/>
  <c r="E37" i="59"/>
  <c r="D37" i="59"/>
  <c r="C37" i="59"/>
  <c r="G36" i="59"/>
  <c r="G35" i="59"/>
  <c r="H35" i="59" s="1"/>
  <c r="G34" i="59"/>
  <c r="H33" i="59"/>
  <c r="G33" i="59"/>
  <c r="H32" i="59"/>
  <c r="G32" i="59"/>
  <c r="H31" i="59"/>
  <c r="G31" i="59"/>
  <c r="J30" i="59"/>
  <c r="G30" i="59"/>
  <c r="H30" i="59" s="1"/>
  <c r="H29" i="59"/>
  <c r="G29" i="59"/>
  <c r="J29" i="59" s="1"/>
  <c r="H28" i="59"/>
  <c r="G28" i="59"/>
  <c r="J27" i="59"/>
  <c r="G27" i="59"/>
  <c r="H27" i="59" s="1"/>
  <c r="J26" i="59"/>
  <c r="G26" i="59"/>
  <c r="H26" i="59" s="1"/>
  <c r="H25" i="59"/>
  <c r="G25" i="59"/>
  <c r="J24" i="59"/>
  <c r="G24" i="59"/>
  <c r="H24" i="59" s="1"/>
  <c r="H23" i="59"/>
  <c r="G23" i="59"/>
  <c r="J23" i="59" s="1"/>
  <c r="H22" i="59"/>
  <c r="G22" i="59"/>
  <c r="J21" i="59"/>
  <c r="G21" i="59"/>
  <c r="H21" i="59" s="1"/>
  <c r="J20" i="59"/>
  <c r="G20" i="59"/>
  <c r="H20" i="59" s="1"/>
  <c r="G19" i="59"/>
  <c r="J18" i="59"/>
  <c r="G18" i="59"/>
  <c r="H18" i="59" s="1"/>
  <c r="H17" i="59"/>
  <c r="G17" i="59"/>
  <c r="J17" i="59" s="1"/>
  <c r="H16" i="59"/>
  <c r="G16" i="59"/>
  <c r="J15" i="59"/>
  <c r="G15" i="59"/>
  <c r="H15" i="59" s="1"/>
  <c r="J14" i="59"/>
  <c r="G14" i="59"/>
  <c r="H14" i="59" s="1"/>
  <c r="H13" i="59"/>
  <c r="G13" i="59"/>
  <c r="J12" i="59"/>
  <c r="G12" i="59"/>
  <c r="H12" i="59" s="1"/>
  <c r="H11" i="59"/>
  <c r="G11" i="59"/>
  <c r="H10" i="59"/>
  <c r="G10" i="59"/>
  <c r="J9" i="59"/>
  <c r="G9" i="59"/>
  <c r="H9" i="59" s="1"/>
  <c r="G63" i="58"/>
  <c r="G62" i="58"/>
  <c r="G61" i="58"/>
  <c r="G60" i="58"/>
  <c r="E55" i="58"/>
  <c r="D55" i="58"/>
  <c r="C55" i="58"/>
  <c r="E54" i="58"/>
  <c r="D54" i="58"/>
  <c r="C54" i="58"/>
  <c r="G48" i="58"/>
  <c r="H48" i="58" s="1"/>
  <c r="H47" i="58"/>
  <c r="G47" i="58"/>
  <c r="H46" i="58"/>
  <c r="G46" i="58"/>
  <c r="F39" i="58"/>
  <c r="E39" i="58"/>
  <c r="D39" i="58"/>
  <c r="C39" i="58"/>
  <c r="H38" i="58"/>
  <c r="G38" i="58"/>
  <c r="G37" i="58"/>
  <c r="J36" i="58"/>
  <c r="G36" i="58"/>
  <c r="J35" i="58"/>
  <c r="H35" i="58"/>
  <c r="G35" i="58"/>
  <c r="H34" i="58"/>
  <c r="G34" i="58"/>
  <c r="H33" i="58"/>
  <c r="G33" i="58"/>
  <c r="H32" i="58"/>
  <c r="G32" i="58"/>
  <c r="J31" i="58"/>
  <c r="G31" i="58"/>
  <c r="H31" i="58" s="1"/>
  <c r="H30" i="58"/>
  <c r="G30" i="58"/>
  <c r="J30" i="58" s="1"/>
  <c r="H29" i="58"/>
  <c r="G29" i="58"/>
  <c r="J28" i="58"/>
  <c r="G28" i="58"/>
  <c r="H28" i="58" s="1"/>
  <c r="J27" i="58"/>
  <c r="G27" i="58"/>
  <c r="H27" i="58" s="1"/>
  <c r="G26" i="58"/>
  <c r="H25" i="58"/>
  <c r="G25" i="58"/>
  <c r="G24" i="58"/>
  <c r="H23" i="58"/>
  <c r="G23" i="58"/>
  <c r="G22" i="58"/>
  <c r="J21" i="58"/>
  <c r="H21" i="58"/>
  <c r="G21" i="58"/>
  <c r="G20" i="58"/>
  <c r="G19" i="58"/>
  <c r="G18" i="58"/>
  <c r="H18" i="58" s="1"/>
  <c r="G17" i="58"/>
  <c r="H16" i="58"/>
  <c r="G16" i="58"/>
  <c r="G15" i="58"/>
  <c r="G14" i="58"/>
  <c r="G13" i="58"/>
  <c r="G12" i="58"/>
  <c r="J11" i="58"/>
  <c r="H11" i="58"/>
  <c r="G11" i="58"/>
  <c r="H10" i="58"/>
  <c r="G10" i="58"/>
  <c r="J10" i="58" s="1"/>
  <c r="H9" i="58"/>
  <c r="G9" i="58"/>
  <c r="G51" i="57"/>
  <c r="G50" i="57"/>
  <c r="G49" i="57"/>
  <c r="G48" i="57"/>
  <c r="E43" i="57"/>
  <c r="D43" i="57"/>
  <c r="C43" i="57"/>
  <c r="E42" i="57"/>
  <c r="D42" i="57"/>
  <c r="C42" i="57"/>
  <c r="H36" i="57"/>
  <c r="G36" i="57"/>
  <c r="G35" i="57"/>
  <c r="H35" i="57" s="1"/>
  <c r="G34" i="57"/>
  <c r="H34" i="57" s="1"/>
  <c r="F27" i="57"/>
  <c r="E27" i="57"/>
  <c r="D27" i="57"/>
  <c r="C27" i="57"/>
  <c r="J26" i="57"/>
  <c r="G26" i="57"/>
  <c r="H26" i="57" s="1"/>
  <c r="G25" i="57"/>
  <c r="G24" i="57"/>
  <c r="H23" i="57"/>
  <c r="G23" i="57"/>
  <c r="G22" i="57"/>
  <c r="H21" i="57"/>
  <c r="G21" i="57"/>
  <c r="G20" i="57"/>
  <c r="G19" i="57"/>
  <c r="G18" i="57"/>
  <c r="H17" i="57"/>
  <c r="G17" i="57"/>
  <c r="G16" i="57"/>
  <c r="J15" i="57"/>
  <c r="G15" i="57"/>
  <c r="H15" i="57" s="1"/>
  <c r="G14" i="57"/>
  <c r="G13" i="57"/>
  <c r="J12" i="57"/>
  <c r="H12" i="57"/>
  <c r="G12" i="57"/>
  <c r="J11" i="57"/>
  <c r="G11" i="57"/>
  <c r="H11" i="57" s="1"/>
  <c r="H10" i="57"/>
  <c r="G10" i="57"/>
  <c r="J9" i="57"/>
  <c r="H9" i="57"/>
  <c r="G9" i="57"/>
  <c r="G69" i="56"/>
  <c r="G68" i="56"/>
  <c r="G67" i="56"/>
  <c r="G66" i="56"/>
  <c r="E61" i="56"/>
  <c r="D61" i="56"/>
  <c r="C61" i="56"/>
  <c r="E60" i="56"/>
  <c r="D60" i="56"/>
  <c r="C60" i="56"/>
  <c r="H54" i="56"/>
  <c r="G54" i="56"/>
  <c r="H53" i="56"/>
  <c r="G53" i="56"/>
  <c r="G52" i="56"/>
  <c r="H52" i="56" s="1"/>
  <c r="F45" i="56"/>
  <c r="E45" i="56"/>
  <c r="D45" i="56"/>
  <c r="C45" i="56"/>
  <c r="J44" i="56"/>
  <c r="H44" i="56"/>
  <c r="G44" i="56"/>
  <c r="H43" i="56"/>
  <c r="G43" i="56"/>
  <c r="G42" i="56"/>
  <c r="H41" i="56"/>
  <c r="G41" i="56"/>
  <c r="G40" i="56"/>
  <c r="G39" i="56"/>
  <c r="J38" i="56"/>
  <c r="H38" i="56"/>
  <c r="G38" i="56"/>
  <c r="G37" i="56"/>
  <c r="J36" i="56"/>
  <c r="G36" i="56"/>
  <c r="J35" i="56"/>
  <c r="H35" i="56"/>
  <c r="G35" i="56"/>
  <c r="G34" i="56"/>
  <c r="G33" i="56"/>
  <c r="J32" i="56"/>
  <c r="H32" i="56"/>
  <c r="G32" i="56"/>
  <c r="G31" i="56"/>
  <c r="J30" i="56"/>
  <c r="G30" i="56"/>
  <c r="J29" i="56"/>
  <c r="H29" i="56"/>
  <c r="G29" i="56"/>
  <c r="G28" i="56"/>
  <c r="G27" i="56"/>
  <c r="J26" i="56"/>
  <c r="H26" i="56"/>
  <c r="G26" i="56"/>
  <c r="G25" i="56"/>
  <c r="J24" i="56"/>
  <c r="G24" i="56"/>
  <c r="J23" i="56"/>
  <c r="H23" i="56"/>
  <c r="G23" i="56"/>
  <c r="G22" i="56"/>
  <c r="G21" i="56"/>
  <c r="J20" i="56"/>
  <c r="H20" i="56"/>
  <c r="G20" i="56"/>
  <c r="G19" i="56"/>
  <c r="J18" i="56"/>
  <c r="G18" i="56"/>
  <c r="J17" i="56"/>
  <c r="H17" i="56"/>
  <c r="G17" i="56"/>
  <c r="G16" i="56"/>
  <c r="G15" i="56"/>
  <c r="J14" i="56"/>
  <c r="H14" i="56"/>
  <c r="G14" i="56"/>
  <c r="G13" i="56"/>
  <c r="H12" i="56"/>
  <c r="G12" i="56"/>
  <c r="G11" i="56"/>
  <c r="G10" i="56"/>
  <c r="G9" i="56"/>
  <c r="H9" i="56" s="1"/>
  <c r="G68" i="55"/>
  <c r="G67" i="55"/>
  <c r="G66" i="55"/>
  <c r="G65" i="55"/>
  <c r="E60" i="55"/>
  <c r="D60" i="55"/>
  <c r="C60" i="55"/>
  <c r="E59" i="55"/>
  <c r="D59" i="55"/>
  <c r="C59" i="55"/>
  <c r="G53" i="55"/>
  <c r="H53" i="55" s="1"/>
  <c r="G52" i="55"/>
  <c r="H52" i="55" s="1"/>
  <c r="H51" i="55"/>
  <c r="G51" i="55"/>
  <c r="F44" i="55"/>
  <c r="E44" i="55"/>
  <c r="D44" i="55"/>
  <c r="C44" i="55"/>
  <c r="G43" i="55"/>
  <c r="G42" i="55"/>
  <c r="H42" i="55" s="1"/>
  <c r="H41" i="55"/>
  <c r="G41" i="55"/>
  <c r="G40" i="55"/>
  <c r="J39" i="55"/>
  <c r="G39" i="55"/>
  <c r="H39" i="55" s="1"/>
  <c r="J38" i="55"/>
  <c r="H38" i="55"/>
  <c r="G38" i="55"/>
  <c r="G37" i="55"/>
  <c r="J36" i="55"/>
  <c r="G36" i="55"/>
  <c r="H36" i="55" s="1"/>
  <c r="G35" i="55"/>
  <c r="J34" i="55"/>
  <c r="G34" i="55"/>
  <c r="J33" i="55"/>
  <c r="H33" i="55"/>
  <c r="G33" i="55"/>
  <c r="G32" i="55"/>
  <c r="G31" i="55"/>
  <c r="J30" i="55"/>
  <c r="H30" i="55"/>
  <c r="G30" i="55"/>
  <c r="G29" i="55"/>
  <c r="J28" i="55"/>
  <c r="G28" i="55"/>
  <c r="J27" i="55"/>
  <c r="H27" i="55"/>
  <c r="G27" i="55"/>
  <c r="G26" i="55"/>
  <c r="G25" i="55"/>
  <c r="J24" i="55"/>
  <c r="H24" i="55"/>
  <c r="G24" i="55"/>
  <c r="G23" i="55"/>
  <c r="J22" i="55"/>
  <c r="G22" i="55"/>
  <c r="J21" i="55"/>
  <c r="H21" i="55"/>
  <c r="G21" i="55"/>
  <c r="G20" i="55"/>
  <c r="G19" i="55"/>
  <c r="J18" i="55"/>
  <c r="H18" i="55"/>
  <c r="G18" i="55"/>
  <c r="G17" i="55"/>
  <c r="J16" i="55"/>
  <c r="G16" i="55"/>
  <c r="J15" i="55"/>
  <c r="H15" i="55"/>
  <c r="G15" i="55"/>
  <c r="G14" i="55"/>
  <c r="G13" i="55"/>
  <c r="J12" i="55"/>
  <c r="H12" i="55"/>
  <c r="G12" i="55"/>
  <c r="G11" i="55"/>
  <c r="J10" i="55"/>
  <c r="G10" i="55"/>
  <c r="J9" i="55"/>
  <c r="H9" i="55"/>
  <c r="G9" i="55"/>
  <c r="G64" i="54"/>
  <c r="G63" i="54"/>
  <c r="G62" i="54"/>
  <c r="G61" i="54"/>
  <c r="E56" i="54"/>
  <c r="D56" i="54"/>
  <c r="C56" i="54"/>
  <c r="E55" i="54"/>
  <c r="D55" i="54"/>
  <c r="C55" i="54"/>
  <c r="H49" i="54"/>
  <c r="G49" i="54"/>
  <c r="G48" i="54"/>
  <c r="H48" i="54" s="1"/>
  <c r="G47" i="54"/>
  <c r="H47" i="54" s="1"/>
  <c r="F40" i="54"/>
  <c r="E40" i="54"/>
  <c r="D40" i="54"/>
  <c r="C40" i="54"/>
  <c r="H39" i="54"/>
  <c r="G39" i="54"/>
  <c r="G38" i="54"/>
  <c r="J37" i="54"/>
  <c r="H37" i="54"/>
  <c r="G37" i="54"/>
  <c r="H36" i="54"/>
  <c r="G36" i="54"/>
  <c r="J36" i="54" s="1"/>
  <c r="G35" i="54"/>
  <c r="H34" i="54"/>
  <c r="G34" i="54"/>
  <c r="G33" i="54"/>
  <c r="J32" i="54"/>
  <c r="H32" i="54"/>
  <c r="G32" i="54"/>
  <c r="G31" i="54"/>
  <c r="J30" i="54"/>
  <c r="G30" i="54"/>
  <c r="H30" i="54" s="1"/>
  <c r="G29" i="54"/>
  <c r="H28" i="54"/>
  <c r="G28" i="54"/>
  <c r="J27" i="54"/>
  <c r="G27" i="54"/>
  <c r="H27" i="54" s="1"/>
  <c r="J26" i="54"/>
  <c r="H26" i="54"/>
  <c r="G26" i="54"/>
  <c r="G25" i="54"/>
  <c r="H24" i="54"/>
  <c r="G24" i="54"/>
  <c r="G23" i="54"/>
  <c r="J22" i="54"/>
  <c r="H22" i="54"/>
  <c r="G22" i="54"/>
  <c r="H21" i="54"/>
  <c r="G21" i="54"/>
  <c r="J21" i="54" s="1"/>
  <c r="G20" i="54"/>
  <c r="H20" i="54" s="1"/>
  <c r="J19" i="54"/>
  <c r="H19" i="54"/>
  <c r="G19" i="54"/>
  <c r="G18" i="54"/>
  <c r="J17" i="54"/>
  <c r="G17" i="54"/>
  <c r="H17" i="54" s="1"/>
  <c r="G16" i="54"/>
  <c r="H15" i="54"/>
  <c r="G15" i="54"/>
  <c r="J14" i="54"/>
  <c r="G14" i="54"/>
  <c r="H14" i="54" s="1"/>
  <c r="H13" i="54"/>
  <c r="G13" i="54"/>
  <c r="J12" i="54"/>
  <c r="G12" i="54"/>
  <c r="J11" i="54"/>
  <c r="H11" i="54"/>
  <c r="G11" i="54"/>
  <c r="G10" i="54"/>
  <c r="J10" i="54" s="1"/>
  <c r="G9" i="54"/>
  <c r="H9" i="54" s="1"/>
  <c r="G64" i="53"/>
  <c r="G63" i="53"/>
  <c r="G62" i="53"/>
  <c r="G61" i="53"/>
  <c r="E56" i="53"/>
  <c r="D56" i="53"/>
  <c r="C56" i="53"/>
  <c r="E55" i="53"/>
  <c r="D55" i="53"/>
  <c r="C55" i="53"/>
  <c r="G49" i="53"/>
  <c r="H49" i="53" s="1"/>
  <c r="H48" i="53"/>
  <c r="G48" i="53"/>
  <c r="H47" i="53"/>
  <c r="G47" i="53"/>
  <c r="F40" i="53"/>
  <c r="E40" i="53"/>
  <c r="D40" i="53"/>
  <c r="C40" i="53"/>
  <c r="H39" i="53"/>
  <c r="G39" i="53"/>
  <c r="G38" i="53"/>
  <c r="J37" i="53"/>
  <c r="G37" i="53"/>
  <c r="H37" i="53" s="1"/>
  <c r="G36" i="53"/>
  <c r="G35" i="53"/>
  <c r="H34" i="53"/>
  <c r="G34" i="53"/>
  <c r="G33" i="53"/>
  <c r="J32" i="53"/>
  <c r="G32" i="53"/>
  <c r="H32" i="53" s="1"/>
  <c r="G31" i="53"/>
  <c r="H30" i="53"/>
  <c r="G30" i="53"/>
  <c r="J29" i="53"/>
  <c r="G29" i="53"/>
  <c r="H29" i="53" s="1"/>
  <c r="H28" i="53"/>
  <c r="G28" i="53"/>
  <c r="G27" i="53"/>
  <c r="H26" i="53"/>
  <c r="G26" i="53"/>
  <c r="G25" i="53"/>
  <c r="J24" i="53"/>
  <c r="H24" i="53"/>
  <c r="G24" i="53"/>
  <c r="H23" i="53"/>
  <c r="G23" i="53"/>
  <c r="J23" i="53" s="1"/>
  <c r="G22" i="53"/>
  <c r="J21" i="53"/>
  <c r="H21" i="53"/>
  <c r="G21" i="53"/>
  <c r="H20" i="53"/>
  <c r="G20" i="53"/>
  <c r="G19" i="53"/>
  <c r="H19" i="53" s="1"/>
  <c r="G18" i="53"/>
  <c r="J17" i="53"/>
  <c r="G17" i="53"/>
  <c r="G16" i="53"/>
  <c r="H16" i="53" s="1"/>
  <c r="G15" i="53"/>
  <c r="J14" i="53"/>
  <c r="G14" i="53"/>
  <c r="H14" i="53" s="1"/>
  <c r="H13" i="53"/>
  <c r="G13" i="53"/>
  <c r="J12" i="53"/>
  <c r="G12" i="53"/>
  <c r="J11" i="53"/>
  <c r="H11" i="53"/>
  <c r="G11" i="53"/>
  <c r="H10" i="53"/>
  <c r="G10" i="53"/>
  <c r="J10" i="53" s="1"/>
  <c r="G9" i="53"/>
  <c r="H9" i="53" s="1"/>
  <c r="G63" i="52"/>
  <c r="G62" i="52"/>
  <c r="G61" i="52"/>
  <c r="G60" i="52"/>
  <c r="E55" i="52"/>
  <c r="D55" i="52"/>
  <c r="C55" i="52"/>
  <c r="E54" i="52"/>
  <c r="D54" i="52"/>
  <c r="C54" i="52"/>
  <c r="G48" i="52"/>
  <c r="H48" i="52" s="1"/>
  <c r="G47" i="52"/>
  <c r="H47" i="52" s="1"/>
  <c r="H46" i="52"/>
  <c r="G46" i="52"/>
  <c r="F39" i="52"/>
  <c r="E39" i="52"/>
  <c r="D39" i="52"/>
  <c r="C39" i="52"/>
  <c r="H38" i="52"/>
  <c r="G38" i="52"/>
  <c r="H37" i="52"/>
  <c r="G37" i="52"/>
  <c r="H36" i="52"/>
  <c r="G36" i="52"/>
  <c r="H35" i="52"/>
  <c r="G35" i="52"/>
  <c r="J35" i="52" s="1"/>
  <c r="G34" i="52"/>
  <c r="J33" i="52"/>
  <c r="H33" i="52"/>
  <c r="G33" i="52"/>
  <c r="G32" i="52"/>
  <c r="J31" i="52"/>
  <c r="G31" i="52"/>
  <c r="J30" i="52"/>
  <c r="H30" i="52"/>
  <c r="G30" i="52"/>
  <c r="H29" i="52"/>
  <c r="G29" i="52"/>
  <c r="J29" i="52" s="1"/>
  <c r="G28" i="52"/>
  <c r="J27" i="52"/>
  <c r="H27" i="52"/>
  <c r="G27" i="52"/>
  <c r="H26" i="52"/>
  <c r="G26" i="52"/>
  <c r="J25" i="52"/>
  <c r="G25" i="52"/>
  <c r="J24" i="52"/>
  <c r="H24" i="52"/>
  <c r="G24" i="52"/>
  <c r="H23" i="52"/>
  <c r="G23" i="52"/>
  <c r="J23" i="52" s="1"/>
  <c r="G22" i="52"/>
  <c r="J21" i="52"/>
  <c r="H21" i="52"/>
  <c r="G21" i="52"/>
  <c r="H20" i="52"/>
  <c r="G20" i="52"/>
  <c r="J19" i="52"/>
  <c r="G19" i="52"/>
  <c r="J18" i="52"/>
  <c r="H18" i="52"/>
  <c r="G18" i="52"/>
  <c r="H17" i="52"/>
  <c r="G17" i="52"/>
  <c r="J17" i="52" s="1"/>
  <c r="G16" i="52"/>
  <c r="J15" i="52"/>
  <c r="H15" i="52"/>
  <c r="G15" i="52"/>
  <c r="G14" i="52"/>
  <c r="J13" i="52"/>
  <c r="G13" i="52"/>
  <c r="J12" i="52"/>
  <c r="H12" i="52"/>
  <c r="G12" i="52"/>
  <c r="H11" i="52"/>
  <c r="G11" i="52"/>
  <c r="J11" i="52" s="1"/>
  <c r="G10" i="52"/>
  <c r="J9" i="52"/>
  <c r="H9" i="52"/>
  <c r="G9" i="52"/>
  <c r="G62" i="51"/>
  <c r="G61" i="51"/>
  <c r="G60" i="51"/>
  <c r="G59" i="51"/>
  <c r="E54" i="51"/>
  <c r="D54" i="51"/>
  <c r="C54" i="51"/>
  <c r="E53" i="51"/>
  <c r="D53" i="51"/>
  <c r="C53" i="51"/>
  <c r="H47" i="51"/>
  <c r="G47" i="51"/>
  <c r="G46" i="51"/>
  <c r="H46" i="51" s="1"/>
  <c r="H45" i="51"/>
  <c r="G45" i="51"/>
  <c r="F38" i="51"/>
  <c r="E38" i="51"/>
  <c r="D38" i="51"/>
  <c r="C38" i="51"/>
  <c r="G37" i="51"/>
  <c r="G36" i="51"/>
  <c r="J35" i="51"/>
  <c r="H35" i="51"/>
  <c r="G35" i="51"/>
  <c r="H34" i="51"/>
  <c r="G34" i="51"/>
  <c r="J34" i="51" s="1"/>
  <c r="G33" i="51"/>
  <c r="H33" i="51" s="1"/>
  <c r="H32" i="51"/>
  <c r="G32" i="51"/>
  <c r="J31" i="51"/>
  <c r="G31" i="51"/>
  <c r="J30" i="51"/>
  <c r="H30" i="51"/>
  <c r="G30" i="51"/>
  <c r="H29" i="51"/>
  <c r="G29" i="51"/>
  <c r="J29" i="51" s="1"/>
  <c r="G28" i="51"/>
  <c r="J27" i="51"/>
  <c r="H27" i="51"/>
  <c r="G27" i="51"/>
  <c r="G26" i="51"/>
  <c r="H25" i="51"/>
  <c r="G25" i="51"/>
  <c r="G24" i="51"/>
  <c r="H23" i="51"/>
  <c r="G23" i="51"/>
  <c r="G22" i="51"/>
  <c r="J22" i="51" s="1"/>
  <c r="G21" i="51"/>
  <c r="H20" i="51"/>
  <c r="G20" i="51"/>
  <c r="G19" i="51"/>
  <c r="H18" i="51"/>
  <c r="G18" i="51"/>
  <c r="H17" i="51"/>
  <c r="G17" i="51"/>
  <c r="H16" i="51"/>
  <c r="G16" i="51"/>
  <c r="H15" i="51"/>
  <c r="G15" i="51"/>
  <c r="J15" i="51" s="1"/>
  <c r="G14" i="51"/>
  <c r="H13" i="51"/>
  <c r="G13" i="51"/>
  <c r="G12" i="51"/>
  <c r="J11" i="51"/>
  <c r="H11" i="51"/>
  <c r="G11" i="51"/>
  <c r="G10" i="51"/>
  <c r="J10" i="51" s="1"/>
  <c r="G9" i="51"/>
  <c r="H9" i="51" s="1"/>
  <c r="G68" i="50"/>
  <c r="G67" i="50"/>
  <c r="G66" i="50"/>
  <c r="G65" i="50"/>
  <c r="E60" i="50"/>
  <c r="D60" i="50"/>
  <c r="C60" i="50"/>
  <c r="E59" i="50"/>
  <c r="D59" i="50"/>
  <c r="C59" i="50"/>
  <c r="G53" i="50"/>
  <c r="H53" i="50" s="1"/>
  <c r="H52" i="50"/>
  <c r="G52" i="50"/>
  <c r="H51" i="50"/>
  <c r="G51" i="50"/>
  <c r="F44" i="50"/>
  <c r="E44" i="50"/>
  <c r="D44" i="50"/>
  <c r="C44" i="50"/>
  <c r="J43" i="50"/>
  <c r="G43" i="50"/>
  <c r="H43" i="50" s="1"/>
  <c r="G42" i="50"/>
  <c r="H41" i="50"/>
  <c r="G41" i="50"/>
  <c r="J40" i="50"/>
  <c r="G40" i="50"/>
  <c r="H40" i="50" s="1"/>
  <c r="H39" i="50"/>
  <c r="G39" i="50"/>
  <c r="G38" i="50"/>
  <c r="J37" i="50"/>
  <c r="H37" i="50"/>
  <c r="G37" i="50"/>
  <c r="G36" i="50"/>
  <c r="J35" i="50"/>
  <c r="G35" i="50"/>
  <c r="J34" i="50"/>
  <c r="H34" i="50"/>
  <c r="G34" i="50"/>
  <c r="H33" i="50"/>
  <c r="G33" i="50"/>
  <c r="J33" i="50" s="1"/>
  <c r="G32" i="50"/>
  <c r="J31" i="50"/>
  <c r="H31" i="50"/>
  <c r="G31" i="50"/>
  <c r="G30" i="50"/>
  <c r="J29" i="50"/>
  <c r="G29" i="50"/>
  <c r="J28" i="50"/>
  <c r="H28" i="50"/>
  <c r="G28" i="50"/>
  <c r="H27" i="50"/>
  <c r="G27" i="50"/>
  <c r="J27" i="50" s="1"/>
  <c r="G26" i="50"/>
  <c r="J25" i="50"/>
  <c r="H25" i="50"/>
  <c r="G25" i="50"/>
  <c r="G24" i="50"/>
  <c r="J23" i="50"/>
  <c r="G23" i="50"/>
  <c r="J22" i="50"/>
  <c r="H22" i="50"/>
  <c r="G22" i="50"/>
  <c r="H21" i="50"/>
  <c r="G21" i="50"/>
  <c r="J21" i="50" s="1"/>
  <c r="G20" i="50"/>
  <c r="J19" i="50"/>
  <c r="H19" i="50"/>
  <c r="G19" i="50"/>
  <c r="G18" i="50"/>
  <c r="J17" i="50"/>
  <c r="G17" i="50"/>
  <c r="H17" i="50" s="1"/>
  <c r="G16" i="50"/>
  <c r="H15" i="50"/>
  <c r="G15" i="50"/>
  <c r="J14" i="50"/>
  <c r="G14" i="50"/>
  <c r="H14" i="50" s="1"/>
  <c r="J13" i="50"/>
  <c r="H13" i="50"/>
  <c r="G13" i="50"/>
  <c r="G12" i="50"/>
  <c r="H11" i="50"/>
  <c r="G11" i="50"/>
  <c r="H10" i="50"/>
  <c r="G10" i="50"/>
  <c r="H9" i="50"/>
  <c r="G9" i="50"/>
  <c r="G64" i="49"/>
  <c r="G63" i="49"/>
  <c r="G62" i="49"/>
  <c r="G61" i="49"/>
  <c r="E56" i="49"/>
  <c r="D56" i="49"/>
  <c r="C56" i="49"/>
  <c r="E55" i="49"/>
  <c r="D55" i="49"/>
  <c r="C55" i="49"/>
  <c r="H49" i="49"/>
  <c r="G49" i="49"/>
  <c r="G48" i="49"/>
  <c r="H48" i="49" s="1"/>
  <c r="H47" i="49"/>
  <c r="G47" i="49"/>
  <c r="F40" i="49"/>
  <c r="E40" i="49"/>
  <c r="D40" i="49"/>
  <c r="C40" i="49"/>
  <c r="H39" i="49"/>
  <c r="G39" i="49"/>
  <c r="G38" i="49"/>
  <c r="J37" i="49"/>
  <c r="H37" i="49"/>
  <c r="G37" i="49"/>
  <c r="G36" i="49"/>
  <c r="J36" i="49" s="1"/>
  <c r="G35" i="49"/>
  <c r="H35" i="49" s="1"/>
  <c r="H34" i="49"/>
  <c r="G34" i="49"/>
  <c r="G33" i="49"/>
  <c r="H33" i="49" s="1"/>
  <c r="H32" i="49"/>
  <c r="G32" i="49"/>
  <c r="G31" i="49"/>
  <c r="J30" i="49"/>
  <c r="H30" i="49"/>
  <c r="G30" i="49"/>
  <c r="G29" i="49"/>
  <c r="J28" i="49"/>
  <c r="G28" i="49"/>
  <c r="J27" i="49"/>
  <c r="H27" i="49"/>
  <c r="G27" i="49"/>
  <c r="H26" i="49"/>
  <c r="G26" i="49"/>
  <c r="J25" i="49"/>
  <c r="G25" i="49"/>
  <c r="H25" i="49" s="1"/>
  <c r="H24" i="49"/>
  <c r="G24" i="49"/>
  <c r="G23" i="49"/>
  <c r="H23" i="49" s="1"/>
  <c r="G22" i="49"/>
  <c r="J21" i="49"/>
  <c r="G21" i="49"/>
  <c r="J20" i="49"/>
  <c r="H20" i="49"/>
  <c r="G20" i="49"/>
  <c r="H19" i="49"/>
  <c r="G19" i="49"/>
  <c r="H18" i="49"/>
  <c r="G18" i="49"/>
  <c r="H17" i="49"/>
  <c r="G17" i="49"/>
  <c r="J17" i="49" s="1"/>
  <c r="G16" i="49"/>
  <c r="H16" i="49" s="1"/>
  <c r="J15" i="49"/>
  <c r="H15" i="49"/>
  <c r="G15" i="49"/>
  <c r="G14" i="49"/>
  <c r="H13" i="49"/>
  <c r="G13" i="49"/>
  <c r="G12" i="49"/>
  <c r="J12" i="49" s="1"/>
  <c r="G11" i="49"/>
  <c r="J10" i="49"/>
  <c r="H10" i="49"/>
  <c r="G10" i="49"/>
  <c r="H9" i="49"/>
  <c r="G9" i="49"/>
  <c r="G72" i="48"/>
  <c r="G71" i="48"/>
  <c r="G70" i="48"/>
  <c r="G69" i="48"/>
  <c r="E64" i="48"/>
  <c r="D64" i="48"/>
  <c r="C64" i="48"/>
  <c r="E63" i="48"/>
  <c r="D63" i="48"/>
  <c r="C63" i="48"/>
  <c r="H57" i="48"/>
  <c r="G57" i="48"/>
  <c r="H56" i="48"/>
  <c r="G56" i="48"/>
  <c r="G55" i="48"/>
  <c r="H55" i="48" s="1"/>
  <c r="F48" i="48"/>
  <c r="E48" i="48"/>
  <c r="D48" i="48"/>
  <c r="C48" i="48"/>
  <c r="G47" i="48"/>
  <c r="J46" i="48"/>
  <c r="G46" i="48"/>
  <c r="H46" i="48" s="1"/>
  <c r="J45" i="48"/>
  <c r="H45" i="48"/>
  <c r="G45" i="48"/>
  <c r="G44" i="48"/>
  <c r="J43" i="48"/>
  <c r="H43" i="48"/>
  <c r="G43" i="48"/>
  <c r="H42" i="48"/>
  <c r="G42" i="48"/>
  <c r="J42" i="48" s="1"/>
  <c r="G41" i="48"/>
  <c r="J40" i="48"/>
  <c r="H40" i="48"/>
  <c r="G40" i="48"/>
  <c r="H39" i="48"/>
  <c r="G39" i="48"/>
  <c r="J39" i="48" s="1"/>
  <c r="G38" i="48"/>
  <c r="J37" i="48"/>
  <c r="H37" i="48"/>
  <c r="G37" i="48"/>
  <c r="H36" i="48"/>
  <c r="G36" i="48"/>
  <c r="J36" i="48" s="1"/>
  <c r="G35" i="48"/>
  <c r="J34" i="48"/>
  <c r="H34" i="48"/>
  <c r="G34" i="48"/>
  <c r="H33" i="48"/>
  <c r="G33" i="48"/>
  <c r="J33" i="48" s="1"/>
  <c r="G32" i="48"/>
  <c r="J31" i="48"/>
  <c r="H31" i="48"/>
  <c r="G31" i="48"/>
  <c r="H30" i="48"/>
  <c r="G30" i="48"/>
  <c r="J30" i="48" s="1"/>
  <c r="G29" i="48"/>
  <c r="H29" i="48" s="1"/>
  <c r="J28" i="48"/>
  <c r="H28" i="48"/>
  <c r="G28" i="48"/>
  <c r="H27" i="48"/>
  <c r="G27" i="48"/>
  <c r="J26" i="48"/>
  <c r="G26" i="48"/>
  <c r="H26" i="48" s="1"/>
  <c r="H25" i="48"/>
  <c r="G25" i="48"/>
  <c r="G24" i="48"/>
  <c r="J23" i="48"/>
  <c r="H23" i="48"/>
  <c r="G23" i="48"/>
  <c r="H22" i="48"/>
  <c r="G22" i="48"/>
  <c r="J22" i="48" s="1"/>
  <c r="G21" i="48"/>
  <c r="H21" i="48" s="1"/>
  <c r="H20" i="48"/>
  <c r="G20" i="48"/>
  <c r="G19" i="48"/>
  <c r="J18" i="48"/>
  <c r="H18" i="48"/>
  <c r="G18" i="48"/>
  <c r="H17" i="48"/>
  <c r="G17" i="48"/>
  <c r="J17" i="48" s="1"/>
  <c r="G16" i="48"/>
  <c r="J15" i="48"/>
  <c r="H15" i="48"/>
  <c r="G15" i="48"/>
  <c r="H14" i="48"/>
  <c r="G14" i="48"/>
  <c r="J14" i="48" s="1"/>
  <c r="G13" i="48"/>
  <c r="H13" i="48" s="1"/>
  <c r="H12" i="48"/>
  <c r="G12" i="48"/>
  <c r="G11" i="48"/>
  <c r="J10" i="48"/>
  <c r="H10" i="48"/>
  <c r="G10" i="48"/>
  <c r="H9" i="48"/>
  <c r="G9" i="48"/>
  <c r="G48" i="48" s="1"/>
  <c r="F49" i="48" s="1"/>
  <c r="G72" i="47"/>
  <c r="G71" i="47"/>
  <c r="G70" i="47"/>
  <c r="G69" i="47"/>
  <c r="E64" i="47"/>
  <c r="D64" i="47"/>
  <c r="C64" i="47"/>
  <c r="E63" i="47"/>
  <c r="D63" i="47"/>
  <c r="C63" i="47"/>
  <c r="H57" i="47"/>
  <c r="G57" i="47"/>
  <c r="H56" i="47"/>
  <c r="G56" i="47"/>
  <c r="G55" i="47"/>
  <c r="H55" i="47" s="1"/>
  <c r="F48" i="47"/>
  <c r="E48" i="47"/>
  <c r="D48" i="47"/>
  <c r="C48" i="47"/>
  <c r="H47" i="47"/>
  <c r="G47" i="47"/>
  <c r="J47" i="47" s="1"/>
  <c r="G46" i="47"/>
  <c r="J45" i="47"/>
  <c r="H45" i="47"/>
  <c r="G45" i="47"/>
  <c r="H44" i="47"/>
  <c r="G44" i="47"/>
  <c r="J44" i="47" s="1"/>
  <c r="G43" i="47"/>
  <c r="J42" i="47"/>
  <c r="H42" i="47"/>
  <c r="G42" i="47"/>
  <c r="H41" i="47"/>
  <c r="G41" i="47"/>
  <c r="J41" i="47" s="1"/>
  <c r="G40" i="47"/>
  <c r="H40" i="47" s="1"/>
  <c r="H39" i="47"/>
  <c r="G39" i="47"/>
  <c r="G38" i="47"/>
  <c r="H38" i="47" s="1"/>
  <c r="J37" i="47"/>
  <c r="H37" i="47"/>
  <c r="G37" i="47"/>
  <c r="G36" i="47"/>
  <c r="J35" i="47"/>
  <c r="G35" i="47"/>
  <c r="H35" i="47" s="1"/>
  <c r="J34" i="47"/>
  <c r="H34" i="47"/>
  <c r="G34" i="47"/>
  <c r="G33" i="47"/>
  <c r="J32" i="47"/>
  <c r="H32" i="47"/>
  <c r="G32" i="47"/>
  <c r="H31" i="47"/>
  <c r="G31" i="47"/>
  <c r="J31" i="47" s="1"/>
  <c r="G30" i="47"/>
  <c r="J29" i="47"/>
  <c r="H29" i="47"/>
  <c r="G29" i="47"/>
  <c r="H28" i="47"/>
  <c r="G28" i="47"/>
  <c r="J28" i="47" s="1"/>
  <c r="G27" i="47"/>
  <c r="J26" i="47"/>
  <c r="H26" i="47"/>
  <c r="G26" i="47"/>
  <c r="H25" i="47"/>
  <c r="G25" i="47"/>
  <c r="J25" i="47" s="1"/>
  <c r="G24" i="47"/>
  <c r="J23" i="47"/>
  <c r="H23" i="47"/>
  <c r="G23" i="47"/>
  <c r="H22" i="47"/>
  <c r="G22" i="47"/>
  <c r="J22" i="47" s="1"/>
  <c r="G21" i="47"/>
  <c r="J20" i="47"/>
  <c r="H20" i="47"/>
  <c r="G20" i="47"/>
  <c r="H19" i="47"/>
  <c r="G19" i="47"/>
  <c r="J19" i="47" s="1"/>
  <c r="G18" i="47"/>
  <c r="J17" i="47"/>
  <c r="H17" i="47"/>
  <c r="G17" i="47"/>
  <c r="H16" i="47"/>
  <c r="G16" i="47"/>
  <c r="J16" i="47" s="1"/>
  <c r="G15" i="47"/>
  <c r="J14" i="47"/>
  <c r="H14" i="47"/>
  <c r="G14" i="47"/>
  <c r="H13" i="47"/>
  <c r="G13" i="47"/>
  <c r="J13" i="47" s="1"/>
  <c r="G12" i="47"/>
  <c r="J11" i="47"/>
  <c r="H11" i="47"/>
  <c r="G11" i="47"/>
  <c r="H10" i="47"/>
  <c r="G10" i="47"/>
  <c r="J10" i="47" s="1"/>
  <c r="G9" i="47"/>
  <c r="G67" i="46"/>
  <c r="G66" i="46"/>
  <c r="G65" i="46"/>
  <c r="G64" i="46"/>
  <c r="E59" i="46"/>
  <c r="D59" i="46"/>
  <c r="C59" i="46"/>
  <c r="E58" i="46"/>
  <c r="D58" i="46"/>
  <c r="C58" i="46"/>
  <c r="G52" i="46"/>
  <c r="H52" i="46" s="1"/>
  <c r="H51" i="46"/>
  <c r="G51" i="46"/>
  <c r="H50" i="46"/>
  <c r="G50" i="46"/>
  <c r="F43" i="46"/>
  <c r="E43" i="46"/>
  <c r="D43" i="46"/>
  <c r="C43" i="46"/>
  <c r="G42" i="46"/>
  <c r="H42" i="46" s="1"/>
  <c r="J41" i="46"/>
  <c r="H41" i="46"/>
  <c r="G41" i="46"/>
  <c r="G40" i="46"/>
  <c r="H39" i="46"/>
  <c r="G39" i="46"/>
  <c r="G38" i="46"/>
  <c r="J37" i="46"/>
  <c r="G37" i="46"/>
  <c r="H37" i="46" s="1"/>
  <c r="J36" i="46"/>
  <c r="H36" i="46"/>
  <c r="G36" i="46"/>
  <c r="H35" i="46"/>
  <c r="G35" i="46"/>
  <c r="J34" i="46"/>
  <c r="G34" i="46"/>
  <c r="H34" i="46" s="1"/>
  <c r="J33" i="46"/>
  <c r="H33" i="46"/>
  <c r="G33" i="46"/>
  <c r="H32" i="46"/>
  <c r="G32" i="46"/>
  <c r="J31" i="46"/>
  <c r="G31" i="46"/>
  <c r="H31" i="46" s="1"/>
  <c r="J30" i="46"/>
  <c r="H30" i="46"/>
  <c r="G30" i="46"/>
  <c r="G29" i="46"/>
  <c r="J28" i="46"/>
  <c r="G28" i="46"/>
  <c r="H28" i="46" s="1"/>
  <c r="J27" i="46"/>
  <c r="H27" i="46"/>
  <c r="G27" i="46"/>
  <c r="H26" i="46"/>
  <c r="G26" i="46"/>
  <c r="J25" i="46"/>
  <c r="H25" i="46"/>
  <c r="G25" i="46"/>
  <c r="J24" i="46"/>
  <c r="H24" i="46"/>
  <c r="G24" i="46"/>
  <c r="H23" i="46"/>
  <c r="G23" i="46"/>
  <c r="J22" i="46"/>
  <c r="G22" i="46"/>
  <c r="H22" i="46" s="1"/>
  <c r="H21" i="46"/>
  <c r="G21" i="46"/>
  <c r="G20" i="46"/>
  <c r="J19" i="46"/>
  <c r="H19" i="46"/>
  <c r="G19" i="46"/>
  <c r="G18" i="46"/>
  <c r="J17" i="46"/>
  <c r="G17" i="46"/>
  <c r="J16" i="46"/>
  <c r="H16" i="46"/>
  <c r="G16" i="46"/>
  <c r="G15" i="46"/>
  <c r="J15" i="46" s="1"/>
  <c r="J14" i="46"/>
  <c r="G14" i="46"/>
  <c r="J13" i="46"/>
  <c r="H13" i="46"/>
  <c r="G13" i="46"/>
  <c r="G12" i="46"/>
  <c r="J11" i="46"/>
  <c r="G11" i="46"/>
  <c r="J10" i="46"/>
  <c r="H10" i="46"/>
  <c r="G10" i="46"/>
  <c r="G9" i="46"/>
  <c r="G65" i="45"/>
  <c r="G64" i="45"/>
  <c r="G63" i="45"/>
  <c r="G62" i="45"/>
  <c r="E57" i="45"/>
  <c r="D57" i="45"/>
  <c r="C57" i="45"/>
  <c r="E56" i="45"/>
  <c r="D56" i="45"/>
  <c r="C56" i="45"/>
  <c r="G50" i="45"/>
  <c r="H50" i="45" s="1"/>
  <c r="H49" i="45"/>
  <c r="G49" i="45"/>
  <c r="G48" i="45"/>
  <c r="H48" i="45" s="1"/>
  <c r="F41" i="45"/>
  <c r="E41" i="45"/>
  <c r="D41" i="45"/>
  <c r="C41" i="45"/>
  <c r="H40" i="45"/>
  <c r="G40" i="45"/>
  <c r="H39" i="45"/>
  <c r="G39" i="45"/>
  <c r="H38" i="45"/>
  <c r="G38" i="45"/>
  <c r="J38" i="45" s="1"/>
  <c r="G37" i="45"/>
  <c r="J36" i="45"/>
  <c r="H36" i="45"/>
  <c r="G36" i="45"/>
  <c r="G35" i="45"/>
  <c r="H34" i="45"/>
  <c r="G34" i="45"/>
  <c r="H33" i="45"/>
  <c r="G33" i="45"/>
  <c r="H32" i="45"/>
  <c r="G32" i="45"/>
  <c r="H31" i="45"/>
  <c r="G31" i="45"/>
  <c r="J31" i="45" s="1"/>
  <c r="J30" i="45"/>
  <c r="G30" i="45"/>
  <c r="J29" i="45"/>
  <c r="H29" i="45"/>
  <c r="G29" i="45"/>
  <c r="H28" i="45"/>
  <c r="G28" i="45"/>
  <c r="J28" i="45" s="1"/>
  <c r="J27" i="45"/>
  <c r="G27" i="45"/>
  <c r="J26" i="45"/>
  <c r="H26" i="45"/>
  <c r="G26" i="45"/>
  <c r="H25" i="45"/>
  <c r="G25" i="45"/>
  <c r="J25" i="45" s="1"/>
  <c r="J24" i="45"/>
  <c r="G24" i="45"/>
  <c r="H23" i="45"/>
  <c r="G23" i="45"/>
  <c r="G22" i="45"/>
  <c r="J21" i="45"/>
  <c r="G21" i="45"/>
  <c r="H21" i="45" s="1"/>
  <c r="H20" i="45"/>
  <c r="G20" i="45"/>
  <c r="G19" i="45"/>
  <c r="H18" i="45"/>
  <c r="G18" i="45"/>
  <c r="G17" i="45"/>
  <c r="J17" i="45" s="1"/>
  <c r="J16" i="45"/>
  <c r="G16" i="45"/>
  <c r="J15" i="45"/>
  <c r="H15" i="45"/>
  <c r="G15" i="45"/>
  <c r="G14" i="45"/>
  <c r="J13" i="45"/>
  <c r="G13" i="45"/>
  <c r="J12" i="45"/>
  <c r="H12" i="45"/>
  <c r="G12" i="45"/>
  <c r="H11" i="45"/>
  <c r="G11" i="45"/>
  <c r="J10" i="45"/>
  <c r="G10" i="45"/>
  <c r="H10" i="45" s="1"/>
  <c r="J9" i="45"/>
  <c r="G9" i="45"/>
  <c r="H9" i="45" s="1"/>
  <c r="G72" i="44"/>
  <c r="G71" i="44"/>
  <c r="G70" i="44"/>
  <c r="G69" i="44"/>
  <c r="E64" i="44"/>
  <c r="D64" i="44"/>
  <c r="C64" i="44"/>
  <c r="E63" i="44"/>
  <c r="D63" i="44"/>
  <c r="C63" i="44"/>
  <c r="G57" i="44"/>
  <c r="H57" i="44" s="1"/>
  <c r="G56" i="44"/>
  <c r="H56" i="44" s="1"/>
  <c r="G55" i="44"/>
  <c r="H55" i="44" s="1"/>
  <c r="F48" i="44"/>
  <c r="E48" i="44"/>
  <c r="D48" i="44"/>
  <c r="C48" i="44"/>
  <c r="G47" i="44"/>
  <c r="H46" i="44"/>
  <c r="G46" i="44"/>
  <c r="J45" i="44"/>
  <c r="G45" i="44"/>
  <c r="H45" i="44" s="1"/>
  <c r="H44" i="44"/>
  <c r="G44" i="44"/>
  <c r="G43" i="44"/>
  <c r="H43" i="44" s="1"/>
  <c r="H42" i="44"/>
  <c r="G42" i="44"/>
  <c r="J42" i="44" s="1"/>
  <c r="H41" i="44"/>
  <c r="G41" i="44"/>
  <c r="J40" i="44"/>
  <c r="G40" i="44"/>
  <c r="H40" i="44" s="1"/>
  <c r="J39" i="44"/>
  <c r="H39" i="44"/>
  <c r="G39" i="44"/>
  <c r="G38" i="44"/>
  <c r="J37" i="44"/>
  <c r="G37" i="44"/>
  <c r="H37" i="44" s="1"/>
  <c r="H36" i="44"/>
  <c r="G36" i="44"/>
  <c r="J36" i="44" s="1"/>
  <c r="H35" i="44"/>
  <c r="G35" i="44"/>
  <c r="J34" i="44"/>
  <c r="H34" i="44"/>
  <c r="G34" i="44"/>
  <c r="G33" i="44"/>
  <c r="H32" i="44"/>
  <c r="G32" i="44"/>
  <c r="J31" i="44"/>
  <c r="H31" i="44"/>
  <c r="G31" i="44"/>
  <c r="J30" i="44"/>
  <c r="H30" i="44"/>
  <c r="G30" i="44"/>
  <c r="G29" i="44"/>
  <c r="J28" i="44"/>
  <c r="H28" i="44"/>
  <c r="G28" i="44"/>
  <c r="H27" i="44"/>
  <c r="G27" i="44"/>
  <c r="J27" i="44" s="1"/>
  <c r="H26" i="44"/>
  <c r="G26" i="44"/>
  <c r="J25" i="44"/>
  <c r="H25" i="44"/>
  <c r="G25" i="44"/>
  <c r="G24" i="44"/>
  <c r="H23" i="44"/>
  <c r="G23" i="44"/>
  <c r="J22" i="44"/>
  <c r="H22" i="44"/>
  <c r="G22" i="44"/>
  <c r="J21" i="44"/>
  <c r="H21" i="44"/>
  <c r="G21" i="44"/>
  <c r="G20" i="44"/>
  <c r="J19" i="44"/>
  <c r="H19" i="44"/>
  <c r="G19" i="44"/>
  <c r="H18" i="44"/>
  <c r="G18" i="44"/>
  <c r="J18" i="44" s="1"/>
  <c r="H17" i="44"/>
  <c r="G17" i="44"/>
  <c r="J16" i="44"/>
  <c r="H16" i="44"/>
  <c r="G16" i="44"/>
  <c r="G15" i="44"/>
  <c r="H14" i="44"/>
  <c r="G14" i="44"/>
  <c r="J13" i="44"/>
  <c r="H13" i="44"/>
  <c r="G13" i="44"/>
  <c r="G12" i="44"/>
  <c r="H12" i="44" s="1"/>
  <c r="J11" i="44"/>
  <c r="G11" i="44"/>
  <c r="H10" i="44"/>
  <c r="G10" i="44"/>
  <c r="H9" i="44"/>
  <c r="G9" i="44"/>
  <c r="G63" i="43"/>
  <c r="G62" i="43"/>
  <c r="G61" i="43"/>
  <c r="G60" i="43"/>
  <c r="E55" i="43"/>
  <c r="D55" i="43"/>
  <c r="C55" i="43"/>
  <c r="E54" i="43"/>
  <c r="D54" i="43"/>
  <c r="C54" i="43"/>
  <c r="H48" i="43"/>
  <c r="G48" i="43"/>
  <c r="G47" i="43"/>
  <c r="H47" i="43" s="1"/>
  <c r="H46" i="43"/>
  <c r="G46" i="43"/>
  <c r="F39" i="43"/>
  <c r="E39" i="43"/>
  <c r="D39" i="43"/>
  <c r="C39" i="43"/>
  <c r="G38" i="43"/>
  <c r="H37" i="43"/>
  <c r="G37" i="43"/>
  <c r="H36" i="43"/>
  <c r="G36" i="43"/>
  <c r="J35" i="43"/>
  <c r="H35" i="43"/>
  <c r="G35" i="43"/>
  <c r="H34" i="43"/>
  <c r="G34" i="43"/>
  <c r="J33" i="43"/>
  <c r="G33" i="43"/>
  <c r="J32" i="43"/>
  <c r="H32" i="43"/>
  <c r="G32" i="43"/>
  <c r="H31" i="43"/>
  <c r="G31" i="43"/>
  <c r="J31" i="43" s="1"/>
  <c r="J30" i="43"/>
  <c r="G30" i="43"/>
  <c r="J29" i="43"/>
  <c r="H29" i="43"/>
  <c r="G29" i="43"/>
  <c r="H28" i="43"/>
  <c r="G28" i="43"/>
  <c r="J28" i="43" s="1"/>
  <c r="G27" i="43"/>
  <c r="H27" i="43" s="1"/>
  <c r="H26" i="43"/>
  <c r="G26" i="43"/>
  <c r="G25" i="43"/>
  <c r="H25" i="43" s="1"/>
  <c r="J24" i="43"/>
  <c r="H24" i="43"/>
  <c r="G24" i="43"/>
  <c r="G23" i="43"/>
  <c r="J22" i="43"/>
  <c r="H22" i="43"/>
  <c r="G22" i="43"/>
  <c r="H21" i="43"/>
  <c r="G21" i="43"/>
  <c r="J21" i="43" s="1"/>
  <c r="G20" i="43"/>
  <c r="G19" i="43"/>
  <c r="H19" i="43" s="1"/>
  <c r="G18" i="43"/>
  <c r="J17" i="43"/>
  <c r="H17" i="43"/>
  <c r="G17" i="43"/>
  <c r="H16" i="43"/>
  <c r="G16" i="43"/>
  <c r="J15" i="43"/>
  <c r="H15" i="43"/>
  <c r="G15" i="43"/>
  <c r="J14" i="43"/>
  <c r="G14" i="43"/>
  <c r="H14" i="43" s="1"/>
  <c r="G13" i="43"/>
  <c r="J12" i="43"/>
  <c r="H12" i="43"/>
  <c r="G12" i="43"/>
  <c r="J11" i="43"/>
  <c r="G11" i="43"/>
  <c r="H11" i="43" s="1"/>
  <c r="H10" i="43"/>
  <c r="G10" i="43"/>
  <c r="H9" i="43"/>
  <c r="G9" i="43"/>
  <c r="G70" i="42"/>
  <c r="G69" i="42"/>
  <c r="G68" i="42"/>
  <c r="G67" i="42"/>
  <c r="E62" i="42"/>
  <c r="D62" i="42"/>
  <c r="C62" i="42"/>
  <c r="E61" i="42"/>
  <c r="D61" i="42"/>
  <c r="C61" i="42"/>
  <c r="H55" i="42"/>
  <c r="G55" i="42"/>
  <c r="G54" i="42"/>
  <c r="H54" i="42" s="1"/>
  <c r="H53" i="42"/>
  <c r="G53" i="42"/>
  <c r="F46" i="42"/>
  <c r="E46" i="42"/>
  <c r="D46" i="42"/>
  <c r="C46" i="42"/>
  <c r="J45" i="42"/>
  <c r="H45" i="42"/>
  <c r="G45" i="42"/>
  <c r="G44" i="42"/>
  <c r="J43" i="42"/>
  <c r="H43" i="42"/>
  <c r="G43" i="42"/>
  <c r="H42" i="42"/>
  <c r="G42" i="42"/>
  <c r="G41" i="42"/>
  <c r="J40" i="42"/>
  <c r="H40" i="42"/>
  <c r="G40" i="42"/>
  <c r="H39" i="42"/>
  <c r="G39" i="42"/>
  <c r="J39" i="42" s="1"/>
  <c r="G38" i="42"/>
  <c r="G37" i="42"/>
  <c r="H37" i="42" s="1"/>
  <c r="H36" i="42"/>
  <c r="G36" i="42"/>
  <c r="J35" i="42"/>
  <c r="H35" i="42"/>
  <c r="G35" i="42"/>
  <c r="J34" i="42"/>
  <c r="G34" i="42"/>
  <c r="H34" i="42" s="1"/>
  <c r="H33" i="42"/>
  <c r="G33" i="42"/>
  <c r="J32" i="42"/>
  <c r="H32" i="42"/>
  <c r="G32" i="42"/>
  <c r="J31" i="42"/>
  <c r="G31" i="42"/>
  <c r="H31" i="42" s="1"/>
  <c r="G30" i="42"/>
  <c r="J29" i="42"/>
  <c r="H29" i="42"/>
  <c r="G29" i="42"/>
  <c r="J28" i="42"/>
  <c r="G28" i="42"/>
  <c r="H28" i="42" s="1"/>
  <c r="H27" i="42"/>
  <c r="G27" i="42"/>
  <c r="J26" i="42"/>
  <c r="H26" i="42"/>
  <c r="G26" i="42"/>
  <c r="J25" i="42"/>
  <c r="G25" i="42"/>
  <c r="H25" i="42" s="1"/>
  <c r="H24" i="42"/>
  <c r="G24" i="42"/>
  <c r="J23" i="42"/>
  <c r="H23" i="42"/>
  <c r="G23" i="42"/>
  <c r="J22" i="42"/>
  <c r="G22" i="42"/>
  <c r="H22" i="42" s="1"/>
  <c r="G21" i="42"/>
  <c r="J20" i="42"/>
  <c r="H20" i="42"/>
  <c r="G20" i="42"/>
  <c r="J19" i="42"/>
  <c r="G19" i="42"/>
  <c r="H19" i="42" s="1"/>
  <c r="G18" i="42"/>
  <c r="J17" i="42"/>
  <c r="H17" i="42"/>
  <c r="G17" i="42"/>
  <c r="J16" i="42"/>
  <c r="G16" i="42"/>
  <c r="H16" i="42" s="1"/>
  <c r="H15" i="42"/>
  <c r="G15" i="42"/>
  <c r="J14" i="42"/>
  <c r="H14" i="42"/>
  <c r="G14" i="42"/>
  <c r="J13" i="42"/>
  <c r="G13" i="42"/>
  <c r="H13" i="42" s="1"/>
  <c r="G12" i="42"/>
  <c r="J11" i="42"/>
  <c r="H11" i="42"/>
  <c r="G11" i="42"/>
  <c r="J10" i="42"/>
  <c r="G10" i="42"/>
  <c r="H10" i="42" s="1"/>
  <c r="H9" i="42"/>
  <c r="G9" i="42"/>
  <c r="G67" i="41"/>
  <c r="G66" i="41"/>
  <c r="G65" i="41"/>
  <c r="G64" i="41"/>
  <c r="E59" i="41"/>
  <c r="D59" i="41"/>
  <c r="C59" i="41"/>
  <c r="E58" i="41"/>
  <c r="D58" i="41"/>
  <c r="C58" i="41"/>
  <c r="H52" i="41"/>
  <c r="G52" i="41"/>
  <c r="G51" i="41"/>
  <c r="H51" i="41" s="1"/>
  <c r="H50" i="41"/>
  <c r="G50" i="41"/>
  <c r="F43" i="41"/>
  <c r="E43" i="41"/>
  <c r="D43" i="41"/>
  <c r="C43" i="41"/>
  <c r="G42" i="41"/>
  <c r="J41" i="41"/>
  <c r="H41" i="41"/>
  <c r="G41" i="41"/>
  <c r="H40" i="41"/>
  <c r="G40" i="41"/>
  <c r="J40" i="41" s="1"/>
  <c r="G39" i="41"/>
  <c r="J38" i="41"/>
  <c r="H38" i="41"/>
  <c r="G38" i="41"/>
  <c r="H37" i="41"/>
  <c r="G37" i="41"/>
  <c r="J37" i="41" s="1"/>
  <c r="H36" i="41"/>
  <c r="G36" i="41"/>
  <c r="H35" i="41"/>
  <c r="G35" i="41"/>
  <c r="G34" i="41"/>
  <c r="J33" i="41"/>
  <c r="H33" i="41"/>
  <c r="G33" i="41"/>
  <c r="H32" i="41"/>
  <c r="G32" i="41"/>
  <c r="J32" i="41" s="1"/>
  <c r="H31" i="41"/>
  <c r="G31" i="41"/>
  <c r="H30" i="41"/>
  <c r="G30" i="41"/>
  <c r="G29" i="41"/>
  <c r="J28" i="41"/>
  <c r="H28" i="41"/>
  <c r="G28" i="41"/>
  <c r="H27" i="41"/>
  <c r="G27" i="41"/>
  <c r="J27" i="41" s="1"/>
  <c r="G26" i="41"/>
  <c r="J25" i="41"/>
  <c r="H25" i="41"/>
  <c r="G25" i="41"/>
  <c r="G24" i="41"/>
  <c r="J23" i="41"/>
  <c r="H23" i="41"/>
  <c r="G23" i="41"/>
  <c r="J22" i="41"/>
  <c r="G22" i="41"/>
  <c r="H22" i="41" s="1"/>
  <c r="H21" i="41"/>
  <c r="G21" i="41"/>
  <c r="J20" i="41"/>
  <c r="H20" i="41"/>
  <c r="G20" i="41"/>
  <c r="J19" i="41"/>
  <c r="G19" i="41"/>
  <c r="H19" i="41" s="1"/>
  <c r="H18" i="41"/>
  <c r="G18" i="41"/>
  <c r="J17" i="41"/>
  <c r="H17" i="41"/>
  <c r="G17" i="41"/>
  <c r="J16" i="41"/>
  <c r="G16" i="41"/>
  <c r="H16" i="41" s="1"/>
  <c r="G15" i="41"/>
  <c r="J14" i="41"/>
  <c r="H14" i="41"/>
  <c r="G14" i="41"/>
  <c r="J13" i="41"/>
  <c r="G13" i="41"/>
  <c r="H13" i="41" s="1"/>
  <c r="H12" i="41"/>
  <c r="G12" i="41"/>
  <c r="J11" i="41"/>
  <c r="H11" i="41"/>
  <c r="G11" i="41"/>
  <c r="J10" i="41"/>
  <c r="G10" i="41"/>
  <c r="H10" i="41" s="1"/>
  <c r="H9" i="41"/>
  <c r="G9" i="41"/>
  <c r="G63" i="40"/>
  <c r="G62" i="40"/>
  <c r="G61" i="40"/>
  <c r="G60" i="40"/>
  <c r="E55" i="40"/>
  <c r="D55" i="40"/>
  <c r="C55" i="40"/>
  <c r="E54" i="40"/>
  <c r="D54" i="40"/>
  <c r="C54" i="40"/>
  <c r="H48" i="40"/>
  <c r="G48" i="40"/>
  <c r="G47" i="40"/>
  <c r="H47" i="40" s="1"/>
  <c r="G46" i="40"/>
  <c r="H46" i="40" s="1"/>
  <c r="F39" i="40"/>
  <c r="E39" i="40"/>
  <c r="D39" i="40"/>
  <c r="C39" i="40"/>
  <c r="G38" i="40"/>
  <c r="G37" i="40"/>
  <c r="H37" i="40" s="1"/>
  <c r="G36" i="40"/>
  <c r="J35" i="40"/>
  <c r="H35" i="40"/>
  <c r="G35" i="40"/>
  <c r="H34" i="40"/>
  <c r="G34" i="40"/>
  <c r="J34" i="40" s="1"/>
  <c r="G33" i="40"/>
  <c r="G32" i="40"/>
  <c r="H32" i="40" s="1"/>
  <c r="H31" i="40"/>
  <c r="G31" i="40"/>
  <c r="H30" i="40"/>
  <c r="G30" i="40"/>
  <c r="H29" i="40"/>
  <c r="G29" i="40"/>
  <c r="J29" i="40" s="1"/>
  <c r="G28" i="40"/>
  <c r="J27" i="40"/>
  <c r="H27" i="40"/>
  <c r="G27" i="40"/>
  <c r="H26" i="40"/>
  <c r="G26" i="40"/>
  <c r="J26" i="40" s="1"/>
  <c r="G25" i="40"/>
  <c r="J24" i="40"/>
  <c r="H24" i="40"/>
  <c r="G24" i="40"/>
  <c r="H23" i="40"/>
  <c r="G23" i="40"/>
  <c r="J23" i="40" s="1"/>
  <c r="G22" i="40"/>
  <c r="G21" i="40"/>
  <c r="H21" i="40" s="1"/>
  <c r="H20" i="40"/>
  <c r="G20" i="40"/>
  <c r="J19" i="40"/>
  <c r="G19" i="40"/>
  <c r="H19" i="40" s="1"/>
  <c r="J18" i="40"/>
  <c r="G18" i="40"/>
  <c r="H18" i="40" s="1"/>
  <c r="H17" i="40"/>
  <c r="G17" i="40"/>
  <c r="J16" i="40"/>
  <c r="G16" i="40"/>
  <c r="H16" i="40" s="1"/>
  <c r="J15" i="40"/>
  <c r="G15" i="40"/>
  <c r="H15" i="40" s="1"/>
  <c r="G14" i="40"/>
  <c r="J13" i="40"/>
  <c r="G13" i="40"/>
  <c r="H13" i="40" s="1"/>
  <c r="J12" i="40"/>
  <c r="G12" i="40"/>
  <c r="H12" i="40" s="1"/>
  <c r="G11" i="40"/>
  <c r="J10" i="40"/>
  <c r="G10" i="40"/>
  <c r="H10" i="40" s="1"/>
  <c r="H9" i="40"/>
  <c r="G9" i="40"/>
  <c r="G66" i="39"/>
  <c r="G65" i="39"/>
  <c r="G64" i="39"/>
  <c r="G63" i="39"/>
  <c r="E58" i="39"/>
  <c r="D58" i="39"/>
  <c r="C58" i="39"/>
  <c r="E57" i="39"/>
  <c r="D57" i="39"/>
  <c r="C57" i="39"/>
  <c r="H51" i="39"/>
  <c r="G51" i="39"/>
  <c r="H50" i="39"/>
  <c r="G50" i="39"/>
  <c r="G49" i="39"/>
  <c r="H49" i="39" s="1"/>
  <c r="F42" i="39"/>
  <c r="E42" i="39"/>
  <c r="D42" i="39"/>
  <c r="C42" i="39"/>
  <c r="H41" i="39"/>
  <c r="G41" i="39"/>
  <c r="H40" i="39"/>
  <c r="G40" i="39"/>
  <c r="H39" i="39"/>
  <c r="G39" i="39"/>
  <c r="J38" i="39"/>
  <c r="H38" i="39"/>
  <c r="G38" i="39"/>
  <c r="J37" i="39"/>
  <c r="G37" i="39"/>
  <c r="H37" i="39" s="1"/>
  <c r="H36" i="39"/>
  <c r="G36" i="39"/>
  <c r="J35" i="39"/>
  <c r="H35" i="39"/>
  <c r="G35" i="39"/>
  <c r="J34" i="39"/>
  <c r="G34" i="39"/>
  <c r="H34" i="39" s="1"/>
  <c r="G33" i="39"/>
  <c r="J32" i="39"/>
  <c r="H32" i="39"/>
  <c r="G32" i="39"/>
  <c r="H31" i="39"/>
  <c r="G31" i="39"/>
  <c r="J31" i="39" s="1"/>
  <c r="G30" i="39"/>
  <c r="J29" i="39"/>
  <c r="H29" i="39"/>
  <c r="G29" i="39"/>
  <c r="H28" i="39"/>
  <c r="G28" i="39"/>
  <c r="J28" i="39" s="1"/>
  <c r="G27" i="39"/>
  <c r="J26" i="39"/>
  <c r="H26" i="39"/>
  <c r="G26" i="39"/>
  <c r="H25" i="39"/>
  <c r="G25" i="39"/>
  <c r="J25" i="39" s="1"/>
  <c r="G24" i="39"/>
  <c r="J23" i="39"/>
  <c r="H23" i="39"/>
  <c r="G23" i="39"/>
  <c r="H22" i="39"/>
  <c r="G22" i="39"/>
  <c r="J22" i="39" s="1"/>
  <c r="G21" i="39"/>
  <c r="J20" i="39"/>
  <c r="H20" i="39"/>
  <c r="G20" i="39"/>
  <c r="H19" i="39"/>
  <c r="G19" i="39"/>
  <c r="J19" i="39" s="1"/>
  <c r="G18" i="39"/>
  <c r="J17" i="39"/>
  <c r="H17" i="39"/>
  <c r="G17" i="39"/>
  <c r="H16" i="39"/>
  <c r="G16" i="39"/>
  <c r="J16" i="39" s="1"/>
  <c r="G15" i="39"/>
  <c r="J14" i="39"/>
  <c r="H14" i="39"/>
  <c r="G14" i="39"/>
  <c r="H13" i="39"/>
  <c r="G13" i="39"/>
  <c r="J13" i="39" s="1"/>
  <c r="G12" i="39"/>
  <c r="J11" i="39"/>
  <c r="H11" i="39"/>
  <c r="G11" i="39"/>
  <c r="H10" i="39"/>
  <c r="G10" i="39"/>
  <c r="J10" i="39" s="1"/>
  <c r="G9" i="39"/>
  <c r="H9" i="39" s="1"/>
  <c r="G68" i="38"/>
  <c r="G67" i="38"/>
  <c r="G66" i="38"/>
  <c r="G65" i="38"/>
  <c r="E60" i="38"/>
  <c r="D60" i="38"/>
  <c r="C60" i="38"/>
  <c r="E59" i="38"/>
  <c r="D59" i="38"/>
  <c r="C59" i="38"/>
  <c r="G53" i="38"/>
  <c r="H53" i="38" s="1"/>
  <c r="H52" i="38"/>
  <c r="G52" i="38"/>
  <c r="G51" i="38"/>
  <c r="H51" i="38" s="1"/>
  <c r="F44" i="38"/>
  <c r="E44" i="38"/>
  <c r="D44" i="38"/>
  <c r="C44" i="38"/>
  <c r="J43" i="38"/>
  <c r="G43" i="38"/>
  <c r="H43" i="38" s="1"/>
  <c r="H42" i="38"/>
  <c r="G42" i="38"/>
  <c r="G41" i="38"/>
  <c r="J40" i="38"/>
  <c r="H40" i="38"/>
  <c r="G40" i="38"/>
  <c r="H39" i="38"/>
  <c r="G39" i="38"/>
  <c r="J39" i="38" s="1"/>
  <c r="G38" i="38"/>
  <c r="H38" i="38" s="1"/>
  <c r="H37" i="38"/>
  <c r="G37" i="38"/>
  <c r="G36" i="38"/>
  <c r="J35" i="38"/>
  <c r="H35" i="38"/>
  <c r="G35" i="38"/>
  <c r="H34" i="38"/>
  <c r="G34" i="38"/>
  <c r="J34" i="38" s="1"/>
  <c r="G33" i="38"/>
  <c r="J32" i="38"/>
  <c r="H32" i="38"/>
  <c r="G32" i="38"/>
  <c r="H31" i="38"/>
  <c r="G31" i="38"/>
  <c r="J31" i="38" s="1"/>
  <c r="G30" i="38"/>
  <c r="J29" i="38"/>
  <c r="H29" i="38"/>
  <c r="G29" i="38"/>
  <c r="H28" i="38"/>
  <c r="G28" i="38"/>
  <c r="J28" i="38" s="1"/>
  <c r="G27" i="38"/>
  <c r="J26" i="38"/>
  <c r="H26" i="38"/>
  <c r="G26" i="38"/>
  <c r="H25" i="38"/>
  <c r="G25" i="38"/>
  <c r="J25" i="38" s="1"/>
  <c r="G24" i="38"/>
  <c r="J23" i="38"/>
  <c r="H23" i="38"/>
  <c r="G23" i="38"/>
  <c r="H22" i="38"/>
  <c r="G22" i="38"/>
  <c r="J22" i="38" s="1"/>
  <c r="G21" i="38"/>
  <c r="J20" i="38"/>
  <c r="H20" i="38"/>
  <c r="G20" i="38"/>
  <c r="H19" i="38"/>
  <c r="G19" i="38"/>
  <c r="J19" i="38" s="1"/>
  <c r="G18" i="38"/>
  <c r="J17" i="38"/>
  <c r="H17" i="38"/>
  <c r="G17" i="38"/>
  <c r="H16" i="38"/>
  <c r="G16" i="38"/>
  <c r="J16" i="38" s="1"/>
  <c r="G15" i="38"/>
  <c r="J14" i="38"/>
  <c r="H14" i="38"/>
  <c r="G14" i="38"/>
  <c r="H13" i="38"/>
  <c r="G13" i="38"/>
  <c r="J13" i="38" s="1"/>
  <c r="G12" i="38"/>
  <c r="J11" i="38"/>
  <c r="H11" i="38"/>
  <c r="G11" i="38"/>
  <c r="H10" i="38"/>
  <c r="G10" i="38"/>
  <c r="J10" i="38" s="1"/>
  <c r="G9" i="38"/>
  <c r="G68" i="37"/>
  <c r="G67" i="37"/>
  <c r="G66" i="37"/>
  <c r="G65" i="37"/>
  <c r="E60" i="37"/>
  <c r="D60" i="37"/>
  <c r="C60" i="37"/>
  <c r="E59" i="37"/>
  <c r="D59" i="37"/>
  <c r="C59" i="37"/>
  <c r="G53" i="37"/>
  <c r="H53" i="37" s="1"/>
  <c r="H52" i="37"/>
  <c r="G52" i="37"/>
  <c r="H51" i="37"/>
  <c r="G51" i="37"/>
  <c r="F44" i="37"/>
  <c r="E44" i="37"/>
  <c r="D44" i="37"/>
  <c r="C44" i="37"/>
  <c r="G43" i="37"/>
  <c r="J42" i="37"/>
  <c r="H42" i="37"/>
  <c r="G42" i="37"/>
  <c r="H41" i="37"/>
  <c r="G41" i="37"/>
  <c r="J41" i="37" s="1"/>
  <c r="G40" i="37"/>
  <c r="H40" i="37" s="1"/>
  <c r="H39" i="37"/>
  <c r="G39" i="37"/>
  <c r="G38" i="37"/>
  <c r="H38" i="37" s="1"/>
  <c r="J37" i="37"/>
  <c r="G37" i="37"/>
  <c r="H37" i="37" s="1"/>
  <c r="H36" i="37"/>
  <c r="G36" i="37"/>
  <c r="J35" i="37"/>
  <c r="G35" i="37"/>
  <c r="H35" i="37" s="1"/>
  <c r="J34" i="37"/>
  <c r="G34" i="37"/>
  <c r="H34" i="37" s="1"/>
  <c r="H33" i="37"/>
  <c r="G33" i="37"/>
  <c r="J32" i="37"/>
  <c r="H32" i="37"/>
  <c r="G32" i="37"/>
  <c r="J31" i="37"/>
  <c r="G31" i="37"/>
  <c r="H31" i="37" s="1"/>
  <c r="H30" i="37"/>
  <c r="G30" i="37"/>
  <c r="J29" i="37"/>
  <c r="H29" i="37"/>
  <c r="G29" i="37"/>
  <c r="H28" i="37"/>
  <c r="G28" i="37"/>
  <c r="G27" i="37"/>
  <c r="J26" i="37"/>
  <c r="H26" i="37"/>
  <c r="G26" i="37"/>
  <c r="H25" i="37"/>
  <c r="G25" i="37"/>
  <c r="J24" i="37"/>
  <c r="H24" i="37"/>
  <c r="G24" i="37"/>
  <c r="J23" i="37"/>
  <c r="G23" i="37"/>
  <c r="H23" i="37" s="1"/>
  <c r="G22" i="37"/>
  <c r="J21" i="37"/>
  <c r="H21" i="37"/>
  <c r="G21" i="37"/>
  <c r="J20" i="37"/>
  <c r="G20" i="37"/>
  <c r="H20" i="37" s="1"/>
  <c r="H19" i="37"/>
  <c r="G19" i="37"/>
  <c r="J18" i="37"/>
  <c r="H18" i="37"/>
  <c r="G18" i="37"/>
  <c r="J17" i="37"/>
  <c r="G17" i="37"/>
  <c r="H17" i="37" s="1"/>
  <c r="H16" i="37"/>
  <c r="G16" i="37"/>
  <c r="J15" i="37"/>
  <c r="H15" i="37"/>
  <c r="G15" i="37"/>
  <c r="J14" i="37"/>
  <c r="G14" i="37"/>
  <c r="H14" i="37" s="1"/>
  <c r="G13" i="37"/>
  <c r="J12" i="37"/>
  <c r="H12" i="37"/>
  <c r="G12" i="37"/>
  <c r="J11" i="37"/>
  <c r="G11" i="37"/>
  <c r="H11" i="37" s="1"/>
  <c r="G10" i="37"/>
  <c r="J9" i="37"/>
  <c r="H9" i="37"/>
  <c r="G9" i="37"/>
  <c r="G59" i="36"/>
  <c r="G58" i="36"/>
  <c r="G57" i="36"/>
  <c r="G56" i="36"/>
  <c r="E51" i="36"/>
  <c r="D51" i="36"/>
  <c r="C51" i="36"/>
  <c r="E50" i="36"/>
  <c r="D50" i="36"/>
  <c r="C50" i="36"/>
  <c r="H44" i="36"/>
  <c r="G44" i="36"/>
  <c r="G43" i="36"/>
  <c r="H43" i="36" s="1"/>
  <c r="H42" i="36"/>
  <c r="G42" i="36"/>
  <c r="F35" i="36"/>
  <c r="E35" i="36"/>
  <c r="D35" i="36"/>
  <c r="C35" i="36"/>
  <c r="J34" i="36"/>
  <c r="H34" i="36"/>
  <c r="G34" i="36"/>
  <c r="H33" i="36"/>
  <c r="G33" i="36"/>
  <c r="J33" i="36" s="1"/>
  <c r="G32" i="36"/>
  <c r="H32" i="36" s="1"/>
  <c r="H31" i="36"/>
  <c r="G31" i="36"/>
  <c r="G30" i="36"/>
  <c r="H30" i="36" s="1"/>
  <c r="H29" i="36"/>
  <c r="G29" i="36"/>
  <c r="J28" i="36"/>
  <c r="G28" i="36"/>
  <c r="J27" i="36"/>
  <c r="H27" i="36"/>
  <c r="G27" i="36"/>
  <c r="G26" i="36"/>
  <c r="J25" i="36"/>
  <c r="H25" i="36"/>
  <c r="G25" i="36"/>
  <c r="G24" i="36"/>
  <c r="H23" i="36"/>
  <c r="G23" i="36"/>
  <c r="H22" i="36"/>
  <c r="G22" i="36"/>
  <c r="G21" i="36"/>
  <c r="H20" i="36"/>
  <c r="G20" i="36"/>
  <c r="H19" i="36"/>
  <c r="G19" i="36"/>
  <c r="J19" i="36" s="1"/>
  <c r="J18" i="36"/>
  <c r="G18" i="36"/>
  <c r="G17" i="36"/>
  <c r="H17" i="36" s="1"/>
  <c r="G16" i="36"/>
  <c r="J15" i="36"/>
  <c r="H15" i="36"/>
  <c r="G15" i="36"/>
  <c r="H14" i="36"/>
  <c r="G14" i="36"/>
  <c r="J13" i="36"/>
  <c r="G13" i="36"/>
  <c r="G12" i="36"/>
  <c r="H12" i="36" s="1"/>
  <c r="G11" i="36"/>
  <c r="J10" i="36"/>
  <c r="H10" i="36"/>
  <c r="G10" i="36"/>
  <c r="J9" i="36"/>
  <c r="G9" i="36"/>
  <c r="G64" i="35"/>
  <c r="G63" i="35"/>
  <c r="G62" i="35"/>
  <c r="G61" i="35"/>
  <c r="E56" i="35"/>
  <c r="D56" i="35"/>
  <c r="C56" i="35"/>
  <c r="E55" i="35"/>
  <c r="D55" i="35"/>
  <c r="C55" i="35"/>
  <c r="G49" i="35"/>
  <c r="H49" i="35" s="1"/>
  <c r="G48" i="35"/>
  <c r="H48" i="35" s="1"/>
  <c r="H47" i="35"/>
  <c r="G47" i="35"/>
  <c r="F40" i="35"/>
  <c r="E40" i="35"/>
  <c r="D40" i="35"/>
  <c r="C40" i="35"/>
  <c r="H39" i="35"/>
  <c r="G39" i="35"/>
  <c r="J38" i="35"/>
  <c r="G38" i="35"/>
  <c r="J37" i="35"/>
  <c r="H37" i="35"/>
  <c r="G37" i="35"/>
  <c r="H36" i="35"/>
  <c r="G36" i="35"/>
  <c r="J36" i="35" s="1"/>
  <c r="G35" i="35"/>
  <c r="J34" i="35"/>
  <c r="H34" i="35"/>
  <c r="G34" i="35"/>
  <c r="H33" i="35"/>
  <c r="G33" i="35"/>
  <c r="J33" i="35" s="1"/>
  <c r="J32" i="35"/>
  <c r="G32" i="35"/>
  <c r="J31" i="35"/>
  <c r="H31" i="35"/>
  <c r="G31" i="35"/>
  <c r="G30" i="35"/>
  <c r="J29" i="35"/>
  <c r="G29" i="35"/>
  <c r="H29" i="35" s="1"/>
  <c r="G28" i="35"/>
  <c r="H27" i="35"/>
  <c r="G27" i="35"/>
  <c r="H26" i="35"/>
  <c r="G26" i="35"/>
  <c r="H25" i="35"/>
  <c r="G25" i="35"/>
  <c r="J25" i="35" s="1"/>
  <c r="J24" i="35"/>
  <c r="G24" i="35"/>
  <c r="J23" i="35"/>
  <c r="H23" i="35"/>
  <c r="G23" i="35"/>
  <c r="H22" i="35"/>
  <c r="G22" i="35"/>
  <c r="J22" i="35" s="1"/>
  <c r="G21" i="35"/>
  <c r="G20" i="35"/>
  <c r="H20" i="35" s="1"/>
  <c r="G19" i="35"/>
  <c r="J18" i="35"/>
  <c r="H18" i="35"/>
  <c r="G18" i="35"/>
  <c r="H17" i="35"/>
  <c r="G17" i="35"/>
  <c r="J16" i="35"/>
  <c r="G16" i="35"/>
  <c r="H16" i="35" s="1"/>
  <c r="J15" i="35"/>
  <c r="G15" i="35"/>
  <c r="H15" i="35" s="1"/>
  <c r="G14" i="35"/>
  <c r="J13" i="35"/>
  <c r="H13" i="35"/>
  <c r="G13" i="35"/>
  <c r="H12" i="35"/>
  <c r="G12" i="35"/>
  <c r="J12" i="35" s="1"/>
  <c r="G11" i="35"/>
  <c r="J10" i="35"/>
  <c r="H10" i="35"/>
  <c r="G10" i="35"/>
  <c r="H9" i="35"/>
  <c r="G9" i="35"/>
  <c r="G62" i="34"/>
  <c r="G61" i="34"/>
  <c r="G60" i="34"/>
  <c r="G59" i="34"/>
  <c r="E54" i="34"/>
  <c r="D54" i="34"/>
  <c r="C54" i="34"/>
  <c r="E53" i="34"/>
  <c r="D53" i="34"/>
  <c r="C53" i="34"/>
  <c r="H47" i="34"/>
  <c r="G47" i="34"/>
  <c r="G46" i="34"/>
  <c r="H46" i="34" s="1"/>
  <c r="G45" i="34"/>
  <c r="H45" i="34" s="1"/>
  <c r="F38" i="34"/>
  <c r="E38" i="34"/>
  <c r="D38" i="34"/>
  <c r="C38" i="34"/>
  <c r="G37" i="34"/>
  <c r="G36" i="34"/>
  <c r="H36" i="34" s="1"/>
  <c r="G35" i="34"/>
  <c r="J34" i="34"/>
  <c r="G34" i="34"/>
  <c r="H34" i="34" s="1"/>
  <c r="G33" i="34"/>
  <c r="H32" i="34"/>
  <c r="G32" i="34"/>
  <c r="J31" i="34"/>
  <c r="G31" i="34"/>
  <c r="H31" i="34" s="1"/>
  <c r="J30" i="34"/>
  <c r="G30" i="34"/>
  <c r="H30" i="34" s="1"/>
  <c r="H29" i="34"/>
  <c r="G29" i="34"/>
  <c r="J28" i="34"/>
  <c r="G28" i="34"/>
  <c r="H28" i="34" s="1"/>
  <c r="J27" i="34"/>
  <c r="G27" i="34"/>
  <c r="H27" i="34" s="1"/>
  <c r="G26" i="34"/>
  <c r="J25" i="34"/>
  <c r="G25" i="34"/>
  <c r="H25" i="34" s="1"/>
  <c r="G24" i="34"/>
  <c r="H23" i="34"/>
  <c r="G23" i="34"/>
  <c r="J22" i="34"/>
  <c r="G22" i="34"/>
  <c r="H22" i="34" s="1"/>
  <c r="J21" i="34"/>
  <c r="H21" i="34"/>
  <c r="G21" i="34"/>
  <c r="G20" i="34"/>
  <c r="J19" i="34"/>
  <c r="H19" i="34"/>
  <c r="G19" i="34"/>
  <c r="H18" i="34"/>
  <c r="G18" i="34"/>
  <c r="J18" i="34" s="1"/>
  <c r="G17" i="34"/>
  <c r="J16" i="34"/>
  <c r="H16" i="34"/>
  <c r="G16" i="34"/>
  <c r="H15" i="34"/>
  <c r="G15" i="34"/>
  <c r="J15" i="34" s="1"/>
  <c r="G14" i="34"/>
  <c r="H14" i="34" s="1"/>
  <c r="J13" i="34"/>
  <c r="H13" i="34"/>
  <c r="G13" i="34"/>
  <c r="G12" i="34"/>
  <c r="J11" i="34"/>
  <c r="G11" i="34"/>
  <c r="H11" i="34" s="1"/>
  <c r="J10" i="34"/>
  <c r="H10" i="34"/>
  <c r="G10" i="34"/>
  <c r="G9" i="34"/>
  <c r="G68" i="33"/>
  <c r="G67" i="33"/>
  <c r="G66" i="33"/>
  <c r="G65" i="33"/>
  <c r="E60" i="33"/>
  <c r="D60" i="33"/>
  <c r="C60" i="33"/>
  <c r="E59" i="33"/>
  <c r="D59" i="33"/>
  <c r="C59" i="33"/>
  <c r="G53" i="33"/>
  <c r="H53" i="33" s="1"/>
  <c r="H52" i="33"/>
  <c r="G52" i="33"/>
  <c r="G51" i="33"/>
  <c r="H51" i="33" s="1"/>
  <c r="F44" i="33"/>
  <c r="E44" i="33"/>
  <c r="D44" i="33"/>
  <c r="C44" i="33"/>
  <c r="H43" i="33"/>
  <c r="G43" i="33"/>
  <c r="J42" i="33"/>
  <c r="G42" i="33"/>
  <c r="H42" i="33" s="1"/>
  <c r="J41" i="33"/>
  <c r="H41" i="33"/>
  <c r="G41" i="33"/>
  <c r="G40" i="33"/>
  <c r="J39" i="33"/>
  <c r="H39" i="33"/>
  <c r="G39" i="33"/>
  <c r="H38" i="33"/>
  <c r="G38" i="33"/>
  <c r="J38" i="33" s="1"/>
  <c r="G37" i="33"/>
  <c r="J36" i="33"/>
  <c r="H36" i="33"/>
  <c r="G36" i="33"/>
  <c r="H35" i="33"/>
  <c r="G35" i="33"/>
  <c r="J35" i="33" s="1"/>
  <c r="G34" i="33"/>
  <c r="J33" i="33"/>
  <c r="H33" i="33"/>
  <c r="G33" i="33"/>
  <c r="H32" i="33"/>
  <c r="G32" i="33"/>
  <c r="J32" i="33" s="1"/>
  <c r="G31" i="33"/>
  <c r="J30" i="33"/>
  <c r="H30" i="33"/>
  <c r="G30" i="33"/>
  <c r="H29" i="33"/>
  <c r="G29" i="33"/>
  <c r="J29" i="33" s="1"/>
  <c r="G28" i="33"/>
  <c r="J27" i="33"/>
  <c r="H27" i="33"/>
  <c r="G27" i="33"/>
  <c r="H26" i="33"/>
  <c r="G26" i="33"/>
  <c r="J26" i="33" s="1"/>
  <c r="G25" i="33"/>
  <c r="J24" i="33"/>
  <c r="H24" i="33"/>
  <c r="G24" i="33"/>
  <c r="H23" i="33"/>
  <c r="G23" i="33"/>
  <c r="J23" i="33" s="1"/>
  <c r="G22" i="33"/>
  <c r="J21" i="33"/>
  <c r="H21" i="33"/>
  <c r="G21" i="33"/>
  <c r="H20" i="33"/>
  <c r="G20" i="33"/>
  <c r="J20" i="33" s="1"/>
  <c r="G19" i="33"/>
  <c r="H19" i="33" s="1"/>
  <c r="J18" i="33"/>
  <c r="H18" i="33"/>
  <c r="G18" i="33"/>
  <c r="G17" i="33"/>
  <c r="J16" i="33"/>
  <c r="G16" i="33"/>
  <c r="H16" i="33" s="1"/>
  <c r="J15" i="33"/>
  <c r="H15" i="33"/>
  <c r="G15" i="33"/>
  <c r="H14" i="33"/>
  <c r="G14" i="33"/>
  <c r="J13" i="33"/>
  <c r="G13" i="33"/>
  <c r="H13" i="33" s="1"/>
  <c r="H12" i="33"/>
  <c r="G12" i="33"/>
  <c r="G11" i="33"/>
  <c r="H10" i="33"/>
  <c r="G10" i="33"/>
  <c r="G9" i="33"/>
  <c r="G69" i="32"/>
  <c r="G68" i="32"/>
  <c r="G67" i="32"/>
  <c r="G66" i="32"/>
  <c r="E61" i="32"/>
  <c r="D61" i="32"/>
  <c r="C61" i="32"/>
  <c r="E60" i="32"/>
  <c r="D60" i="32"/>
  <c r="C60" i="32"/>
  <c r="G54" i="32"/>
  <c r="H54" i="32" s="1"/>
  <c r="G53" i="32"/>
  <c r="H53" i="32" s="1"/>
  <c r="H52" i="32"/>
  <c r="G52" i="32"/>
  <c r="F45" i="32"/>
  <c r="E45" i="32"/>
  <c r="D45" i="32"/>
  <c r="C45" i="32"/>
  <c r="G44" i="32"/>
  <c r="H44" i="32" s="1"/>
  <c r="H43" i="32"/>
  <c r="G43" i="32"/>
  <c r="G42" i="32"/>
  <c r="J41" i="32"/>
  <c r="H41" i="32"/>
  <c r="G41" i="32"/>
  <c r="G40" i="32"/>
  <c r="J39" i="32"/>
  <c r="G39" i="32"/>
  <c r="H39" i="32" s="1"/>
  <c r="J38" i="32"/>
  <c r="H38" i="32"/>
  <c r="G38" i="32"/>
  <c r="G37" i="32"/>
  <c r="H36" i="32"/>
  <c r="G36" i="32"/>
  <c r="H35" i="32"/>
  <c r="G35" i="32"/>
  <c r="H34" i="32"/>
  <c r="G34" i="32"/>
  <c r="H33" i="32"/>
  <c r="G33" i="32"/>
  <c r="J33" i="32" s="1"/>
  <c r="H32" i="32"/>
  <c r="G32" i="32"/>
  <c r="J31" i="32"/>
  <c r="H31" i="32"/>
  <c r="G31" i="32"/>
  <c r="G30" i="32"/>
  <c r="J29" i="32"/>
  <c r="H29" i="32"/>
  <c r="G29" i="32"/>
  <c r="J28" i="32"/>
  <c r="H28" i="32"/>
  <c r="G28" i="32"/>
  <c r="G27" i="32"/>
  <c r="J26" i="32"/>
  <c r="H26" i="32"/>
  <c r="G26" i="32"/>
  <c r="J25" i="32"/>
  <c r="H25" i="32"/>
  <c r="G25" i="32"/>
  <c r="G24" i="32"/>
  <c r="J23" i="32"/>
  <c r="H23" i="32"/>
  <c r="G23" i="32"/>
  <c r="J22" i="32"/>
  <c r="H22" i="32"/>
  <c r="G22" i="32"/>
  <c r="G21" i="32"/>
  <c r="J20" i="32"/>
  <c r="H20" i="32"/>
  <c r="G20" i="32"/>
  <c r="J19" i="32"/>
  <c r="H19" i="32"/>
  <c r="G19" i="32"/>
  <c r="G18" i="32"/>
  <c r="J17" i="32"/>
  <c r="H17" i="32"/>
  <c r="G17" i="32"/>
  <c r="J16" i="32"/>
  <c r="H16" i="32"/>
  <c r="G16" i="32"/>
  <c r="G15" i="32"/>
  <c r="J14" i="32"/>
  <c r="H14" i="32"/>
  <c r="G14" i="32"/>
  <c r="J13" i="32"/>
  <c r="H13" i="32"/>
  <c r="G13" i="32"/>
  <c r="G12" i="32"/>
  <c r="J11" i="32"/>
  <c r="H11" i="32"/>
  <c r="G11" i="32"/>
  <c r="J10" i="32"/>
  <c r="H10" i="32"/>
  <c r="G10" i="32"/>
  <c r="G9" i="32"/>
  <c r="G65" i="31"/>
  <c r="G64" i="31"/>
  <c r="G63" i="31"/>
  <c r="G62" i="31"/>
  <c r="E57" i="31"/>
  <c r="D57" i="31"/>
  <c r="C57" i="31"/>
  <c r="E56" i="31"/>
  <c r="D56" i="31"/>
  <c r="C56" i="31"/>
  <c r="G50" i="31"/>
  <c r="H50" i="31" s="1"/>
  <c r="H49" i="31"/>
  <c r="G49" i="31"/>
  <c r="H48" i="31"/>
  <c r="G48" i="31"/>
  <c r="F41" i="31"/>
  <c r="E41" i="31"/>
  <c r="D41" i="31"/>
  <c r="C41" i="31"/>
  <c r="G40" i="31"/>
  <c r="J39" i="31"/>
  <c r="H39" i="31"/>
  <c r="G39" i="31"/>
  <c r="H38" i="31"/>
  <c r="G38" i="31"/>
  <c r="J38" i="31" s="1"/>
  <c r="G37" i="31"/>
  <c r="J36" i="31"/>
  <c r="H36" i="31"/>
  <c r="G36" i="31"/>
  <c r="G35" i="31"/>
  <c r="G34" i="31"/>
  <c r="J33" i="31"/>
  <c r="H33" i="31"/>
  <c r="G33" i="31"/>
  <c r="G32" i="31"/>
  <c r="J31" i="31"/>
  <c r="G31" i="31"/>
  <c r="H31" i="31" s="1"/>
  <c r="J30" i="31"/>
  <c r="H30" i="31"/>
  <c r="G30" i="31"/>
  <c r="G29" i="31"/>
  <c r="J28" i="31"/>
  <c r="G28" i="31"/>
  <c r="H28" i="31" s="1"/>
  <c r="J27" i="31"/>
  <c r="H27" i="31"/>
  <c r="G27" i="31"/>
  <c r="H26" i="31"/>
  <c r="G26" i="31"/>
  <c r="J25" i="31"/>
  <c r="G25" i="31"/>
  <c r="H25" i="31" s="1"/>
  <c r="J24" i="31"/>
  <c r="H24" i="31"/>
  <c r="G24" i="31"/>
  <c r="H23" i="31"/>
  <c r="G23" i="31"/>
  <c r="J22" i="31"/>
  <c r="H22" i="31"/>
  <c r="G22" i="31"/>
  <c r="J21" i="31"/>
  <c r="H21" i="31"/>
  <c r="G21" i="31"/>
  <c r="H20" i="31"/>
  <c r="G20" i="31"/>
  <c r="J19" i="31"/>
  <c r="H19" i="31"/>
  <c r="G19" i="31"/>
  <c r="J18" i="31"/>
  <c r="H18" i="31"/>
  <c r="G18" i="31"/>
  <c r="G17" i="31"/>
  <c r="J16" i="31"/>
  <c r="H16" i="31"/>
  <c r="G16" i="31"/>
  <c r="J15" i="31"/>
  <c r="H15" i="31"/>
  <c r="G15" i="31"/>
  <c r="H14" i="31"/>
  <c r="G14" i="31"/>
  <c r="J13" i="31"/>
  <c r="H13" i="31"/>
  <c r="G13" i="31"/>
  <c r="J12" i="31"/>
  <c r="H12" i="31"/>
  <c r="G12" i="31"/>
  <c r="H11" i="31"/>
  <c r="G11" i="31"/>
  <c r="J10" i="31"/>
  <c r="H10" i="31"/>
  <c r="G10" i="31"/>
  <c r="G9" i="31"/>
  <c r="G62" i="30"/>
  <c r="G61" i="30"/>
  <c r="G60" i="30"/>
  <c r="G59" i="30"/>
  <c r="E54" i="30"/>
  <c r="D54" i="30"/>
  <c r="C54" i="30"/>
  <c r="E53" i="30"/>
  <c r="D53" i="30"/>
  <c r="C53" i="30"/>
  <c r="G47" i="30"/>
  <c r="H47" i="30" s="1"/>
  <c r="H46" i="30"/>
  <c r="G46" i="30"/>
  <c r="G45" i="30"/>
  <c r="H45" i="30" s="1"/>
  <c r="F38" i="30"/>
  <c r="E38" i="30"/>
  <c r="D38" i="30"/>
  <c r="C38" i="30"/>
  <c r="G37" i="30"/>
  <c r="J36" i="30"/>
  <c r="G36" i="30"/>
  <c r="H36" i="30" s="1"/>
  <c r="J35" i="30"/>
  <c r="H35" i="30"/>
  <c r="G35" i="30"/>
  <c r="G34" i="30"/>
  <c r="H33" i="30"/>
  <c r="G33" i="30"/>
  <c r="H32" i="30"/>
  <c r="G32" i="30"/>
  <c r="H31" i="30"/>
  <c r="G31" i="30"/>
  <c r="G30" i="30"/>
  <c r="H29" i="30"/>
  <c r="G29" i="30"/>
  <c r="G28" i="30"/>
  <c r="G27" i="30"/>
  <c r="J26" i="30"/>
  <c r="H26" i="30"/>
  <c r="G26" i="30"/>
  <c r="H25" i="30"/>
  <c r="G25" i="30"/>
  <c r="J25" i="30" s="1"/>
  <c r="G24" i="30"/>
  <c r="J23" i="30"/>
  <c r="H23" i="30"/>
  <c r="G23" i="30"/>
  <c r="G22" i="30"/>
  <c r="J21" i="30"/>
  <c r="G21" i="30"/>
  <c r="H21" i="30" s="1"/>
  <c r="J20" i="30"/>
  <c r="H20" i="30"/>
  <c r="G20" i="30"/>
  <c r="H19" i="30"/>
  <c r="G19" i="30"/>
  <c r="J18" i="30"/>
  <c r="G18" i="30"/>
  <c r="H18" i="30" s="1"/>
  <c r="J17" i="30"/>
  <c r="H17" i="30"/>
  <c r="G17" i="30"/>
  <c r="H16" i="30"/>
  <c r="G16" i="30"/>
  <c r="J15" i="30"/>
  <c r="G15" i="30"/>
  <c r="H15" i="30" s="1"/>
  <c r="J14" i="30"/>
  <c r="H14" i="30"/>
  <c r="G14" i="30"/>
  <c r="G13" i="30"/>
  <c r="J12" i="30"/>
  <c r="H12" i="30"/>
  <c r="G12" i="30"/>
  <c r="J11" i="30"/>
  <c r="H11" i="30"/>
  <c r="G11" i="30"/>
  <c r="G10" i="30"/>
  <c r="J9" i="30"/>
  <c r="H9" i="30"/>
  <c r="G9" i="30"/>
  <c r="G67" i="29"/>
  <c r="G66" i="29"/>
  <c r="G65" i="29"/>
  <c r="G64" i="29"/>
  <c r="E59" i="29"/>
  <c r="D59" i="29"/>
  <c r="C59" i="29"/>
  <c r="E58" i="29"/>
  <c r="D58" i="29"/>
  <c r="C58" i="29"/>
  <c r="G52" i="29"/>
  <c r="H52" i="29" s="1"/>
  <c r="H51" i="29"/>
  <c r="G51" i="29"/>
  <c r="H50" i="29"/>
  <c r="G50" i="29"/>
  <c r="F43" i="29"/>
  <c r="E43" i="29"/>
  <c r="D43" i="29"/>
  <c r="C43" i="29"/>
  <c r="H42" i="29"/>
  <c r="G42" i="29"/>
  <c r="G41" i="29"/>
  <c r="H40" i="29"/>
  <c r="G40" i="29"/>
  <c r="H39" i="29"/>
  <c r="G39" i="29"/>
  <c r="J38" i="29"/>
  <c r="H38" i="29"/>
  <c r="G38" i="29"/>
  <c r="J37" i="29"/>
  <c r="H37" i="29"/>
  <c r="G37" i="29"/>
  <c r="H36" i="29"/>
  <c r="G36" i="29"/>
  <c r="J35" i="29"/>
  <c r="H35" i="29"/>
  <c r="G35" i="29"/>
  <c r="J34" i="29"/>
  <c r="H34" i="29"/>
  <c r="G34" i="29"/>
  <c r="H33" i="29"/>
  <c r="G33" i="29"/>
  <c r="J32" i="29"/>
  <c r="H32" i="29"/>
  <c r="G32" i="29"/>
  <c r="J31" i="29"/>
  <c r="H31" i="29"/>
  <c r="G31" i="29"/>
  <c r="H30" i="29"/>
  <c r="G30" i="29"/>
  <c r="J29" i="29"/>
  <c r="H29" i="29"/>
  <c r="G29" i="29"/>
  <c r="J28" i="29"/>
  <c r="H28" i="29"/>
  <c r="G28" i="29"/>
  <c r="G27" i="29"/>
  <c r="J26" i="29"/>
  <c r="H26" i="29"/>
  <c r="G26" i="29"/>
  <c r="H25" i="29"/>
  <c r="G25" i="29"/>
  <c r="J25" i="29" s="1"/>
  <c r="G24" i="29"/>
  <c r="J23" i="29"/>
  <c r="H23" i="29"/>
  <c r="G23" i="29"/>
  <c r="G22" i="29"/>
  <c r="G21" i="29"/>
  <c r="J20" i="29"/>
  <c r="H20" i="29"/>
  <c r="G20" i="29"/>
  <c r="G19" i="29"/>
  <c r="J19" i="29" s="1"/>
  <c r="G18" i="29"/>
  <c r="J17" i="29"/>
  <c r="H17" i="29"/>
  <c r="G17" i="29"/>
  <c r="H16" i="29"/>
  <c r="G16" i="29"/>
  <c r="J16" i="29" s="1"/>
  <c r="G15" i="29"/>
  <c r="J14" i="29"/>
  <c r="H14" i="29"/>
  <c r="G14" i="29"/>
  <c r="H13" i="29"/>
  <c r="G13" i="29"/>
  <c r="G12" i="29"/>
  <c r="J11" i="29"/>
  <c r="H11" i="29"/>
  <c r="G11" i="29"/>
  <c r="G10" i="29"/>
  <c r="J10" i="29" s="1"/>
  <c r="G9" i="29"/>
  <c r="G62" i="28"/>
  <c r="G61" i="28"/>
  <c r="G60" i="28"/>
  <c r="G59" i="28"/>
  <c r="E54" i="28"/>
  <c r="D54" i="28"/>
  <c r="C54" i="28"/>
  <c r="E53" i="28"/>
  <c r="D53" i="28"/>
  <c r="C53" i="28"/>
  <c r="G47" i="28"/>
  <c r="H47" i="28" s="1"/>
  <c r="H46" i="28"/>
  <c r="G46" i="28"/>
  <c r="H45" i="28"/>
  <c r="G45" i="28"/>
  <c r="F38" i="28"/>
  <c r="E38" i="28"/>
  <c r="D38" i="28"/>
  <c r="C38" i="28"/>
  <c r="G37" i="28"/>
  <c r="H37" i="28" s="1"/>
  <c r="G36" i="28"/>
  <c r="G35" i="28"/>
  <c r="J34" i="28"/>
  <c r="H34" i="28"/>
  <c r="G34" i="28"/>
  <c r="G33" i="28"/>
  <c r="H32" i="28"/>
  <c r="G32" i="28"/>
  <c r="H31" i="28"/>
  <c r="G31" i="28"/>
  <c r="G30" i="28"/>
  <c r="J29" i="28"/>
  <c r="H29" i="28"/>
  <c r="G29" i="28"/>
  <c r="G28" i="28"/>
  <c r="J28" i="28" s="1"/>
  <c r="G27" i="28"/>
  <c r="H26" i="28"/>
  <c r="G26" i="28"/>
  <c r="G25" i="28"/>
  <c r="H24" i="28"/>
  <c r="G24" i="28"/>
  <c r="G23" i="28"/>
  <c r="J22" i="28"/>
  <c r="H22" i="28"/>
  <c r="G22" i="28"/>
  <c r="J21" i="28"/>
  <c r="H21" i="28"/>
  <c r="G21" i="28"/>
  <c r="H20" i="28"/>
  <c r="G20" i="28"/>
  <c r="H19" i="28"/>
  <c r="G19" i="28"/>
  <c r="G18" i="28"/>
  <c r="J17" i="28"/>
  <c r="H17" i="28"/>
  <c r="G17" i="28"/>
  <c r="G16" i="28"/>
  <c r="H16" i="28" s="1"/>
  <c r="G15" i="28"/>
  <c r="J14" i="28"/>
  <c r="H14" i="28"/>
  <c r="G14" i="28"/>
  <c r="H13" i="28"/>
  <c r="G13" i="28"/>
  <c r="H12" i="28"/>
  <c r="G12" i="28"/>
  <c r="H11" i="28"/>
  <c r="G11" i="28"/>
  <c r="J11" i="28" s="1"/>
  <c r="G10" i="28"/>
  <c r="H9" i="28"/>
  <c r="G9" i="28"/>
  <c r="G72" i="27"/>
  <c r="G71" i="27"/>
  <c r="G70" i="27"/>
  <c r="G69" i="27"/>
  <c r="E64" i="27"/>
  <c r="D64" i="27"/>
  <c r="C64" i="27"/>
  <c r="E63" i="27"/>
  <c r="D63" i="27"/>
  <c r="C63" i="27"/>
  <c r="H57" i="27"/>
  <c r="G57" i="27"/>
  <c r="G56" i="27"/>
  <c r="H56" i="27" s="1"/>
  <c r="H55" i="27"/>
  <c r="G55" i="27"/>
  <c r="F48" i="27"/>
  <c r="E48" i="27"/>
  <c r="D48" i="27"/>
  <c r="C48" i="27"/>
  <c r="G47" i="27"/>
  <c r="H47" i="27" s="1"/>
  <c r="G46" i="27"/>
  <c r="H46" i="27" s="1"/>
  <c r="H45" i="27"/>
  <c r="G45" i="27"/>
  <c r="G44" i="27"/>
  <c r="H44" i="27" s="1"/>
  <c r="J43" i="27"/>
  <c r="H43" i="27"/>
  <c r="G43" i="27"/>
  <c r="H42" i="27"/>
  <c r="G42" i="27"/>
  <c r="J41" i="27"/>
  <c r="G41" i="27"/>
  <c r="H41" i="27" s="1"/>
  <c r="H40" i="27"/>
  <c r="G40" i="27"/>
  <c r="G39" i="27"/>
  <c r="H39" i="27" s="1"/>
  <c r="H38" i="27"/>
  <c r="G38" i="27"/>
  <c r="G37" i="27"/>
  <c r="J36" i="27"/>
  <c r="H36" i="27"/>
  <c r="G36" i="27"/>
  <c r="H35" i="27"/>
  <c r="G35" i="27"/>
  <c r="G34" i="27"/>
  <c r="J33" i="27"/>
  <c r="H33" i="27"/>
  <c r="G33" i="27"/>
  <c r="G32" i="27"/>
  <c r="J32" i="27" s="1"/>
  <c r="G31" i="27"/>
  <c r="J30" i="27"/>
  <c r="H30" i="27"/>
  <c r="G30" i="27"/>
  <c r="H29" i="27"/>
  <c r="G29" i="27"/>
  <c r="J29" i="27" s="1"/>
  <c r="G28" i="27"/>
  <c r="J27" i="27"/>
  <c r="H27" i="27"/>
  <c r="G27" i="27"/>
  <c r="G26" i="27"/>
  <c r="G25" i="27"/>
  <c r="J24" i="27"/>
  <c r="H24" i="27"/>
  <c r="G24" i="27"/>
  <c r="G23" i="27"/>
  <c r="J23" i="27" s="1"/>
  <c r="G22" i="27"/>
  <c r="J21" i="27"/>
  <c r="H21" i="27"/>
  <c r="G21" i="27"/>
  <c r="H20" i="27"/>
  <c r="G20" i="27"/>
  <c r="J20" i="27" s="1"/>
  <c r="G19" i="27"/>
  <c r="J18" i="27"/>
  <c r="H18" i="27"/>
  <c r="G18" i="27"/>
  <c r="G17" i="27"/>
  <c r="G16" i="27"/>
  <c r="J15" i="27"/>
  <c r="H15" i="27"/>
  <c r="G15" i="27"/>
  <c r="G14" i="27"/>
  <c r="J14" i="27" s="1"/>
  <c r="G13" i="27"/>
  <c r="J12" i="27"/>
  <c r="H12" i="27"/>
  <c r="G12" i="27"/>
  <c r="H11" i="27"/>
  <c r="G11" i="27"/>
  <c r="J11" i="27" s="1"/>
  <c r="G10" i="27"/>
  <c r="J9" i="27"/>
  <c r="H9" i="27"/>
  <c r="G9" i="27"/>
  <c r="G61" i="26"/>
  <c r="G60" i="26"/>
  <c r="G59" i="26"/>
  <c r="G58" i="26"/>
  <c r="E53" i="26"/>
  <c r="D53" i="26"/>
  <c r="C53" i="26"/>
  <c r="E52" i="26"/>
  <c r="D52" i="26"/>
  <c r="C52" i="26"/>
  <c r="H46" i="26"/>
  <c r="G46" i="26"/>
  <c r="G45" i="26"/>
  <c r="H45" i="26" s="1"/>
  <c r="G44" i="26"/>
  <c r="H44" i="26" s="1"/>
  <c r="F37" i="26"/>
  <c r="E37" i="26"/>
  <c r="D37" i="26"/>
  <c r="C37" i="26"/>
  <c r="H36" i="26"/>
  <c r="G36" i="26"/>
  <c r="H35" i="26"/>
  <c r="G35" i="26"/>
  <c r="J34" i="26"/>
  <c r="H34" i="26"/>
  <c r="G34" i="26"/>
  <c r="J33" i="26"/>
  <c r="H33" i="26"/>
  <c r="G33" i="26"/>
  <c r="G32" i="26"/>
  <c r="H31" i="26"/>
  <c r="G31" i="26"/>
  <c r="G30" i="26"/>
  <c r="H29" i="26"/>
  <c r="G29" i="26"/>
  <c r="G28" i="26"/>
  <c r="J27" i="26"/>
  <c r="H27" i="26"/>
  <c r="G27" i="26"/>
  <c r="J26" i="26"/>
  <c r="H26" i="26"/>
  <c r="G26" i="26"/>
  <c r="G25" i="26"/>
  <c r="H24" i="26"/>
  <c r="G24" i="26"/>
  <c r="H23" i="26"/>
  <c r="G23" i="26"/>
  <c r="H22" i="26"/>
  <c r="G22" i="26"/>
  <c r="H21" i="26"/>
  <c r="G21" i="26"/>
  <c r="H20" i="26"/>
  <c r="G20" i="26"/>
  <c r="G19" i="26"/>
  <c r="H18" i="26"/>
  <c r="G18" i="26"/>
  <c r="H17" i="26"/>
  <c r="G17" i="26"/>
  <c r="J16" i="26"/>
  <c r="H16" i="26"/>
  <c r="G16" i="26"/>
  <c r="H15" i="26"/>
  <c r="G15" i="26"/>
  <c r="G14" i="26"/>
  <c r="J13" i="26"/>
  <c r="H13" i="26"/>
  <c r="G13" i="26"/>
  <c r="G12" i="26"/>
  <c r="J11" i="26"/>
  <c r="H11" i="26"/>
  <c r="G11" i="26"/>
  <c r="J10" i="26"/>
  <c r="H10" i="26"/>
  <c r="G10" i="26"/>
  <c r="G9" i="26"/>
  <c r="G63" i="25"/>
  <c r="G62" i="25"/>
  <c r="G61" i="25"/>
  <c r="G60" i="25"/>
  <c r="E55" i="25"/>
  <c r="D55" i="25"/>
  <c r="C55" i="25"/>
  <c r="E54" i="25"/>
  <c r="D54" i="25"/>
  <c r="C54" i="25"/>
  <c r="G48" i="25"/>
  <c r="H48" i="25" s="1"/>
  <c r="G47" i="25"/>
  <c r="H47" i="25" s="1"/>
  <c r="H46" i="25"/>
  <c r="G46" i="25"/>
  <c r="F39" i="25"/>
  <c r="E39" i="25"/>
  <c r="D39" i="25"/>
  <c r="C39" i="25"/>
  <c r="G38" i="25"/>
  <c r="H38" i="25" s="1"/>
  <c r="H37" i="25"/>
  <c r="G37" i="25"/>
  <c r="G36" i="25"/>
  <c r="J35" i="25"/>
  <c r="H35" i="25"/>
  <c r="G35" i="25"/>
  <c r="H34" i="25"/>
  <c r="G34" i="25"/>
  <c r="H33" i="25"/>
  <c r="G33" i="25"/>
  <c r="H32" i="25"/>
  <c r="G32" i="25"/>
  <c r="H31" i="25"/>
  <c r="G31" i="25"/>
  <c r="H30" i="25"/>
  <c r="G30" i="25"/>
  <c r="J30" i="25" s="1"/>
  <c r="G29" i="25"/>
  <c r="J28" i="25"/>
  <c r="H28" i="25"/>
  <c r="G28" i="25"/>
  <c r="G27" i="25"/>
  <c r="G26" i="25"/>
  <c r="J25" i="25"/>
  <c r="H25" i="25"/>
  <c r="G25" i="25"/>
  <c r="H24" i="25"/>
  <c r="G24" i="25"/>
  <c r="J24" i="25" s="1"/>
  <c r="G23" i="25"/>
  <c r="H23" i="25" s="1"/>
  <c r="G22" i="25"/>
  <c r="G21" i="25"/>
  <c r="J20" i="25"/>
  <c r="H20" i="25"/>
  <c r="G20" i="25"/>
  <c r="H19" i="25"/>
  <c r="G19" i="25"/>
  <c r="J18" i="25"/>
  <c r="G18" i="25"/>
  <c r="H18" i="25" s="1"/>
  <c r="J17" i="25"/>
  <c r="H17" i="25"/>
  <c r="G17" i="25"/>
  <c r="G16" i="25"/>
  <c r="J15" i="25"/>
  <c r="G15" i="25"/>
  <c r="H15" i="25" s="1"/>
  <c r="J14" i="25"/>
  <c r="H14" i="25"/>
  <c r="G14" i="25"/>
  <c r="H13" i="25"/>
  <c r="G13" i="25"/>
  <c r="J12" i="25"/>
  <c r="H12" i="25"/>
  <c r="G12" i="25"/>
  <c r="J11" i="25"/>
  <c r="H11" i="25"/>
  <c r="G11" i="25"/>
  <c r="H10" i="25"/>
  <c r="G10" i="25"/>
  <c r="J9" i="25"/>
  <c r="H9" i="25"/>
  <c r="G9" i="25"/>
  <c r="G67" i="24"/>
  <c r="G66" i="24"/>
  <c r="G65" i="24"/>
  <c r="G64" i="24"/>
  <c r="E59" i="24"/>
  <c r="D59" i="24"/>
  <c r="C59" i="24"/>
  <c r="E58" i="24"/>
  <c r="D58" i="24"/>
  <c r="C58" i="24"/>
  <c r="G52" i="24"/>
  <c r="H52" i="24" s="1"/>
  <c r="G51" i="24"/>
  <c r="H51" i="24" s="1"/>
  <c r="H50" i="24"/>
  <c r="G50" i="24"/>
  <c r="F43" i="24"/>
  <c r="E43" i="24"/>
  <c r="D43" i="24"/>
  <c r="C43" i="24"/>
  <c r="H42" i="24"/>
  <c r="G42" i="24"/>
  <c r="H41" i="24"/>
  <c r="G41" i="24"/>
  <c r="J40" i="24"/>
  <c r="G40" i="24"/>
  <c r="H40" i="24" s="1"/>
  <c r="J39" i="24"/>
  <c r="H39" i="24"/>
  <c r="G39" i="24"/>
  <c r="G38" i="24"/>
  <c r="H37" i="24"/>
  <c r="G37" i="24"/>
  <c r="G36" i="24"/>
  <c r="H35" i="24"/>
  <c r="G35" i="24"/>
  <c r="G34" i="24"/>
  <c r="H33" i="24"/>
  <c r="G33" i="24"/>
  <c r="H32" i="24"/>
  <c r="G32" i="24"/>
  <c r="H31" i="24"/>
  <c r="G31" i="24"/>
  <c r="H30" i="24"/>
  <c r="G30" i="24"/>
  <c r="J30" i="24" s="1"/>
  <c r="G29" i="24"/>
  <c r="J28" i="24"/>
  <c r="H28" i="24"/>
  <c r="G28" i="24"/>
  <c r="G27" i="24"/>
  <c r="G26" i="24"/>
  <c r="H26" i="24" s="1"/>
  <c r="J25" i="24"/>
  <c r="H25" i="24"/>
  <c r="G25" i="24"/>
  <c r="G24" i="24"/>
  <c r="H23" i="24"/>
  <c r="G23" i="24"/>
  <c r="G22" i="24"/>
  <c r="J21" i="24"/>
  <c r="H21" i="24"/>
  <c r="G21" i="24"/>
  <c r="H20" i="24"/>
  <c r="G20" i="24"/>
  <c r="J20" i="24" s="1"/>
  <c r="H19" i="24"/>
  <c r="G19" i="24"/>
  <c r="H18" i="24"/>
  <c r="G18" i="24"/>
  <c r="G17" i="24"/>
  <c r="H16" i="24"/>
  <c r="G16" i="24"/>
  <c r="H15" i="24"/>
  <c r="G15" i="24"/>
  <c r="J14" i="24"/>
  <c r="H14" i="24"/>
  <c r="G14" i="24"/>
  <c r="H13" i="24"/>
  <c r="G13" i="24"/>
  <c r="H12" i="24"/>
  <c r="G12" i="24"/>
  <c r="J11" i="24"/>
  <c r="H11" i="24"/>
  <c r="G11" i="24"/>
  <c r="G10" i="24"/>
  <c r="H9" i="24"/>
  <c r="G9" i="24"/>
  <c r="G63" i="23"/>
  <c r="G62" i="23"/>
  <c r="G61" i="23"/>
  <c r="G60" i="23"/>
  <c r="E55" i="23"/>
  <c r="D55" i="23"/>
  <c r="C55" i="23"/>
  <c r="E54" i="23"/>
  <c r="D54" i="23"/>
  <c r="C54" i="23"/>
  <c r="H48" i="23"/>
  <c r="G48" i="23"/>
  <c r="G47" i="23"/>
  <c r="H47" i="23" s="1"/>
  <c r="G46" i="23"/>
  <c r="H46" i="23" s="1"/>
  <c r="F39" i="23"/>
  <c r="E39" i="23"/>
  <c r="D39" i="23"/>
  <c r="C39" i="23"/>
  <c r="H38" i="23"/>
  <c r="G38" i="23"/>
  <c r="G37" i="23"/>
  <c r="J36" i="23"/>
  <c r="H36" i="23"/>
  <c r="G36" i="23"/>
  <c r="G35" i="23"/>
  <c r="G34" i="23"/>
  <c r="J33" i="23"/>
  <c r="G33" i="23"/>
  <c r="H33" i="23" s="1"/>
  <c r="G32" i="23"/>
  <c r="G31" i="23"/>
  <c r="H31" i="23" s="1"/>
  <c r="H30" i="23"/>
  <c r="G30" i="23"/>
  <c r="J30" i="23" s="1"/>
  <c r="G29" i="23"/>
  <c r="J28" i="23"/>
  <c r="G28" i="23"/>
  <c r="H28" i="23" s="1"/>
  <c r="G27" i="23"/>
  <c r="G26" i="23"/>
  <c r="J25" i="23"/>
  <c r="G25" i="23"/>
  <c r="H25" i="23" s="1"/>
  <c r="G24" i="23"/>
  <c r="G23" i="23"/>
  <c r="J22" i="23"/>
  <c r="G22" i="23"/>
  <c r="H22" i="23" s="1"/>
  <c r="H21" i="23"/>
  <c r="G21" i="23"/>
  <c r="J21" i="23" s="1"/>
  <c r="G20" i="23"/>
  <c r="J19" i="23"/>
  <c r="H19" i="23"/>
  <c r="G19" i="23"/>
  <c r="H18" i="23"/>
  <c r="G18" i="23"/>
  <c r="J18" i="23" s="1"/>
  <c r="G17" i="23"/>
  <c r="J16" i="23"/>
  <c r="H16" i="23"/>
  <c r="G16" i="23"/>
  <c r="G15" i="23"/>
  <c r="J14" i="23"/>
  <c r="G14" i="23"/>
  <c r="J13" i="23"/>
  <c r="H13" i="23"/>
  <c r="G13" i="23"/>
  <c r="G12" i="23"/>
  <c r="J12" i="23" s="1"/>
  <c r="H11" i="23"/>
  <c r="G11" i="23"/>
  <c r="G10" i="23"/>
  <c r="H10" i="23" s="1"/>
  <c r="G9" i="23"/>
  <c r="G54" i="22"/>
  <c r="G53" i="22"/>
  <c r="G52" i="22"/>
  <c r="G51" i="22"/>
  <c r="E46" i="22"/>
  <c r="D46" i="22"/>
  <c r="C46" i="22"/>
  <c r="E45" i="22"/>
  <c r="D45" i="22"/>
  <c r="C45" i="22"/>
  <c r="G39" i="22"/>
  <c r="H39" i="22" s="1"/>
  <c r="H38" i="22"/>
  <c r="G38" i="22"/>
  <c r="H37" i="22"/>
  <c r="G37" i="22"/>
  <c r="F30" i="22"/>
  <c r="E30" i="22"/>
  <c r="D30" i="22"/>
  <c r="C30" i="22"/>
  <c r="H29" i="22"/>
  <c r="G29" i="22"/>
  <c r="J28" i="22"/>
  <c r="G28" i="22"/>
  <c r="H28" i="22" s="1"/>
  <c r="H27" i="22"/>
  <c r="G27" i="22"/>
  <c r="H26" i="22"/>
  <c r="G26" i="22"/>
  <c r="H25" i="22"/>
  <c r="G25" i="22"/>
  <c r="J25" i="22" s="1"/>
  <c r="G24" i="22"/>
  <c r="J23" i="22"/>
  <c r="H23" i="22"/>
  <c r="G23" i="22"/>
  <c r="H22" i="22"/>
  <c r="G22" i="22"/>
  <c r="J22" i="22" s="1"/>
  <c r="G21" i="22"/>
  <c r="J20" i="22"/>
  <c r="H20" i="22"/>
  <c r="G20" i="22"/>
  <c r="H19" i="22"/>
  <c r="G19" i="22"/>
  <c r="J19" i="22" s="1"/>
  <c r="G18" i="22"/>
  <c r="J17" i="22"/>
  <c r="H17" i="22"/>
  <c r="G17" i="22"/>
  <c r="H16" i="22"/>
  <c r="G16" i="22"/>
  <c r="J16" i="22" s="1"/>
  <c r="G15" i="22"/>
  <c r="J14" i="22"/>
  <c r="H14" i="22"/>
  <c r="G14" i="22"/>
  <c r="H13" i="22"/>
  <c r="G13" i="22"/>
  <c r="J13" i="22" s="1"/>
  <c r="G12" i="22"/>
  <c r="J11" i="22"/>
  <c r="H11" i="22"/>
  <c r="G11" i="22"/>
  <c r="H10" i="22"/>
  <c r="G10" i="22"/>
  <c r="H9" i="22"/>
  <c r="G9" i="22"/>
  <c r="G70" i="21"/>
  <c r="G69" i="21"/>
  <c r="G68" i="21"/>
  <c r="G67" i="21"/>
  <c r="E62" i="21"/>
  <c r="D62" i="21"/>
  <c r="C62" i="21"/>
  <c r="E61" i="21"/>
  <c r="D61" i="21"/>
  <c r="C61" i="21"/>
  <c r="H55" i="21"/>
  <c r="G55" i="21"/>
  <c r="G54" i="21"/>
  <c r="H54" i="21" s="1"/>
  <c r="H53" i="21"/>
  <c r="G53" i="21"/>
  <c r="F46" i="21"/>
  <c r="E46" i="21"/>
  <c r="D46" i="21"/>
  <c r="C46" i="21"/>
  <c r="J45" i="21"/>
  <c r="H45" i="21"/>
  <c r="G45" i="21"/>
  <c r="H44" i="21"/>
  <c r="G44" i="21"/>
  <c r="J44" i="21" s="1"/>
  <c r="G43" i="21"/>
  <c r="G42" i="21"/>
  <c r="H42" i="21" s="1"/>
  <c r="G41" i="21"/>
  <c r="J40" i="21"/>
  <c r="H40" i="21"/>
  <c r="G40" i="21"/>
  <c r="H39" i="21"/>
  <c r="G39" i="21"/>
  <c r="J39" i="21" s="1"/>
  <c r="G38" i="21"/>
  <c r="J37" i="21"/>
  <c r="H37" i="21"/>
  <c r="G37" i="21"/>
  <c r="H36" i="21"/>
  <c r="G36" i="21"/>
  <c r="J36" i="21" s="1"/>
  <c r="G35" i="21"/>
  <c r="J34" i="21"/>
  <c r="H34" i="21"/>
  <c r="G34" i="21"/>
  <c r="H33" i="21"/>
  <c r="G33" i="21"/>
  <c r="J33" i="21" s="1"/>
  <c r="G32" i="21"/>
  <c r="J31" i="21"/>
  <c r="H31" i="21"/>
  <c r="G31" i="21"/>
  <c r="H30" i="21"/>
  <c r="G30" i="21"/>
  <c r="J30" i="21" s="1"/>
  <c r="G29" i="21"/>
  <c r="H29" i="21" s="1"/>
  <c r="J28" i="21"/>
  <c r="G28" i="21"/>
  <c r="H28" i="21" s="1"/>
  <c r="H27" i="21"/>
  <c r="G27" i="21"/>
  <c r="J26" i="21"/>
  <c r="G26" i="21"/>
  <c r="H26" i="21" s="1"/>
  <c r="J25" i="21"/>
  <c r="G25" i="21"/>
  <c r="H25" i="21" s="1"/>
  <c r="H24" i="21"/>
  <c r="G24" i="21"/>
  <c r="J23" i="21"/>
  <c r="G23" i="21"/>
  <c r="H23" i="21" s="1"/>
  <c r="J22" i="21"/>
  <c r="G22" i="21"/>
  <c r="H22" i="21" s="1"/>
  <c r="G21" i="21"/>
  <c r="J20" i="21"/>
  <c r="H20" i="21"/>
  <c r="G20" i="21"/>
  <c r="J19" i="21"/>
  <c r="G19" i="21"/>
  <c r="H19" i="21" s="1"/>
  <c r="G18" i="21"/>
  <c r="J17" i="21"/>
  <c r="H17" i="21"/>
  <c r="G17" i="21"/>
  <c r="H16" i="21"/>
  <c r="G16" i="21"/>
  <c r="J16" i="21" s="1"/>
  <c r="G15" i="21"/>
  <c r="J14" i="21"/>
  <c r="H14" i="21"/>
  <c r="G14" i="21"/>
  <c r="H13" i="21"/>
  <c r="G13" i="21"/>
  <c r="J13" i="21" s="1"/>
  <c r="G12" i="21"/>
  <c r="G11" i="21"/>
  <c r="H11" i="21" s="1"/>
  <c r="G10" i="21"/>
  <c r="G9" i="21"/>
  <c r="G66" i="20"/>
  <c r="G65" i="20"/>
  <c r="G64" i="20"/>
  <c r="G63" i="20"/>
  <c r="E58" i="20"/>
  <c r="D58" i="20"/>
  <c r="C58" i="20"/>
  <c r="E57" i="20"/>
  <c r="D57" i="20"/>
  <c r="C57" i="20"/>
  <c r="G51" i="20"/>
  <c r="H51" i="20" s="1"/>
  <c r="G50" i="20"/>
  <c r="H50" i="20" s="1"/>
  <c r="H49" i="20"/>
  <c r="G49" i="20"/>
  <c r="G42" i="20"/>
  <c r="F42" i="20"/>
  <c r="E42" i="20"/>
  <c r="D42" i="20"/>
  <c r="C42" i="20"/>
  <c r="H41" i="20"/>
  <c r="G41" i="20"/>
  <c r="G40" i="20"/>
  <c r="H40" i="20" s="1"/>
  <c r="J39" i="20"/>
  <c r="G39" i="20"/>
  <c r="H39" i="20" s="1"/>
  <c r="H38" i="20"/>
  <c r="G38" i="20"/>
  <c r="J37" i="20"/>
  <c r="G37" i="20"/>
  <c r="H37" i="20" s="1"/>
  <c r="H36" i="20"/>
  <c r="G36" i="20"/>
  <c r="G35" i="20"/>
  <c r="H35" i="20" s="1"/>
  <c r="H34" i="20"/>
  <c r="G34" i="20"/>
  <c r="G33" i="20"/>
  <c r="H33" i="20" s="1"/>
  <c r="J32" i="20"/>
  <c r="G32" i="20"/>
  <c r="H32" i="20" s="1"/>
  <c r="H31" i="20"/>
  <c r="G31" i="20"/>
  <c r="H30" i="20"/>
  <c r="G30" i="20"/>
  <c r="H29" i="20"/>
  <c r="G29" i="20"/>
  <c r="J29" i="20" s="1"/>
  <c r="G28" i="20"/>
  <c r="J27" i="20"/>
  <c r="H27" i="20"/>
  <c r="G27" i="20"/>
  <c r="H26" i="20"/>
  <c r="G26" i="20"/>
  <c r="J26" i="20" s="1"/>
  <c r="G25" i="20"/>
  <c r="J24" i="20"/>
  <c r="H24" i="20"/>
  <c r="G24" i="20"/>
  <c r="H23" i="20"/>
  <c r="G23" i="20"/>
  <c r="J22" i="20"/>
  <c r="G22" i="20"/>
  <c r="H22" i="20" s="1"/>
  <c r="J21" i="20"/>
  <c r="G21" i="20"/>
  <c r="H21" i="20" s="1"/>
  <c r="H20" i="20"/>
  <c r="G20" i="20"/>
  <c r="J19" i="20"/>
  <c r="G19" i="20"/>
  <c r="H19" i="20" s="1"/>
  <c r="J18" i="20"/>
  <c r="I18" i="20"/>
  <c r="G18" i="20"/>
  <c r="H18" i="20" s="1"/>
  <c r="G17" i="20"/>
  <c r="J16" i="20"/>
  <c r="G16" i="20"/>
  <c r="H16" i="20" s="1"/>
  <c r="J15" i="20"/>
  <c r="G15" i="20"/>
  <c r="H15" i="20" s="1"/>
  <c r="H14" i="20"/>
  <c r="G14" i="20"/>
  <c r="J13" i="20"/>
  <c r="G13" i="20"/>
  <c r="H13" i="20" s="1"/>
  <c r="J12" i="20"/>
  <c r="G12" i="20"/>
  <c r="H12" i="20" s="1"/>
  <c r="H11" i="20"/>
  <c r="G11" i="20"/>
  <c r="J10" i="20"/>
  <c r="H10" i="20"/>
  <c r="G10" i="20"/>
  <c r="J9" i="20"/>
  <c r="G9" i="20"/>
  <c r="H9" i="20" s="1"/>
  <c r="G45" i="19"/>
  <c r="G44" i="19"/>
  <c r="G43" i="19"/>
  <c r="G42" i="19"/>
  <c r="E37" i="19"/>
  <c r="D37" i="19"/>
  <c r="C37" i="19"/>
  <c r="E36" i="19"/>
  <c r="D36" i="19"/>
  <c r="C36" i="19"/>
  <c r="G30" i="19"/>
  <c r="H30" i="19" s="1"/>
  <c r="G29" i="19"/>
  <c r="H29" i="19" s="1"/>
  <c r="H28" i="19"/>
  <c r="G28" i="19"/>
  <c r="F21" i="19"/>
  <c r="E21" i="19"/>
  <c r="D21" i="19"/>
  <c r="C21" i="19"/>
  <c r="H20" i="19"/>
  <c r="G20" i="19"/>
  <c r="G19" i="19"/>
  <c r="J18" i="19"/>
  <c r="H18" i="19"/>
  <c r="G18" i="19"/>
  <c r="H17" i="19"/>
  <c r="G17" i="19"/>
  <c r="J16" i="19"/>
  <c r="H16" i="19"/>
  <c r="G16" i="19"/>
  <c r="J15" i="19"/>
  <c r="G15" i="19"/>
  <c r="H15" i="19" s="1"/>
  <c r="G14" i="19"/>
  <c r="G21" i="19" s="1"/>
  <c r="J13" i="19"/>
  <c r="H13" i="19"/>
  <c r="G13" i="19"/>
  <c r="J12" i="19"/>
  <c r="G12" i="19"/>
  <c r="H12" i="19" s="1"/>
  <c r="H11" i="19"/>
  <c r="G11" i="19"/>
  <c r="J10" i="19"/>
  <c r="H10" i="19"/>
  <c r="G10" i="19"/>
  <c r="J9" i="19"/>
  <c r="G9" i="19"/>
  <c r="H9" i="19" s="1"/>
  <c r="G62" i="18"/>
  <c r="G61" i="18"/>
  <c r="G60" i="18"/>
  <c r="G59" i="18"/>
  <c r="E54" i="18"/>
  <c r="D54" i="18"/>
  <c r="C54" i="18"/>
  <c r="E53" i="18"/>
  <c r="D53" i="18"/>
  <c r="C53" i="18"/>
  <c r="G47" i="18"/>
  <c r="H47" i="18" s="1"/>
  <c r="G46" i="18"/>
  <c r="H46" i="18" s="1"/>
  <c r="H45" i="18"/>
  <c r="G45" i="18"/>
  <c r="F38" i="18"/>
  <c r="E38" i="18"/>
  <c r="D38" i="18"/>
  <c r="C38" i="18"/>
  <c r="H37" i="18"/>
  <c r="G37" i="18"/>
  <c r="G36" i="18"/>
  <c r="J35" i="18"/>
  <c r="H35" i="18"/>
  <c r="G35" i="18"/>
  <c r="H34" i="18"/>
  <c r="G34" i="18"/>
  <c r="J34" i="18" s="1"/>
  <c r="G33" i="18"/>
  <c r="J32" i="18"/>
  <c r="H32" i="18"/>
  <c r="G32" i="18"/>
  <c r="H31" i="18"/>
  <c r="G31" i="18"/>
  <c r="J31" i="18" s="1"/>
  <c r="G30" i="18"/>
  <c r="J29" i="18"/>
  <c r="H29" i="18"/>
  <c r="G29" i="18"/>
  <c r="H28" i="18"/>
  <c r="G28" i="18"/>
  <c r="J28" i="18" s="1"/>
  <c r="G27" i="18"/>
  <c r="J26" i="18"/>
  <c r="H26" i="18"/>
  <c r="G26" i="18"/>
  <c r="J25" i="18"/>
  <c r="H25" i="18"/>
  <c r="G25" i="18"/>
  <c r="G24" i="18"/>
  <c r="J23" i="18"/>
  <c r="H23" i="18"/>
  <c r="G23" i="18"/>
  <c r="H22" i="18"/>
  <c r="G22" i="18"/>
  <c r="J22" i="18" s="1"/>
  <c r="G21" i="18"/>
  <c r="J20" i="18"/>
  <c r="H20" i="18"/>
  <c r="G20" i="18"/>
  <c r="J19" i="18"/>
  <c r="H19" i="18"/>
  <c r="G19" i="18"/>
  <c r="G18" i="18"/>
  <c r="J17" i="18"/>
  <c r="H17" i="18"/>
  <c r="G17" i="18"/>
  <c r="J16" i="18"/>
  <c r="H16" i="18"/>
  <c r="G16" i="18"/>
  <c r="G15" i="18"/>
  <c r="J14" i="18"/>
  <c r="H14" i="18"/>
  <c r="G14" i="18"/>
  <c r="H13" i="18"/>
  <c r="G13" i="18"/>
  <c r="H12" i="18"/>
  <c r="G12" i="18"/>
  <c r="J11" i="18"/>
  <c r="H11" i="18"/>
  <c r="G11" i="18"/>
  <c r="G10" i="18"/>
  <c r="J9" i="18"/>
  <c r="H9" i="18"/>
  <c r="G9" i="18"/>
  <c r="G68" i="17"/>
  <c r="G67" i="17"/>
  <c r="G66" i="17"/>
  <c r="G65" i="17"/>
  <c r="E60" i="17"/>
  <c r="D60" i="17"/>
  <c r="C60" i="17"/>
  <c r="E59" i="17"/>
  <c r="D59" i="17"/>
  <c r="C59" i="17"/>
  <c r="H53" i="17"/>
  <c r="G53" i="17"/>
  <c r="G52" i="17"/>
  <c r="H52" i="17" s="1"/>
  <c r="H51" i="17"/>
  <c r="G51" i="17"/>
  <c r="F44" i="17"/>
  <c r="E44" i="17"/>
  <c r="D44" i="17"/>
  <c r="C44" i="17"/>
  <c r="G43" i="17"/>
  <c r="H43" i="17" s="1"/>
  <c r="G42" i="17"/>
  <c r="G41" i="17"/>
  <c r="H41" i="17" s="1"/>
  <c r="H40" i="17"/>
  <c r="G40" i="17"/>
  <c r="G39" i="17"/>
  <c r="J39" i="17" s="1"/>
  <c r="H38" i="17"/>
  <c r="G38" i="17"/>
  <c r="G37" i="17"/>
  <c r="H37" i="17" s="1"/>
  <c r="H36" i="17"/>
  <c r="G36" i="17"/>
  <c r="G35" i="17"/>
  <c r="H35" i="17" s="1"/>
  <c r="J34" i="17"/>
  <c r="G34" i="17"/>
  <c r="H34" i="17" s="1"/>
  <c r="G33" i="17"/>
  <c r="G32" i="17"/>
  <c r="J32" i="17" s="1"/>
  <c r="J31" i="17"/>
  <c r="G31" i="17"/>
  <c r="H31" i="17" s="1"/>
  <c r="G30" i="17"/>
  <c r="J29" i="17"/>
  <c r="H29" i="17"/>
  <c r="G29" i="17"/>
  <c r="J28" i="17"/>
  <c r="G28" i="17"/>
  <c r="H28" i="17" s="1"/>
  <c r="H27" i="17"/>
  <c r="G27" i="17"/>
  <c r="J26" i="17"/>
  <c r="H26" i="17"/>
  <c r="G26" i="17"/>
  <c r="J25" i="17"/>
  <c r="G25" i="17"/>
  <c r="H25" i="17" s="1"/>
  <c r="H24" i="17"/>
  <c r="G24" i="17"/>
  <c r="J23" i="17"/>
  <c r="H23" i="17"/>
  <c r="G23" i="17"/>
  <c r="J22" i="17"/>
  <c r="G22" i="17"/>
  <c r="H22" i="17" s="1"/>
  <c r="G21" i="17"/>
  <c r="J20" i="17"/>
  <c r="H20" i="17"/>
  <c r="G20" i="17"/>
  <c r="J19" i="17"/>
  <c r="G19" i="17"/>
  <c r="H19" i="17" s="1"/>
  <c r="H18" i="17"/>
  <c r="G18" i="17"/>
  <c r="J17" i="17"/>
  <c r="H17" i="17"/>
  <c r="G17" i="17"/>
  <c r="J16" i="17"/>
  <c r="G16" i="17"/>
  <c r="H16" i="17" s="1"/>
  <c r="H15" i="17"/>
  <c r="G15" i="17"/>
  <c r="J14" i="17"/>
  <c r="H14" i="17"/>
  <c r="G14" i="17"/>
  <c r="J13" i="17"/>
  <c r="G13" i="17"/>
  <c r="H13" i="17" s="1"/>
  <c r="G12" i="17"/>
  <c r="J11" i="17"/>
  <c r="H11" i="17"/>
  <c r="G11" i="17"/>
  <c r="H10" i="17"/>
  <c r="G10" i="17"/>
  <c r="J10" i="17" s="1"/>
  <c r="G9" i="17"/>
  <c r="G63" i="16"/>
  <c r="G62" i="16"/>
  <c r="G61" i="16"/>
  <c r="G60" i="16"/>
  <c r="E55" i="16"/>
  <c r="D55" i="16"/>
  <c r="C55" i="16"/>
  <c r="E54" i="16"/>
  <c r="D54" i="16"/>
  <c r="C54" i="16"/>
  <c r="G48" i="16"/>
  <c r="H48" i="16" s="1"/>
  <c r="H47" i="16"/>
  <c r="G47" i="16"/>
  <c r="H46" i="16"/>
  <c r="G46" i="16"/>
  <c r="F39" i="16"/>
  <c r="E39" i="16"/>
  <c r="D39" i="16"/>
  <c r="C39" i="16"/>
  <c r="G38" i="16"/>
  <c r="J37" i="16"/>
  <c r="H37" i="16"/>
  <c r="G37" i="16"/>
  <c r="H36" i="16"/>
  <c r="G36" i="16"/>
  <c r="J36" i="16" s="1"/>
  <c r="G35" i="16"/>
  <c r="J34" i="16"/>
  <c r="H34" i="16"/>
  <c r="G34" i="16"/>
  <c r="H33" i="16"/>
  <c r="G33" i="16"/>
  <c r="J33" i="16" s="1"/>
  <c r="G32" i="16"/>
  <c r="J31" i="16"/>
  <c r="H31" i="16"/>
  <c r="G31" i="16"/>
  <c r="H30" i="16"/>
  <c r="G30" i="16"/>
  <c r="J30" i="16" s="1"/>
  <c r="G29" i="16"/>
  <c r="J28" i="16"/>
  <c r="H28" i="16"/>
  <c r="G28" i="16"/>
  <c r="H27" i="16"/>
  <c r="G27" i="16"/>
  <c r="J27" i="16" s="1"/>
  <c r="G26" i="16"/>
  <c r="H26" i="16" s="1"/>
  <c r="J25" i="16"/>
  <c r="G25" i="16"/>
  <c r="H25" i="16" s="1"/>
  <c r="H24" i="16"/>
  <c r="G24" i="16"/>
  <c r="J23" i="16"/>
  <c r="G23" i="16"/>
  <c r="H23" i="16" s="1"/>
  <c r="J22" i="16"/>
  <c r="G22" i="16"/>
  <c r="H22" i="16" s="1"/>
  <c r="H21" i="16"/>
  <c r="G21" i="16"/>
  <c r="J20" i="16"/>
  <c r="H20" i="16"/>
  <c r="G20" i="16"/>
  <c r="J19" i="16"/>
  <c r="G19" i="16"/>
  <c r="H19" i="16" s="1"/>
  <c r="H18" i="16"/>
  <c r="G18" i="16"/>
  <c r="J17" i="16"/>
  <c r="H17" i="16"/>
  <c r="G17" i="16"/>
  <c r="J16" i="16"/>
  <c r="G16" i="16"/>
  <c r="H16" i="16" s="1"/>
  <c r="G15" i="16"/>
  <c r="J14" i="16"/>
  <c r="H14" i="16"/>
  <c r="G14" i="16"/>
  <c r="J13" i="16"/>
  <c r="G13" i="16"/>
  <c r="H13" i="16" s="1"/>
  <c r="H12" i="16"/>
  <c r="G12" i="16"/>
  <c r="J11" i="16"/>
  <c r="H11" i="16"/>
  <c r="G11" i="16"/>
  <c r="J10" i="16"/>
  <c r="G10" i="16"/>
  <c r="H10" i="16" s="1"/>
  <c r="H9" i="16"/>
  <c r="G9" i="16"/>
  <c r="G63" i="15"/>
  <c r="G62" i="15"/>
  <c r="G61" i="15"/>
  <c r="G60" i="15"/>
  <c r="E55" i="15"/>
  <c r="D55" i="15"/>
  <c r="C55" i="15"/>
  <c r="E54" i="15"/>
  <c r="D54" i="15"/>
  <c r="C54" i="15"/>
  <c r="H48" i="15"/>
  <c r="G48" i="15"/>
  <c r="G47" i="15"/>
  <c r="H47" i="15" s="1"/>
  <c r="H46" i="15"/>
  <c r="G46" i="15"/>
  <c r="F39" i="15"/>
  <c r="E39" i="15"/>
  <c r="D39" i="15"/>
  <c r="C39" i="15"/>
  <c r="G38" i="15"/>
  <c r="G37" i="15"/>
  <c r="H37" i="15" s="1"/>
  <c r="G36" i="15"/>
  <c r="J35" i="15"/>
  <c r="G35" i="15"/>
  <c r="H35" i="15" s="1"/>
  <c r="H34" i="15"/>
  <c r="G34" i="15"/>
  <c r="G33" i="15"/>
  <c r="H33" i="15" s="1"/>
  <c r="H32" i="15"/>
  <c r="G32" i="15"/>
  <c r="G31" i="15"/>
  <c r="J30" i="15"/>
  <c r="H30" i="15"/>
  <c r="G30" i="15"/>
  <c r="H29" i="15"/>
  <c r="G29" i="15"/>
  <c r="J29" i="15" s="1"/>
  <c r="G28" i="15"/>
  <c r="J27" i="15"/>
  <c r="H27" i="15"/>
  <c r="G27" i="15"/>
  <c r="H26" i="15"/>
  <c r="G26" i="15"/>
  <c r="J26" i="15" s="1"/>
  <c r="G25" i="15"/>
  <c r="H25" i="15" s="1"/>
  <c r="H24" i="15"/>
  <c r="G24" i="15"/>
  <c r="G23" i="15"/>
  <c r="H23" i="15" s="1"/>
  <c r="J22" i="15"/>
  <c r="G22" i="15"/>
  <c r="H22" i="15" s="1"/>
  <c r="G21" i="15"/>
  <c r="J20" i="15"/>
  <c r="G20" i="15"/>
  <c r="H20" i="15" s="1"/>
  <c r="H19" i="15"/>
  <c r="G19" i="15"/>
  <c r="G18" i="15"/>
  <c r="H18" i="15" s="1"/>
  <c r="J17" i="15"/>
  <c r="G17" i="15"/>
  <c r="H17" i="15" s="1"/>
  <c r="G16" i="15"/>
  <c r="J15" i="15"/>
  <c r="H15" i="15"/>
  <c r="G15" i="15"/>
  <c r="H14" i="15"/>
  <c r="G14" i="15"/>
  <c r="J14" i="15" s="1"/>
  <c r="G13" i="15"/>
  <c r="H13" i="15" s="1"/>
  <c r="J12" i="15"/>
  <c r="G12" i="15"/>
  <c r="H12" i="15" s="1"/>
  <c r="H11" i="15"/>
  <c r="G11" i="15"/>
  <c r="H10" i="15"/>
  <c r="G10" i="15"/>
  <c r="J10" i="15" s="1"/>
  <c r="H9" i="15"/>
  <c r="G9" i="15"/>
  <c r="G59" i="14"/>
  <c r="G58" i="14"/>
  <c r="G57" i="14"/>
  <c r="G56" i="14"/>
  <c r="E51" i="14"/>
  <c r="D51" i="14"/>
  <c r="C51" i="14"/>
  <c r="E50" i="14"/>
  <c r="D50" i="14"/>
  <c r="C50" i="14"/>
  <c r="H44" i="14"/>
  <c r="G44" i="14"/>
  <c r="H43" i="14"/>
  <c r="G43" i="14"/>
  <c r="G42" i="14"/>
  <c r="H42" i="14" s="1"/>
  <c r="F35" i="14"/>
  <c r="E35" i="14"/>
  <c r="D35" i="14"/>
  <c r="C35" i="14"/>
  <c r="H34" i="14"/>
  <c r="G34" i="14"/>
  <c r="G33" i="14"/>
  <c r="J33" i="14" s="1"/>
  <c r="J32" i="14"/>
  <c r="G32" i="14"/>
  <c r="H32" i="14" s="1"/>
  <c r="G31" i="14"/>
  <c r="J30" i="14"/>
  <c r="H30" i="14"/>
  <c r="G30" i="14"/>
  <c r="G29" i="14"/>
  <c r="G28" i="14"/>
  <c r="J28" i="14" s="1"/>
  <c r="J27" i="14"/>
  <c r="G27" i="14"/>
  <c r="H27" i="14" s="1"/>
  <c r="G26" i="14"/>
  <c r="J25" i="14"/>
  <c r="H25" i="14"/>
  <c r="G25" i="14"/>
  <c r="J24" i="14"/>
  <c r="H24" i="14"/>
  <c r="G24" i="14"/>
  <c r="G23" i="14"/>
  <c r="J22" i="14"/>
  <c r="G22" i="14"/>
  <c r="H22" i="14" s="1"/>
  <c r="G21" i="14"/>
  <c r="G20" i="14"/>
  <c r="J20" i="14" s="1"/>
  <c r="J19" i="14"/>
  <c r="G19" i="14"/>
  <c r="H19" i="14" s="1"/>
  <c r="G18" i="14"/>
  <c r="G17" i="14"/>
  <c r="J17" i="14" s="1"/>
  <c r="J16" i="14"/>
  <c r="G16" i="14"/>
  <c r="H16" i="14" s="1"/>
  <c r="G15" i="14"/>
  <c r="G14" i="14"/>
  <c r="J14" i="14" s="1"/>
  <c r="J13" i="14"/>
  <c r="G13" i="14"/>
  <c r="H13" i="14" s="1"/>
  <c r="G12" i="14"/>
  <c r="G11" i="14"/>
  <c r="J11" i="14" s="1"/>
  <c r="J10" i="14"/>
  <c r="G10" i="14"/>
  <c r="H10" i="14" s="1"/>
  <c r="G9" i="14"/>
  <c r="G73" i="13"/>
  <c r="G72" i="13"/>
  <c r="G71" i="13"/>
  <c r="G70" i="13"/>
  <c r="E65" i="13"/>
  <c r="D65" i="13"/>
  <c r="C65" i="13"/>
  <c r="E64" i="13"/>
  <c r="D64" i="13"/>
  <c r="C64" i="13"/>
  <c r="G58" i="13"/>
  <c r="H58" i="13" s="1"/>
  <c r="H57" i="13"/>
  <c r="G57" i="13"/>
  <c r="H56" i="13"/>
  <c r="G56" i="13"/>
  <c r="F49" i="13"/>
  <c r="E49" i="13"/>
  <c r="D49" i="13"/>
  <c r="C49" i="13"/>
  <c r="G48" i="13"/>
  <c r="H47" i="13"/>
  <c r="G47" i="13"/>
  <c r="G46" i="13"/>
  <c r="H45" i="13"/>
  <c r="G45" i="13"/>
  <c r="G44" i="13"/>
  <c r="J43" i="13"/>
  <c r="G43" i="13"/>
  <c r="H43" i="13" s="1"/>
  <c r="J42" i="13"/>
  <c r="H42" i="13"/>
  <c r="G42" i="13"/>
  <c r="G41" i="13"/>
  <c r="H40" i="13"/>
  <c r="G40" i="13"/>
  <c r="H39" i="13"/>
  <c r="G39" i="13"/>
  <c r="G38" i="13"/>
  <c r="J38" i="13" s="1"/>
  <c r="H37" i="13"/>
  <c r="G37" i="13"/>
  <c r="G36" i="13"/>
  <c r="J35" i="13"/>
  <c r="H35" i="13"/>
  <c r="G35" i="13"/>
  <c r="J34" i="13"/>
  <c r="H34" i="13"/>
  <c r="G34" i="13"/>
  <c r="G33" i="13"/>
  <c r="J32" i="13"/>
  <c r="H32" i="13"/>
  <c r="G32" i="13"/>
  <c r="J31" i="13"/>
  <c r="H31" i="13"/>
  <c r="G31" i="13"/>
  <c r="G30" i="13"/>
  <c r="J29" i="13"/>
  <c r="H29" i="13"/>
  <c r="G29" i="13"/>
  <c r="J28" i="13"/>
  <c r="H28" i="13"/>
  <c r="G28" i="13"/>
  <c r="G27" i="13"/>
  <c r="J26" i="13"/>
  <c r="H26" i="13"/>
  <c r="G26" i="13"/>
  <c r="J25" i="13"/>
  <c r="H25" i="13"/>
  <c r="G25" i="13"/>
  <c r="G24" i="13"/>
  <c r="J23" i="13"/>
  <c r="H23" i="13"/>
  <c r="G23" i="13"/>
  <c r="J22" i="13"/>
  <c r="H22" i="13"/>
  <c r="G22" i="13"/>
  <c r="G21" i="13"/>
  <c r="J20" i="13"/>
  <c r="H20" i="13"/>
  <c r="G20" i="13"/>
  <c r="J19" i="13"/>
  <c r="H19" i="13"/>
  <c r="G19" i="13"/>
  <c r="G18" i="13"/>
  <c r="J17" i="13"/>
  <c r="H17" i="13"/>
  <c r="G17" i="13"/>
  <c r="J16" i="13"/>
  <c r="H16" i="13"/>
  <c r="G16" i="13"/>
  <c r="G15" i="13"/>
  <c r="J14" i="13"/>
  <c r="H14" i="13"/>
  <c r="G14" i="13"/>
  <c r="J13" i="13"/>
  <c r="H13" i="13"/>
  <c r="G13" i="13"/>
  <c r="G12" i="13"/>
  <c r="J11" i="13"/>
  <c r="H11" i="13"/>
  <c r="G11" i="13"/>
  <c r="J10" i="13"/>
  <c r="H10" i="13"/>
  <c r="G10" i="13"/>
  <c r="G9" i="13"/>
  <c r="G64" i="12"/>
  <c r="G63" i="12"/>
  <c r="G62" i="12"/>
  <c r="G61" i="12"/>
  <c r="E56" i="12"/>
  <c r="D56" i="12"/>
  <c r="C56" i="12"/>
  <c r="E55" i="12"/>
  <c r="D55" i="12"/>
  <c r="C55" i="12"/>
  <c r="G49" i="12"/>
  <c r="H49" i="12" s="1"/>
  <c r="H48" i="12"/>
  <c r="G48" i="12"/>
  <c r="G47" i="12"/>
  <c r="H47" i="12" s="1"/>
  <c r="F40" i="12"/>
  <c r="E40" i="12"/>
  <c r="D40" i="12"/>
  <c r="C40" i="12"/>
  <c r="G39" i="12"/>
  <c r="H38" i="12"/>
  <c r="G38" i="12"/>
  <c r="G37" i="12"/>
  <c r="J36" i="12"/>
  <c r="G36" i="12"/>
  <c r="H36" i="12" s="1"/>
  <c r="G35" i="12"/>
  <c r="G34" i="12"/>
  <c r="H34" i="12" s="1"/>
  <c r="J33" i="12"/>
  <c r="H33" i="12"/>
  <c r="G33" i="12"/>
  <c r="G32" i="12"/>
  <c r="J31" i="12"/>
  <c r="G31" i="12"/>
  <c r="H31" i="12" s="1"/>
  <c r="J30" i="12"/>
  <c r="H30" i="12"/>
  <c r="G30" i="12"/>
  <c r="G29" i="12"/>
  <c r="H28" i="12"/>
  <c r="G28" i="12"/>
  <c r="G27" i="12"/>
  <c r="G26" i="12"/>
  <c r="H26" i="12" s="1"/>
  <c r="G25" i="12"/>
  <c r="G24" i="12"/>
  <c r="J24" i="12" s="1"/>
  <c r="J23" i="12"/>
  <c r="H23" i="12"/>
  <c r="G23" i="12"/>
  <c r="H22" i="12"/>
  <c r="G22" i="12"/>
  <c r="G21" i="12"/>
  <c r="J21" i="12" s="1"/>
  <c r="J20" i="12"/>
  <c r="H20" i="12"/>
  <c r="G20" i="12"/>
  <c r="G19" i="12"/>
  <c r="H18" i="12"/>
  <c r="G18" i="12"/>
  <c r="G17" i="12"/>
  <c r="G16" i="12"/>
  <c r="H16" i="12" s="1"/>
  <c r="J15" i="12"/>
  <c r="H15" i="12"/>
  <c r="G15" i="12"/>
  <c r="G14" i="12"/>
  <c r="J13" i="12"/>
  <c r="G13" i="12"/>
  <c r="H13" i="12" s="1"/>
  <c r="J12" i="12"/>
  <c r="H12" i="12"/>
  <c r="G12" i="12"/>
  <c r="G11" i="12"/>
  <c r="J10" i="12"/>
  <c r="H10" i="12"/>
  <c r="G10" i="12"/>
  <c r="G9" i="12"/>
  <c r="G65" i="11"/>
  <c r="G64" i="11"/>
  <c r="G63" i="11"/>
  <c r="G62" i="11"/>
  <c r="E57" i="11"/>
  <c r="D57" i="11"/>
  <c r="C57" i="11"/>
  <c r="E56" i="11"/>
  <c r="D56" i="11"/>
  <c r="C56" i="11"/>
  <c r="G50" i="11"/>
  <c r="H50" i="11" s="1"/>
  <c r="H49" i="11"/>
  <c r="G49" i="11"/>
  <c r="G48" i="11"/>
  <c r="H48" i="11" s="1"/>
  <c r="F41" i="11"/>
  <c r="E41" i="11"/>
  <c r="D41" i="11"/>
  <c r="C41" i="11"/>
  <c r="G40" i="11"/>
  <c r="H39" i="11"/>
  <c r="G39" i="11"/>
  <c r="G38" i="11"/>
  <c r="J37" i="11"/>
  <c r="H37" i="11"/>
  <c r="G37" i="11"/>
  <c r="J36" i="11"/>
  <c r="H36" i="11"/>
  <c r="G36" i="11"/>
  <c r="G35" i="11"/>
  <c r="J34" i="11"/>
  <c r="H34" i="11"/>
  <c r="G34" i="11"/>
  <c r="H33" i="11"/>
  <c r="G33" i="11"/>
  <c r="G32" i="11"/>
  <c r="J32" i="11" s="1"/>
  <c r="J31" i="11"/>
  <c r="H31" i="11"/>
  <c r="G31" i="11"/>
  <c r="H30" i="11"/>
  <c r="G30" i="11"/>
  <c r="G29" i="11"/>
  <c r="J29" i="11" s="1"/>
  <c r="J28" i="11"/>
  <c r="H28" i="11"/>
  <c r="G28" i="11"/>
  <c r="G27" i="11"/>
  <c r="G26" i="11"/>
  <c r="H26" i="11" s="1"/>
  <c r="G25" i="11"/>
  <c r="G24" i="11"/>
  <c r="J24" i="11" s="1"/>
  <c r="J23" i="11"/>
  <c r="H23" i="11"/>
  <c r="G23" i="11"/>
  <c r="H22" i="11"/>
  <c r="G22" i="11"/>
  <c r="G21" i="11"/>
  <c r="J21" i="11" s="1"/>
  <c r="H20" i="11"/>
  <c r="G20" i="11"/>
  <c r="G19" i="11"/>
  <c r="J18" i="11"/>
  <c r="H18" i="11"/>
  <c r="G18" i="11"/>
  <c r="G17" i="11"/>
  <c r="J16" i="11"/>
  <c r="G16" i="11"/>
  <c r="H16" i="11" s="1"/>
  <c r="J15" i="11"/>
  <c r="H15" i="11"/>
  <c r="G15" i="11"/>
  <c r="G14" i="11"/>
  <c r="J13" i="11"/>
  <c r="G13" i="11"/>
  <c r="H13" i="11" s="1"/>
  <c r="J12" i="11"/>
  <c r="H12" i="11"/>
  <c r="G12" i="11"/>
  <c r="G11" i="11"/>
  <c r="H10" i="11"/>
  <c r="G10" i="11"/>
  <c r="G9" i="11"/>
  <c r="G71" i="10"/>
  <c r="G70" i="10"/>
  <c r="G69" i="10"/>
  <c r="G68" i="10"/>
  <c r="E63" i="10"/>
  <c r="D63" i="10"/>
  <c r="C63" i="10"/>
  <c r="E62" i="10"/>
  <c r="D62" i="10"/>
  <c r="C62" i="10"/>
  <c r="G56" i="10"/>
  <c r="H56" i="10" s="1"/>
  <c r="H55" i="10"/>
  <c r="G55" i="10"/>
  <c r="H54" i="10"/>
  <c r="G54" i="10"/>
  <c r="F47" i="10"/>
  <c r="E47" i="10"/>
  <c r="D47" i="10"/>
  <c r="C47" i="10"/>
  <c r="G46" i="10"/>
  <c r="J45" i="10"/>
  <c r="G45" i="10"/>
  <c r="H45" i="10" s="1"/>
  <c r="H44" i="10"/>
  <c r="G44" i="10"/>
  <c r="G43" i="10"/>
  <c r="J43" i="10" s="1"/>
  <c r="J42" i="10"/>
  <c r="H42" i="10"/>
  <c r="G42" i="10"/>
  <c r="H41" i="10"/>
  <c r="G41" i="10"/>
  <c r="G40" i="10"/>
  <c r="J40" i="10" s="1"/>
  <c r="H39" i="10"/>
  <c r="G39" i="10"/>
  <c r="G38" i="10"/>
  <c r="J37" i="10"/>
  <c r="H37" i="10"/>
  <c r="G37" i="10"/>
  <c r="H36" i="10"/>
  <c r="G36" i="10"/>
  <c r="G35" i="10"/>
  <c r="J35" i="10" s="1"/>
  <c r="J34" i="10"/>
  <c r="H34" i="10"/>
  <c r="G34" i="10"/>
  <c r="H33" i="10"/>
  <c r="G33" i="10"/>
  <c r="G32" i="10"/>
  <c r="J32" i="10" s="1"/>
  <c r="J31" i="10"/>
  <c r="H31" i="10"/>
  <c r="G31" i="10"/>
  <c r="G30" i="10"/>
  <c r="G29" i="10"/>
  <c r="J29" i="10" s="1"/>
  <c r="J28" i="10"/>
  <c r="H28" i="10"/>
  <c r="G28" i="10"/>
  <c r="G27" i="10"/>
  <c r="H27" i="10" s="1"/>
  <c r="G26" i="10"/>
  <c r="J26" i="10" s="1"/>
  <c r="J25" i="10"/>
  <c r="H25" i="10"/>
  <c r="G25" i="10"/>
  <c r="H24" i="10"/>
  <c r="G24" i="10"/>
  <c r="G23" i="10"/>
  <c r="J23" i="10" s="1"/>
  <c r="J22" i="10"/>
  <c r="H22" i="10"/>
  <c r="G22" i="10"/>
  <c r="G21" i="10"/>
  <c r="G20" i="10"/>
  <c r="J20" i="10" s="1"/>
  <c r="J19" i="10"/>
  <c r="H19" i="10"/>
  <c r="G19" i="10"/>
  <c r="H18" i="10"/>
  <c r="G18" i="10"/>
  <c r="G17" i="10"/>
  <c r="J17" i="10" s="1"/>
  <c r="J16" i="10"/>
  <c r="H16" i="10"/>
  <c r="G16" i="10"/>
  <c r="H15" i="10"/>
  <c r="G15" i="10"/>
  <c r="G14" i="10"/>
  <c r="J14" i="10" s="1"/>
  <c r="J13" i="10"/>
  <c r="H13" i="10"/>
  <c r="G13" i="10"/>
  <c r="G12" i="10"/>
  <c r="G11" i="10"/>
  <c r="J11" i="10" s="1"/>
  <c r="J10" i="10"/>
  <c r="H10" i="10"/>
  <c r="G10" i="10"/>
  <c r="G9" i="10"/>
  <c r="H9" i="10" s="1"/>
  <c r="G60" i="9"/>
  <c r="G59" i="9"/>
  <c r="G58" i="9"/>
  <c r="G57" i="9"/>
  <c r="E52" i="9"/>
  <c r="D52" i="9"/>
  <c r="C52" i="9"/>
  <c r="E51" i="9"/>
  <c r="D51" i="9"/>
  <c r="C51" i="9"/>
  <c r="G45" i="9"/>
  <c r="H45" i="9" s="1"/>
  <c r="H44" i="9"/>
  <c r="G44" i="9"/>
  <c r="G43" i="9"/>
  <c r="H43" i="9" s="1"/>
  <c r="F36" i="9"/>
  <c r="E36" i="9"/>
  <c r="D36" i="9"/>
  <c r="C36" i="9"/>
  <c r="G35" i="9"/>
  <c r="G34" i="9"/>
  <c r="J34" i="9" s="1"/>
  <c r="J33" i="9"/>
  <c r="H33" i="9"/>
  <c r="G33" i="9"/>
  <c r="G32" i="9"/>
  <c r="H31" i="9"/>
  <c r="G31" i="9"/>
  <c r="G30" i="9"/>
  <c r="J29" i="9"/>
  <c r="G29" i="9"/>
  <c r="H29" i="9" s="1"/>
  <c r="H28" i="9"/>
  <c r="G28" i="9"/>
  <c r="J28" i="9" s="1"/>
  <c r="G27" i="9"/>
  <c r="J26" i="9"/>
  <c r="G26" i="9"/>
  <c r="H26" i="9" s="1"/>
  <c r="H25" i="9"/>
  <c r="G25" i="9"/>
  <c r="J25" i="9" s="1"/>
  <c r="G24" i="9"/>
  <c r="J23" i="9"/>
  <c r="G23" i="9"/>
  <c r="H23" i="9" s="1"/>
  <c r="H22" i="9"/>
  <c r="G22" i="9"/>
  <c r="J22" i="9" s="1"/>
  <c r="G21" i="9"/>
  <c r="H20" i="9"/>
  <c r="G20" i="9"/>
  <c r="G19" i="9"/>
  <c r="J18" i="9"/>
  <c r="G18" i="9"/>
  <c r="J17" i="9"/>
  <c r="H17" i="9"/>
  <c r="G17" i="9"/>
  <c r="H16" i="9"/>
  <c r="G16" i="9"/>
  <c r="J15" i="9"/>
  <c r="G15" i="9"/>
  <c r="J14" i="9"/>
  <c r="H14" i="9"/>
  <c r="G14" i="9"/>
  <c r="H13" i="9"/>
  <c r="G13" i="9"/>
  <c r="J12" i="9"/>
  <c r="G12" i="9"/>
  <c r="H11" i="9"/>
  <c r="G11" i="9"/>
  <c r="G10" i="9"/>
  <c r="J9" i="9"/>
  <c r="G9" i="9"/>
  <c r="H9" i="9" s="1"/>
  <c r="G65" i="8"/>
  <c r="G64" i="8"/>
  <c r="G63" i="8"/>
  <c r="G62" i="8"/>
  <c r="E57" i="8"/>
  <c r="D57" i="8"/>
  <c r="C57" i="8"/>
  <c r="E56" i="8"/>
  <c r="D56" i="8"/>
  <c r="C56" i="8"/>
  <c r="G50" i="8"/>
  <c r="H50" i="8" s="1"/>
  <c r="G49" i="8"/>
  <c r="H49" i="8" s="1"/>
  <c r="H48" i="8"/>
  <c r="G48" i="8"/>
  <c r="F41" i="8"/>
  <c r="E41" i="8"/>
  <c r="D41" i="8"/>
  <c r="C41" i="8"/>
  <c r="H40" i="8"/>
  <c r="G40" i="8"/>
  <c r="G39" i="8"/>
  <c r="J38" i="8"/>
  <c r="H38" i="8"/>
  <c r="G38" i="8"/>
  <c r="H37" i="8"/>
  <c r="G37" i="8"/>
  <c r="J37" i="8" s="1"/>
  <c r="G36" i="8"/>
  <c r="J35" i="8"/>
  <c r="H35" i="8"/>
  <c r="G35" i="8"/>
  <c r="H34" i="8"/>
  <c r="G34" i="8"/>
  <c r="J34" i="8" s="1"/>
  <c r="G33" i="8"/>
  <c r="J32" i="8"/>
  <c r="H32" i="8"/>
  <c r="G32" i="8"/>
  <c r="H31" i="8"/>
  <c r="G31" i="8"/>
  <c r="J31" i="8" s="1"/>
  <c r="G30" i="8"/>
  <c r="J29" i="8"/>
  <c r="H29" i="8"/>
  <c r="G29" i="8"/>
  <c r="H28" i="8"/>
  <c r="G28" i="8"/>
  <c r="J28" i="8" s="1"/>
  <c r="G27" i="8"/>
  <c r="J26" i="8"/>
  <c r="H26" i="8"/>
  <c r="G26" i="8"/>
  <c r="H25" i="8"/>
  <c r="G25" i="8"/>
  <c r="J25" i="8" s="1"/>
  <c r="G24" i="8"/>
  <c r="J23" i="8"/>
  <c r="H23" i="8"/>
  <c r="G23" i="8"/>
  <c r="H22" i="8"/>
  <c r="G22" i="8"/>
  <c r="J22" i="8" s="1"/>
  <c r="G21" i="8"/>
  <c r="J20" i="8"/>
  <c r="H20" i="8"/>
  <c r="G20" i="8"/>
  <c r="H19" i="8"/>
  <c r="G19" i="8"/>
  <c r="J19" i="8" s="1"/>
  <c r="G18" i="8"/>
  <c r="J17" i="8"/>
  <c r="H17" i="8"/>
  <c r="G17" i="8"/>
  <c r="H16" i="8"/>
  <c r="G16" i="8"/>
  <c r="J16" i="8" s="1"/>
  <c r="G15" i="8"/>
  <c r="J14" i="8"/>
  <c r="H14" i="8"/>
  <c r="G14" i="8"/>
  <c r="H13" i="8"/>
  <c r="G13" i="8"/>
  <c r="J13" i="8" s="1"/>
  <c r="G12" i="8"/>
  <c r="J11" i="8"/>
  <c r="H11" i="8"/>
  <c r="G11" i="8"/>
  <c r="H10" i="8"/>
  <c r="G10" i="8"/>
  <c r="J10" i="8" s="1"/>
  <c r="G9" i="8"/>
  <c r="G64" i="7"/>
  <c r="G63" i="7"/>
  <c r="G62" i="7"/>
  <c r="G61" i="7"/>
  <c r="E56" i="7"/>
  <c r="D56" i="7"/>
  <c r="C56" i="7"/>
  <c r="E55" i="7"/>
  <c r="D55" i="7"/>
  <c r="C55" i="7"/>
  <c r="G49" i="7"/>
  <c r="H49" i="7" s="1"/>
  <c r="H48" i="7"/>
  <c r="G48" i="7"/>
  <c r="H47" i="7"/>
  <c r="G47" i="7"/>
  <c r="F40" i="7"/>
  <c r="E40" i="7"/>
  <c r="D40" i="7"/>
  <c r="C40" i="7"/>
  <c r="G39" i="7"/>
  <c r="H39" i="7" s="1"/>
  <c r="J38" i="7"/>
  <c r="H38" i="7"/>
  <c r="G38" i="7"/>
  <c r="G37" i="7"/>
  <c r="J36" i="7"/>
  <c r="H36" i="7"/>
  <c r="G36" i="7"/>
  <c r="H35" i="7"/>
  <c r="G35" i="7"/>
  <c r="J35" i="7" s="1"/>
  <c r="G34" i="7"/>
  <c r="J33" i="7"/>
  <c r="H33" i="7"/>
  <c r="G33" i="7"/>
  <c r="H32" i="7"/>
  <c r="G32" i="7"/>
  <c r="J32" i="7" s="1"/>
  <c r="G31" i="7"/>
  <c r="H31" i="7" s="1"/>
  <c r="J30" i="7"/>
  <c r="H30" i="7"/>
  <c r="G30" i="7"/>
  <c r="G29" i="7"/>
  <c r="J28" i="7"/>
  <c r="H28" i="7"/>
  <c r="G28" i="7"/>
  <c r="J27" i="7"/>
  <c r="H27" i="7"/>
  <c r="G27" i="7"/>
  <c r="G26" i="7"/>
  <c r="J25" i="7"/>
  <c r="H25" i="7"/>
  <c r="G25" i="7"/>
  <c r="J24" i="7"/>
  <c r="H24" i="7"/>
  <c r="G24" i="7"/>
  <c r="G23" i="7"/>
  <c r="J22" i="7"/>
  <c r="H22" i="7"/>
  <c r="G22" i="7"/>
  <c r="J21" i="7"/>
  <c r="H21" i="7"/>
  <c r="G21" i="7"/>
  <c r="H20" i="7"/>
  <c r="G20" i="7"/>
  <c r="J19" i="7"/>
  <c r="H19" i="7"/>
  <c r="G19" i="7"/>
  <c r="J18" i="7"/>
  <c r="H18" i="7"/>
  <c r="G18" i="7"/>
  <c r="G17" i="7"/>
  <c r="J16" i="7"/>
  <c r="G16" i="7"/>
  <c r="H16" i="7" s="1"/>
  <c r="H15" i="7"/>
  <c r="G15" i="7"/>
  <c r="J15" i="7" s="1"/>
  <c r="G14" i="7"/>
  <c r="H13" i="7"/>
  <c r="G13" i="7"/>
  <c r="H12" i="7"/>
  <c r="G12" i="7"/>
  <c r="J11" i="7"/>
  <c r="H11" i="7"/>
  <c r="G11" i="7"/>
  <c r="J10" i="7"/>
  <c r="H10" i="7"/>
  <c r="G10" i="7"/>
  <c r="G9" i="7"/>
  <c r="G65" i="6"/>
  <c r="G64" i="6"/>
  <c r="G63" i="6"/>
  <c r="G62" i="6"/>
  <c r="E57" i="6"/>
  <c r="D57" i="6"/>
  <c r="C57" i="6"/>
  <c r="E56" i="6"/>
  <c r="D56" i="6"/>
  <c r="C56" i="6"/>
  <c r="G50" i="6"/>
  <c r="H50" i="6" s="1"/>
  <c r="H49" i="6"/>
  <c r="G49" i="6"/>
  <c r="H48" i="6"/>
  <c r="G48" i="6"/>
  <c r="F41" i="6"/>
  <c r="E41" i="6"/>
  <c r="D41" i="6"/>
  <c r="C41" i="6"/>
  <c r="G40" i="6"/>
  <c r="H39" i="6"/>
  <c r="G39" i="6"/>
  <c r="H38" i="6"/>
  <c r="G38" i="6"/>
  <c r="J37" i="6"/>
  <c r="H37" i="6"/>
  <c r="G37" i="6"/>
  <c r="J36" i="6"/>
  <c r="H36" i="6"/>
  <c r="G36" i="6"/>
  <c r="G35" i="6"/>
  <c r="J34" i="6"/>
  <c r="H34" i="6"/>
  <c r="G34" i="6"/>
  <c r="J33" i="6"/>
  <c r="H33" i="6"/>
  <c r="G33" i="6"/>
  <c r="H32" i="6"/>
  <c r="G32" i="6"/>
  <c r="J31" i="6"/>
  <c r="H31" i="6"/>
  <c r="G31" i="6"/>
  <c r="J30" i="6"/>
  <c r="H30" i="6"/>
  <c r="G30" i="6"/>
  <c r="G29" i="6"/>
  <c r="J28" i="6"/>
  <c r="H28" i="6"/>
  <c r="G28" i="6"/>
  <c r="J27" i="6"/>
  <c r="H27" i="6"/>
  <c r="G27" i="6"/>
  <c r="H26" i="6"/>
  <c r="G26" i="6"/>
  <c r="J25" i="6"/>
  <c r="H25" i="6"/>
  <c r="G25" i="6"/>
  <c r="J24" i="6"/>
  <c r="H24" i="6"/>
  <c r="G24" i="6"/>
  <c r="G23" i="6"/>
  <c r="J22" i="6"/>
  <c r="H22" i="6"/>
  <c r="G22" i="6"/>
  <c r="J21" i="6"/>
  <c r="H21" i="6"/>
  <c r="G21" i="6"/>
  <c r="H20" i="6"/>
  <c r="G20" i="6"/>
  <c r="J19" i="6"/>
  <c r="H19" i="6"/>
  <c r="G19" i="6"/>
  <c r="J18" i="6"/>
  <c r="H18" i="6"/>
  <c r="G18" i="6"/>
  <c r="H17" i="6"/>
  <c r="G17" i="6"/>
  <c r="J16" i="6"/>
  <c r="H16" i="6"/>
  <c r="G16" i="6"/>
  <c r="J15" i="6"/>
  <c r="H15" i="6"/>
  <c r="G15" i="6"/>
  <c r="H14" i="6"/>
  <c r="G14" i="6"/>
  <c r="J13" i="6"/>
  <c r="H13" i="6"/>
  <c r="G13" i="6"/>
  <c r="J12" i="6"/>
  <c r="H12" i="6"/>
  <c r="G12" i="6"/>
  <c r="H11" i="6"/>
  <c r="G11" i="6"/>
  <c r="J10" i="6"/>
  <c r="H10" i="6"/>
  <c r="G10" i="6"/>
  <c r="J9" i="6"/>
  <c r="H9" i="6"/>
  <c r="G9" i="6"/>
  <c r="G72" i="5"/>
  <c r="G71" i="5"/>
  <c r="G70" i="5"/>
  <c r="G69" i="5"/>
  <c r="E64" i="5"/>
  <c r="D64" i="5"/>
  <c r="C64" i="5"/>
  <c r="E63" i="5"/>
  <c r="D63" i="5"/>
  <c r="C63" i="5"/>
  <c r="H57" i="5"/>
  <c r="G57" i="5"/>
  <c r="H56" i="5"/>
  <c r="G56" i="5"/>
  <c r="G55" i="5"/>
  <c r="H55" i="5" s="1"/>
  <c r="F48" i="5"/>
  <c r="E48" i="5"/>
  <c r="D48" i="5"/>
  <c r="C48" i="5"/>
  <c r="J47" i="5"/>
  <c r="H47" i="5"/>
  <c r="G47" i="5"/>
  <c r="G46" i="5"/>
  <c r="J45" i="5"/>
  <c r="H45" i="5"/>
  <c r="G45" i="5"/>
  <c r="G44" i="5"/>
  <c r="G43" i="5"/>
  <c r="H42" i="5"/>
  <c r="G42" i="5"/>
  <c r="J41" i="5"/>
  <c r="H41" i="5"/>
  <c r="G41" i="5"/>
  <c r="J40" i="5"/>
  <c r="H40" i="5"/>
  <c r="G40" i="5"/>
  <c r="J39" i="5"/>
  <c r="H39" i="5"/>
  <c r="G39" i="5"/>
  <c r="G38" i="5"/>
  <c r="J38" i="5" s="1"/>
  <c r="J37" i="5"/>
  <c r="H37" i="5"/>
  <c r="G37" i="5"/>
  <c r="G36" i="5"/>
  <c r="H36" i="5" s="1"/>
  <c r="G35" i="5"/>
  <c r="J34" i="5"/>
  <c r="H34" i="5"/>
  <c r="G34" i="5"/>
  <c r="H33" i="5"/>
  <c r="G33" i="5"/>
  <c r="J33" i="5" s="1"/>
  <c r="G32" i="5"/>
  <c r="J31" i="5"/>
  <c r="H31" i="5"/>
  <c r="G31" i="5"/>
  <c r="G30" i="5"/>
  <c r="J30" i="5" s="1"/>
  <c r="G29" i="5"/>
  <c r="J28" i="5"/>
  <c r="H28" i="5"/>
  <c r="G28" i="5"/>
  <c r="H27" i="5"/>
  <c r="G27" i="5"/>
  <c r="J27" i="5" s="1"/>
  <c r="G26" i="5"/>
  <c r="J25" i="5"/>
  <c r="H25" i="5"/>
  <c r="G25" i="5"/>
  <c r="G24" i="5"/>
  <c r="J24" i="5" s="1"/>
  <c r="G23" i="5"/>
  <c r="J23" i="5" s="1"/>
  <c r="J22" i="5"/>
  <c r="H22" i="5"/>
  <c r="G22" i="5"/>
  <c r="G21" i="5"/>
  <c r="H20" i="5"/>
  <c r="G20" i="5"/>
  <c r="G19" i="5"/>
  <c r="J19" i="5" s="1"/>
  <c r="J18" i="5"/>
  <c r="G18" i="5"/>
  <c r="J17" i="5"/>
  <c r="H17" i="5"/>
  <c r="G17" i="5"/>
  <c r="G16" i="5"/>
  <c r="J16" i="5" s="1"/>
  <c r="G15" i="5"/>
  <c r="J15" i="5" s="1"/>
  <c r="J14" i="5"/>
  <c r="H14" i="5"/>
  <c r="G14" i="5"/>
  <c r="G13" i="5"/>
  <c r="H12" i="5"/>
  <c r="G12" i="5"/>
  <c r="G11" i="5"/>
  <c r="H11" i="5" s="1"/>
  <c r="J10" i="5"/>
  <c r="H10" i="5"/>
  <c r="G10" i="5"/>
  <c r="G9" i="5"/>
  <c r="G66" i="4"/>
  <c r="G65" i="4"/>
  <c r="G64" i="4"/>
  <c r="G63" i="4"/>
  <c r="E58" i="4"/>
  <c r="D58" i="4"/>
  <c r="C58" i="4"/>
  <c r="E57" i="4"/>
  <c r="D57" i="4"/>
  <c r="C57" i="4"/>
  <c r="G51" i="4"/>
  <c r="H51" i="4" s="1"/>
  <c r="H50" i="4"/>
  <c r="G50" i="4"/>
  <c r="G49" i="4"/>
  <c r="H49" i="4" s="1"/>
  <c r="F42" i="4"/>
  <c r="E42" i="4"/>
  <c r="D42" i="4"/>
  <c r="C42" i="4"/>
  <c r="G41" i="4"/>
  <c r="H41" i="4" s="1"/>
  <c r="J40" i="4"/>
  <c r="H40" i="4"/>
  <c r="G40" i="4"/>
  <c r="J39" i="4"/>
  <c r="H39" i="4"/>
  <c r="G39" i="4"/>
  <c r="G38" i="4"/>
  <c r="H38" i="4" s="1"/>
  <c r="J37" i="4"/>
  <c r="H37" i="4"/>
  <c r="G37" i="4"/>
  <c r="G36" i="4"/>
  <c r="H36" i="4" s="1"/>
  <c r="H35" i="4"/>
  <c r="G35" i="4"/>
  <c r="G34" i="4"/>
  <c r="J33" i="4"/>
  <c r="G33" i="4"/>
  <c r="J32" i="4"/>
  <c r="H32" i="4"/>
  <c r="G32" i="4"/>
  <c r="H31" i="4"/>
  <c r="G31" i="4"/>
  <c r="J31" i="4" s="1"/>
  <c r="G30" i="4"/>
  <c r="J29" i="4"/>
  <c r="H29" i="4"/>
  <c r="G29" i="4"/>
  <c r="G28" i="4"/>
  <c r="J28" i="4" s="1"/>
  <c r="J27" i="4"/>
  <c r="G27" i="4"/>
  <c r="J26" i="4"/>
  <c r="H26" i="4"/>
  <c r="G26" i="4"/>
  <c r="H25" i="4"/>
  <c r="G25" i="4"/>
  <c r="J25" i="4" s="1"/>
  <c r="G24" i="4"/>
  <c r="J24" i="4" s="1"/>
  <c r="J23" i="4"/>
  <c r="H23" i="4"/>
  <c r="G23" i="4"/>
  <c r="G22" i="4"/>
  <c r="J22" i="4" s="1"/>
  <c r="J21" i="4"/>
  <c r="G21" i="4"/>
  <c r="J20" i="4"/>
  <c r="H20" i="4"/>
  <c r="G20" i="4"/>
  <c r="H19" i="4"/>
  <c r="G19" i="4"/>
  <c r="J19" i="4" s="1"/>
  <c r="G18" i="4"/>
  <c r="J17" i="4"/>
  <c r="H17" i="4"/>
  <c r="G17" i="4"/>
  <c r="G16" i="4"/>
  <c r="J16" i="4" s="1"/>
  <c r="J15" i="4"/>
  <c r="G15" i="4"/>
  <c r="J14" i="4"/>
  <c r="H14" i="4"/>
  <c r="G14" i="4"/>
  <c r="H13" i="4"/>
  <c r="G13" i="4"/>
  <c r="J13" i="4" s="1"/>
  <c r="G12" i="4"/>
  <c r="J11" i="4"/>
  <c r="H11" i="4"/>
  <c r="G11" i="4"/>
  <c r="G10" i="4"/>
  <c r="J10" i="4" s="1"/>
  <c r="J9" i="4"/>
  <c r="G9" i="4"/>
  <c r="G67" i="3"/>
  <c r="G66" i="3"/>
  <c r="G65" i="3"/>
  <c r="G64" i="3"/>
  <c r="E59" i="3"/>
  <c r="D59" i="3"/>
  <c r="C59" i="3"/>
  <c r="E58" i="3"/>
  <c r="D58" i="3"/>
  <c r="C58" i="3"/>
  <c r="G52" i="3"/>
  <c r="H52" i="3" s="1"/>
  <c r="H51" i="3"/>
  <c r="G51" i="3"/>
  <c r="H50" i="3"/>
  <c r="G50" i="3"/>
  <c r="F43" i="3"/>
  <c r="E43" i="3"/>
  <c r="D43" i="3"/>
  <c r="C43" i="3"/>
  <c r="H42" i="3"/>
  <c r="G42" i="3"/>
  <c r="J41" i="3"/>
  <c r="H41" i="3"/>
  <c r="G41" i="3"/>
  <c r="G40" i="3"/>
  <c r="J39" i="3"/>
  <c r="H39" i="3"/>
  <c r="G39" i="3"/>
  <c r="G38" i="3"/>
  <c r="G37" i="3"/>
  <c r="J36" i="3"/>
  <c r="H36" i="3"/>
  <c r="G36" i="3"/>
  <c r="G35" i="3"/>
  <c r="H34" i="3"/>
  <c r="G34" i="3"/>
  <c r="G33" i="3"/>
  <c r="J33" i="3" s="1"/>
  <c r="J32" i="3"/>
  <c r="G32" i="3"/>
  <c r="J31" i="3"/>
  <c r="H31" i="3"/>
  <c r="G31" i="3"/>
  <c r="G30" i="3"/>
  <c r="J30" i="3" s="1"/>
  <c r="G29" i="3"/>
  <c r="J29" i="3" s="1"/>
  <c r="J28" i="3"/>
  <c r="H28" i="3"/>
  <c r="G28" i="3"/>
  <c r="G27" i="3"/>
  <c r="J27" i="3" s="1"/>
  <c r="J26" i="3"/>
  <c r="G26" i="3"/>
  <c r="J25" i="3"/>
  <c r="H25" i="3"/>
  <c r="G25" i="3"/>
  <c r="G24" i="3"/>
  <c r="J24" i="3" s="1"/>
  <c r="G23" i="3"/>
  <c r="J22" i="3"/>
  <c r="H22" i="3"/>
  <c r="G22" i="3"/>
  <c r="G21" i="3"/>
  <c r="J21" i="3" s="1"/>
  <c r="J20" i="3"/>
  <c r="G20" i="3"/>
  <c r="J19" i="3"/>
  <c r="H19" i="3"/>
  <c r="G19" i="3"/>
  <c r="G18" i="3"/>
  <c r="J18" i="3" s="1"/>
  <c r="G17" i="3"/>
  <c r="J17" i="3" s="1"/>
  <c r="J16" i="3"/>
  <c r="H16" i="3"/>
  <c r="G16" i="3"/>
  <c r="G15" i="3"/>
  <c r="J15" i="3" s="1"/>
  <c r="J14" i="3"/>
  <c r="G14" i="3"/>
  <c r="J13" i="3"/>
  <c r="H13" i="3"/>
  <c r="G13" i="3"/>
  <c r="G12" i="3"/>
  <c r="J12" i="3" s="1"/>
  <c r="G11" i="3"/>
  <c r="J10" i="3"/>
  <c r="H10" i="3"/>
  <c r="G10" i="3"/>
  <c r="G9" i="3"/>
  <c r="G62" i="2"/>
  <c r="G61" i="2"/>
  <c r="G60" i="2"/>
  <c r="G59" i="2"/>
  <c r="E54" i="2"/>
  <c r="D54" i="2"/>
  <c r="C54" i="2"/>
  <c r="E53" i="2"/>
  <c r="D53" i="2"/>
  <c r="C53" i="2"/>
  <c r="G47" i="2"/>
  <c r="H47" i="2" s="1"/>
  <c r="H46" i="2"/>
  <c r="G46" i="2"/>
  <c r="G45" i="2"/>
  <c r="H45" i="2" s="1"/>
  <c r="F38" i="2"/>
  <c r="E38" i="2"/>
  <c r="D38" i="2"/>
  <c r="C38" i="2"/>
  <c r="H37" i="2"/>
  <c r="G37" i="2"/>
  <c r="H36" i="2"/>
  <c r="G36" i="2"/>
  <c r="H35" i="2"/>
  <c r="G35" i="2"/>
  <c r="J35" i="2" s="1"/>
  <c r="G34" i="2"/>
  <c r="G33" i="2"/>
  <c r="G32" i="2"/>
  <c r="J32" i="2" s="1"/>
  <c r="G31" i="2"/>
  <c r="H31" i="2" s="1"/>
  <c r="G30" i="2"/>
  <c r="J30" i="2" s="1"/>
  <c r="G29" i="2"/>
  <c r="H29" i="2" s="1"/>
  <c r="J28" i="2"/>
  <c r="H28" i="2"/>
  <c r="G28" i="2"/>
  <c r="H27" i="2"/>
  <c r="G27" i="2"/>
  <c r="G26" i="2"/>
  <c r="H26" i="2" s="1"/>
  <c r="H25" i="2"/>
  <c r="G25" i="2"/>
  <c r="G24" i="2"/>
  <c r="H24" i="2" s="1"/>
  <c r="G23" i="2"/>
  <c r="G22" i="2"/>
  <c r="J21" i="2"/>
  <c r="H21" i="2"/>
  <c r="G21" i="2"/>
  <c r="G20" i="2"/>
  <c r="H20" i="2" s="1"/>
  <c r="G19" i="2"/>
  <c r="H19" i="2" s="1"/>
  <c r="G18" i="2"/>
  <c r="J17" i="2"/>
  <c r="H17" i="2"/>
  <c r="G17" i="2"/>
  <c r="G16" i="2"/>
  <c r="H15" i="2"/>
  <c r="G15" i="2"/>
  <c r="J15" i="2" s="1"/>
  <c r="G14" i="2"/>
  <c r="H14" i="2" s="1"/>
  <c r="H13" i="2"/>
  <c r="G13" i="2"/>
  <c r="G12" i="2"/>
  <c r="J12" i="2" s="1"/>
  <c r="J11" i="2"/>
  <c r="H11" i="2"/>
  <c r="G11" i="2"/>
  <c r="G10" i="2"/>
  <c r="I10" i="2" s="1"/>
  <c r="G9" i="2"/>
  <c r="G38" i="2" s="1"/>
  <c r="G66" i="1"/>
  <c r="G65" i="1"/>
  <c r="G64" i="1"/>
  <c r="G63" i="1"/>
  <c r="E58" i="1"/>
  <c r="D58" i="1"/>
  <c r="C58" i="1"/>
  <c r="E57" i="1"/>
  <c r="D57" i="1"/>
  <c r="C57" i="1"/>
  <c r="G51" i="1"/>
  <c r="H51" i="1" s="1"/>
  <c r="G50" i="1"/>
  <c r="H50" i="1" s="1"/>
  <c r="H49" i="1"/>
  <c r="G49" i="1"/>
  <c r="F42" i="1"/>
  <c r="E42" i="1"/>
  <c r="E43" i="1" s="1"/>
  <c r="D42" i="1"/>
  <c r="D43" i="1" s="1"/>
  <c r="C42" i="1"/>
  <c r="C43" i="1" s="1"/>
  <c r="H41" i="1"/>
  <c r="G41" i="1"/>
  <c r="G40" i="1"/>
  <c r="G39" i="1"/>
  <c r="J39" i="1" s="1"/>
  <c r="H38" i="1"/>
  <c r="G38" i="1"/>
  <c r="G37" i="1"/>
  <c r="J37" i="1" s="1"/>
  <c r="J36" i="1"/>
  <c r="G36" i="1"/>
  <c r="G35" i="1"/>
  <c r="H35" i="1" s="1"/>
  <c r="G34" i="1"/>
  <c r="J34" i="1" s="1"/>
  <c r="J33" i="1"/>
  <c r="H33" i="1"/>
  <c r="G33" i="1"/>
  <c r="G32" i="1"/>
  <c r="G31" i="1"/>
  <c r="J31" i="1" s="1"/>
  <c r="J30" i="1"/>
  <c r="H30" i="1"/>
  <c r="G30" i="1"/>
  <c r="G29" i="1"/>
  <c r="G28" i="1"/>
  <c r="J28" i="1" s="1"/>
  <c r="J27" i="1"/>
  <c r="H27" i="1"/>
  <c r="G27" i="1"/>
  <c r="G26" i="1"/>
  <c r="H26" i="1" s="1"/>
  <c r="H25" i="1"/>
  <c r="G25" i="1"/>
  <c r="G24" i="1"/>
  <c r="I24" i="1" s="1"/>
  <c r="G23" i="1"/>
  <c r="J23" i="1" s="1"/>
  <c r="J22" i="1"/>
  <c r="H22" i="1"/>
  <c r="G22" i="1"/>
  <c r="G21" i="1"/>
  <c r="J21" i="1" s="1"/>
  <c r="G20" i="1"/>
  <c r="J20" i="1" s="1"/>
  <c r="J19" i="1"/>
  <c r="H19" i="1"/>
  <c r="G19" i="1"/>
  <c r="G18" i="1"/>
  <c r="J18" i="1" s="1"/>
  <c r="G17" i="1"/>
  <c r="H17" i="1" s="1"/>
  <c r="J16" i="1"/>
  <c r="H16" i="1"/>
  <c r="G16" i="1"/>
  <c r="G15" i="1"/>
  <c r="H15" i="1" s="1"/>
  <c r="J14" i="1"/>
  <c r="G14" i="1"/>
  <c r="H14" i="1" s="1"/>
  <c r="G13" i="1"/>
  <c r="I13" i="1" s="1"/>
  <c r="G12" i="1"/>
  <c r="J12" i="1" s="1"/>
  <c r="J11" i="1"/>
  <c r="H11" i="1"/>
  <c r="G11" i="1"/>
  <c r="G10" i="1"/>
  <c r="G42" i="1" s="1"/>
  <c r="H9" i="1"/>
  <c r="G9" i="1"/>
  <c r="I17" i="1" l="1"/>
  <c r="I14" i="1"/>
  <c r="I27" i="1"/>
  <c r="I41" i="1"/>
  <c r="I33" i="1"/>
  <c r="I30" i="1"/>
  <c r="I19" i="1"/>
  <c r="I9" i="1"/>
  <c r="I38" i="1"/>
  <c r="I16" i="1"/>
  <c r="I25" i="1"/>
  <c r="I22" i="1"/>
  <c r="I11" i="1"/>
  <c r="I32" i="1"/>
  <c r="I36" i="1"/>
  <c r="I40" i="1"/>
  <c r="F43" i="1"/>
  <c r="I18" i="2"/>
  <c r="I23" i="2"/>
  <c r="D41" i="7"/>
  <c r="I18" i="19"/>
  <c r="I16" i="19"/>
  <c r="I13" i="19"/>
  <c r="I10" i="19"/>
  <c r="I12" i="19"/>
  <c r="I9" i="19"/>
  <c r="I20" i="19"/>
  <c r="I15" i="19"/>
  <c r="I34" i="4"/>
  <c r="I29" i="1"/>
  <c r="I16" i="2"/>
  <c r="F39" i="2"/>
  <c r="E39" i="2"/>
  <c r="I35" i="2"/>
  <c r="I27" i="2"/>
  <c r="I21" i="2"/>
  <c r="I19" i="2"/>
  <c r="I36" i="2"/>
  <c r="I28" i="2"/>
  <c r="I15" i="2"/>
  <c r="I11" i="2"/>
  <c r="I25" i="2"/>
  <c r="I13" i="2"/>
  <c r="D39" i="2"/>
  <c r="I33" i="2"/>
  <c r="I37" i="3"/>
  <c r="H37" i="3"/>
  <c r="G42" i="4"/>
  <c r="H29" i="5"/>
  <c r="J35" i="5"/>
  <c r="H35" i="5"/>
  <c r="J27" i="8"/>
  <c r="I27" i="8"/>
  <c r="H27" i="8"/>
  <c r="J46" i="10"/>
  <c r="H46" i="10"/>
  <c r="D22" i="19"/>
  <c r="J18" i="22"/>
  <c r="H18" i="22"/>
  <c r="J15" i="23"/>
  <c r="I15" i="23"/>
  <c r="H15" i="23"/>
  <c r="H13" i="1"/>
  <c r="H33" i="2"/>
  <c r="C39" i="2"/>
  <c r="H11" i="3"/>
  <c r="H15" i="3"/>
  <c r="I23" i="3"/>
  <c r="H23" i="3"/>
  <c r="H27" i="3"/>
  <c r="H33" i="3"/>
  <c r="J37" i="3"/>
  <c r="J35" i="6"/>
  <c r="J12" i="10"/>
  <c r="H12" i="10"/>
  <c r="F47" i="21"/>
  <c r="H9" i="23"/>
  <c r="G39" i="23"/>
  <c r="J9" i="23"/>
  <c r="I9" i="23"/>
  <c r="I35" i="1"/>
  <c r="J31" i="2"/>
  <c r="J23" i="3"/>
  <c r="H10" i="4"/>
  <c r="I30" i="4"/>
  <c r="H30" i="4"/>
  <c r="H34" i="4"/>
  <c r="H44" i="5"/>
  <c r="J29" i="6"/>
  <c r="I12" i="9"/>
  <c r="J27" i="12"/>
  <c r="I27" i="12"/>
  <c r="H27" i="12"/>
  <c r="J15" i="13"/>
  <c r="H15" i="13"/>
  <c r="J21" i="14"/>
  <c r="I21" i="14"/>
  <c r="H21" i="14"/>
  <c r="G44" i="17"/>
  <c r="J9" i="17"/>
  <c r="I9" i="17"/>
  <c r="H9" i="17"/>
  <c r="I30" i="20"/>
  <c r="I27" i="20"/>
  <c r="I24" i="20"/>
  <c r="I40" i="20"/>
  <c r="I37" i="20"/>
  <c r="I35" i="20"/>
  <c r="I33" i="20"/>
  <c r="I22" i="20"/>
  <c r="I19" i="20"/>
  <c r="I16" i="20"/>
  <c r="I13" i="20"/>
  <c r="I10" i="20"/>
  <c r="I32" i="20"/>
  <c r="I29" i="20"/>
  <c r="I9" i="20"/>
  <c r="I34" i="20"/>
  <c r="I26" i="20"/>
  <c r="I21" i="20"/>
  <c r="I39" i="20"/>
  <c r="I36" i="20"/>
  <c r="I15" i="20"/>
  <c r="I41" i="20"/>
  <c r="I12" i="20"/>
  <c r="H20" i="1"/>
  <c r="H23" i="1"/>
  <c r="I26" i="1"/>
  <c r="H28" i="1"/>
  <c r="J32" i="1"/>
  <c r="H39" i="1"/>
  <c r="J40" i="1"/>
  <c r="H12" i="2"/>
  <c r="H16" i="2"/>
  <c r="I20" i="2"/>
  <c r="I26" i="2"/>
  <c r="H30" i="2"/>
  <c r="H38" i="3"/>
  <c r="I10" i="4"/>
  <c r="I28" i="4"/>
  <c r="I36" i="4"/>
  <c r="H26" i="5"/>
  <c r="H30" i="5"/>
  <c r="H32" i="5"/>
  <c r="H38" i="5"/>
  <c r="J23" i="6"/>
  <c r="H29" i="6"/>
  <c r="H41" i="6" s="1"/>
  <c r="J26" i="7"/>
  <c r="I39" i="8"/>
  <c r="H39" i="8"/>
  <c r="E42" i="8"/>
  <c r="H32" i="9"/>
  <c r="J35" i="9"/>
  <c r="I35" i="9"/>
  <c r="H35" i="9"/>
  <c r="J14" i="12"/>
  <c r="I14" i="12"/>
  <c r="H14" i="12"/>
  <c r="J17" i="12"/>
  <c r="I17" i="12"/>
  <c r="H17" i="12"/>
  <c r="J18" i="14"/>
  <c r="I18" i="14"/>
  <c r="H18" i="14"/>
  <c r="J36" i="15"/>
  <c r="H36" i="15"/>
  <c r="J30" i="17"/>
  <c r="I30" i="17"/>
  <c r="H30" i="17"/>
  <c r="J33" i="18"/>
  <c r="H33" i="18"/>
  <c r="J21" i="21"/>
  <c r="I21" i="21"/>
  <c r="H21" i="21"/>
  <c r="J20" i="34"/>
  <c r="H20" i="34"/>
  <c r="G43" i="3"/>
  <c r="I11" i="3" s="1"/>
  <c r="J9" i="3"/>
  <c r="J24" i="8"/>
  <c r="H24" i="8"/>
  <c r="J30" i="8"/>
  <c r="I30" i="8"/>
  <c r="H30" i="8"/>
  <c r="G47" i="10"/>
  <c r="J9" i="10"/>
  <c r="J14" i="11"/>
  <c r="I14" i="11"/>
  <c r="H14" i="11"/>
  <c r="I25" i="12"/>
  <c r="H25" i="12"/>
  <c r="J24" i="13"/>
  <c r="H24" i="13"/>
  <c r="J21" i="17"/>
  <c r="I21" i="17"/>
  <c r="H21" i="17"/>
  <c r="H10" i="21"/>
  <c r="H18" i="1"/>
  <c r="H21" i="1"/>
  <c r="H29" i="1"/>
  <c r="H32" i="1"/>
  <c r="H40" i="1"/>
  <c r="H23" i="2"/>
  <c r="H9" i="3"/>
  <c r="H21" i="3"/>
  <c r="G48" i="5"/>
  <c r="I29" i="5" s="1"/>
  <c r="H21" i="5"/>
  <c r="G40" i="7"/>
  <c r="E41" i="7" s="1"/>
  <c r="J9" i="7"/>
  <c r="I9" i="7"/>
  <c r="F37" i="9"/>
  <c r="J27" i="10"/>
  <c r="J27" i="11"/>
  <c r="H27" i="11"/>
  <c r="E42" i="11"/>
  <c r="F36" i="14"/>
  <c r="C45" i="17"/>
  <c r="J37" i="23"/>
  <c r="I37" i="23"/>
  <c r="H37" i="23"/>
  <c r="H10" i="1"/>
  <c r="I18" i="1"/>
  <c r="I21" i="1"/>
  <c r="H37" i="1"/>
  <c r="I9" i="3"/>
  <c r="I12" i="4"/>
  <c r="H12" i="4"/>
  <c r="I18" i="4"/>
  <c r="H18" i="4"/>
  <c r="I24" i="4"/>
  <c r="H24" i="4"/>
  <c r="J38" i="4"/>
  <c r="I38" i="4"/>
  <c r="C43" i="4"/>
  <c r="H9" i="5"/>
  <c r="E49" i="5"/>
  <c r="H35" i="6"/>
  <c r="H40" i="6"/>
  <c r="H9" i="7"/>
  <c r="J12" i="8"/>
  <c r="I12" i="8"/>
  <c r="H12" i="8"/>
  <c r="J19" i="9"/>
  <c r="H19" i="9"/>
  <c r="J21" i="10"/>
  <c r="I21" i="10"/>
  <c r="H21" i="10"/>
  <c r="J14" i="19"/>
  <c r="I14" i="19"/>
  <c r="H14" i="19"/>
  <c r="H21" i="19" s="1"/>
  <c r="J17" i="31"/>
  <c r="H17" i="31"/>
  <c r="I10" i="1"/>
  <c r="H12" i="1"/>
  <c r="I15" i="1"/>
  <c r="J24" i="1"/>
  <c r="J29" i="1"/>
  <c r="H31" i="1"/>
  <c r="H34" i="1"/>
  <c r="I37" i="1"/>
  <c r="J10" i="2"/>
  <c r="I14" i="2"/>
  <c r="H18" i="2"/>
  <c r="I22" i="2"/>
  <c r="I34" i="2"/>
  <c r="H34" i="2"/>
  <c r="J40" i="3"/>
  <c r="J12" i="4"/>
  <c r="I16" i="4"/>
  <c r="J18" i="4"/>
  <c r="I22" i="4"/>
  <c r="J30" i="4"/>
  <c r="H24" i="5"/>
  <c r="I12" i="1"/>
  <c r="J15" i="1"/>
  <c r="I20" i="1"/>
  <c r="I23" i="1"/>
  <c r="I28" i="1"/>
  <c r="I31" i="1"/>
  <c r="I34" i="1"/>
  <c r="H36" i="1"/>
  <c r="I39" i="1"/>
  <c r="H9" i="2"/>
  <c r="H38" i="2" s="1"/>
  <c r="J14" i="2"/>
  <c r="J20" i="2"/>
  <c r="H22" i="2"/>
  <c r="I24" i="2"/>
  <c r="J26" i="2"/>
  <c r="I30" i="2"/>
  <c r="H32" i="2"/>
  <c r="J34" i="2"/>
  <c r="H12" i="3"/>
  <c r="I14" i="3"/>
  <c r="H14" i="3"/>
  <c r="H18" i="3"/>
  <c r="H20" i="3"/>
  <c r="H24" i="3"/>
  <c r="I26" i="3"/>
  <c r="H26" i="3"/>
  <c r="H30" i="3"/>
  <c r="H32" i="3"/>
  <c r="H40" i="3"/>
  <c r="H16" i="5"/>
  <c r="H18" i="5"/>
  <c r="J26" i="5"/>
  <c r="J32" i="5"/>
  <c r="J36" i="5"/>
  <c r="G41" i="6"/>
  <c r="J17" i="6"/>
  <c r="H23" i="6"/>
  <c r="H26" i="7"/>
  <c r="F42" i="8"/>
  <c r="J13" i="9"/>
  <c r="J33" i="13"/>
  <c r="H33" i="13"/>
  <c r="J15" i="14"/>
  <c r="H15" i="14"/>
  <c r="J21" i="15"/>
  <c r="I21" i="15"/>
  <c r="H21" i="15"/>
  <c r="F45" i="17"/>
  <c r="C47" i="21"/>
  <c r="C40" i="23"/>
  <c r="J10" i="27"/>
  <c r="H10" i="27"/>
  <c r="G48" i="27"/>
  <c r="I26" i="27" s="1"/>
  <c r="J10" i="30"/>
  <c r="I10" i="30"/>
  <c r="H10" i="30"/>
  <c r="G38" i="30"/>
  <c r="I16" i="30" s="1"/>
  <c r="J18" i="32"/>
  <c r="I18" i="32"/>
  <c r="H18" i="32"/>
  <c r="I29" i="2"/>
  <c r="I41" i="4"/>
  <c r="H23" i="5"/>
  <c r="C41" i="12"/>
  <c r="I29" i="14"/>
  <c r="H29" i="14"/>
  <c r="H24" i="1"/>
  <c r="H10" i="2"/>
  <c r="I31" i="2"/>
  <c r="H17" i="3"/>
  <c r="H29" i="3"/>
  <c r="H35" i="3"/>
  <c r="I15" i="5"/>
  <c r="H15" i="5"/>
  <c r="H19" i="5"/>
  <c r="J29" i="5"/>
  <c r="J46" i="5"/>
  <c r="D49" i="5"/>
  <c r="J23" i="7"/>
  <c r="I23" i="7"/>
  <c r="H23" i="7"/>
  <c r="J35" i="21"/>
  <c r="I35" i="21"/>
  <c r="H35" i="21"/>
  <c r="I12" i="2"/>
  <c r="J11" i="3"/>
  <c r="I21" i="3"/>
  <c r="I27" i="3"/>
  <c r="H16" i="4"/>
  <c r="H22" i="4"/>
  <c r="H28" i="4"/>
  <c r="H13" i="5"/>
  <c r="H46" i="5"/>
  <c r="G41" i="8"/>
  <c r="J9" i="8"/>
  <c r="I9" i="8"/>
  <c r="H9" i="8"/>
  <c r="J30" i="10"/>
  <c r="I30" i="10"/>
  <c r="H30" i="10"/>
  <c r="J41" i="13"/>
  <c r="H41" i="13"/>
  <c r="J33" i="17"/>
  <c r="I33" i="17"/>
  <c r="H33" i="17"/>
  <c r="I9" i="18"/>
  <c r="I14" i="18"/>
  <c r="D39" i="18"/>
  <c r="J12" i="21"/>
  <c r="H12" i="21"/>
  <c r="D46" i="32"/>
  <c r="I9" i="2"/>
  <c r="I17" i="2"/>
  <c r="J22" i="2"/>
  <c r="I32" i="2"/>
  <c r="I37" i="2"/>
  <c r="I12" i="3"/>
  <c r="I18" i="3"/>
  <c r="I24" i="3"/>
  <c r="I9" i="4"/>
  <c r="H9" i="4"/>
  <c r="I15" i="4"/>
  <c r="H15" i="4"/>
  <c r="I21" i="4"/>
  <c r="H21" i="4"/>
  <c r="I27" i="4"/>
  <c r="H27" i="4"/>
  <c r="I33" i="4"/>
  <c r="H33" i="4"/>
  <c r="I16" i="5"/>
  <c r="J11" i="6"/>
  <c r="J20" i="7"/>
  <c r="I20" i="7"/>
  <c r="J29" i="7"/>
  <c r="H29" i="7"/>
  <c r="J21" i="8"/>
  <c r="I21" i="8"/>
  <c r="H21" i="8"/>
  <c r="J10" i="9"/>
  <c r="G36" i="9"/>
  <c r="I19" i="9" s="1"/>
  <c r="H10" i="9"/>
  <c r="H36" i="9" s="1"/>
  <c r="D37" i="9"/>
  <c r="I19" i="11"/>
  <c r="I25" i="11"/>
  <c r="H25" i="11"/>
  <c r="G40" i="12"/>
  <c r="I9" i="12"/>
  <c r="H9" i="12"/>
  <c r="J32" i="12"/>
  <c r="H32" i="12"/>
  <c r="I35" i="12"/>
  <c r="H35" i="12"/>
  <c r="J12" i="14"/>
  <c r="H12" i="14"/>
  <c r="G35" i="14"/>
  <c r="G39" i="15"/>
  <c r="D40" i="15" s="1"/>
  <c r="J15" i="16"/>
  <c r="I15" i="16"/>
  <c r="H15" i="16"/>
  <c r="J32" i="16"/>
  <c r="H32" i="16"/>
  <c r="I42" i="17"/>
  <c r="H42" i="17"/>
  <c r="J10" i="18"/>
  <c r="I10" i="18"/>
  <c r="H10" i="18"/>
  <c r="J15" i="18"/>
  <c r="I15" i="18"/>
  <c r="H15" i="18"/>
  <c r="G38" i="18"/>
  <c r="J17" i="20"/>
  <c r="I17" i="20"/>
  <c r="H17" i="20"/>
  <c r="H42" i="20" s="1"/>
  <c r="D43" i="20"/>
  <c r="G30" i="22"/>
  <c r="C31" i="22" s="1"/>
  <c r="J24" i="23"/>
  <c r="I24" i="23"/>
  <c r="H24" i="23"/>
  <c r="J26" i="25"/>
  <c r="I26" i="25"/>
  <c r="H26" i="25"/>
  <c r="J15" i="29"/>
  <c r="H15" i="29"/>
  <c r="J24" i="10"/>
  <c r="F48" i="10"/>
  <c r="G41" i="11"/>
  <c r="I27" i="11" s="1"/>
  <c r="H9" i="11"/>
  <c r="I17" i="11"/>
  <c r="H17" i="11"/>
  <c r="I38" i="11"/>
  <c r="H38" i="11"/>
  <c r="D42" i="11"/>
  <c r="J12" i="13"/>
  <c r="H12" i="13"/>
  <c r="J21" i="13"/>
  <c r="H21" i="13"/>
  <c r="J30" i="13"/>
  <c r="H30" i="13"/>
  <c r="I34" i="14"/>
  <c r="J28" i="15"/>
  <c r="I28" i="15"/>
  <c r="H28" i="15"/>
  <c r="J35" i="16"/>
  <c r="I35" i="16"/>
  <c r="H35" i="16"/>
  <c r="I12" i="17"/>
  <c r="H12" i="17"/>
  <c r="J21" i="18"/>
  <c r="I21" i="18"/>
  <c r="H21" i="18"/>
  <c r="I26" i="18"/>
  <c r="J36" i="18"/>
  <c r="I36" i="18"/>
  <c r="H36" i="18"/>
  <c r="E39" i="18"/>
  <c r="J11" i="19"/>
  <c r="I11" i="19"/>
  <c r="J20" i="20"/>
  <c r="I20" i="20"/>
  <c r="J25" i="20"/>
  <c r="I25" i="20"/>
  <c r="H25" i="20"/>
  <c r="J24" i="21"/>
  <c r="I24" i="21"/>
  <c r="J12" i="22"/>
  <c r="H12" i="22"/>
  <c r="J26" i="23"/>
  <c r="I26" i="23"/>
  <c r="H26" i="23"/>
  <c r="J34" i="23"/>
  <c r="I34" i="23"/>
  <c r="H34" i="23"/>
  <c r="J10" i="24"/>
  <c r="H10" i="24"/>
  <c r="J27" i="24"/>
  <c r="H27" i="24"/>
  <c r="H36" i="24"/>
  <c r="J27" i="25"/>
  <c r="H27" i="25"/>
  <c r="J19" i="27"/>
  <c r="I19" i="27"/>
  <c r="H19" i="27"/>
  <c r="I40" i="27"/>
  <c r="J13" i="29"/>
  <c r="J24" i="29"/>
  <c r="I24" i="29"/>
  <c r="H24" i="29"/>
  <c r="J16" i="30"/>
  <c r="J11" i="31"/>
  <c r="J34" i="31"/>
  <c r="H34" i="31"/>
  <c r="G44" i="33"/>
  <c r="I11" i="33" s="1"/>
  <c r="H9" i="33"/>
  <c r="I30" i="35"/>
  <c r="H30" i="35"/>
  <c r="D41" i="78"/>
  <c r="I31" i="80"/>
  <c r="J11" i="12"/>
  <c r="I11" i="12"/>
  <c r="H11" i="12"/>
  <c r="I19" i="12"/>
  <c r="H19" i="12"/>
  <c r="J22" i="12"/>
  <c r="I22" i="12"/>
  <c r="I39" i="12"/>
  <c r="J46" i="13"/>
  <c r="H46" i="13"/>
  <c r="I23" i="14"/>
  <c r="I31" i="14"/>
  <c r="H31" i="14"/>
  <c r="J31" i="15"/>
  <c r="H31" i="15"/>
  <c r="G39" i="16"/>
  <c r="J9" i="16"/>
  <c r="I9" i="16"/>
  <c r="J18" i="16"/>
  <c r="J38" i="16"/>
  <c r="I38" i="16"/>
  <c r="H38" i="16"/>
  <c r="J15" i="17"/>
  <c r="I15" i="17"/>
  <c r="J24" i="17"/>
  <c r="I24" i="17"/>
  <c r="J40" i="17"/>
  <c r="I40" i="17"/>
  <c r="I12" i="18"/>
  <c r="I17" i="18"/>
  <c r="J24" i="18"/>
  <c r="I24" i="18"/>
  <c r="H24" i="18"/>
  <c r="F39" i="18"/>
  <c r="C22" i="19"/>
  <c r="I23" i="20"/>
  <c r="J28" i="20"/>
  <c r="I28" i="20"/>
  <c r="H28" i="20"/>
  <c r="J31" i="20"/>
  <c r="I31" i="20"/>
  <c r="C43" i="20"/>
  <c r="J27" i="21"/>
  <c r="J32" i="21"/>
  <c r="I32" i="21"/>
  <c r="H32" i="21"/>
  <c r="J43" i="21"/>
  <c r="H43" i="21"/>
  <c r="J15" i="22"/>
  <c r="H15" i="22"/>
  <c r="H30" i="22" s="1"/>
  <c r="J27" i="23"/>
  <c r="I27" i="23"/>
  <c r="H27" i="23"/>
  <c r="I35" i="23"/>
  <c r="H35" i="23"/>
  <c r="I24" i="24"/>
  <c r="H24" i="24"/>
  <c r="C40" i="25"/>
  <c r="H19" i="26"/>
  <c r="J28" i="26"/>
  <c r="I28" i="26"/>
  <c r="H28" i="26"/>
  <c r="C38" i="26"/>
  <c r="J17" i="27"/>
  <c r="I17" i="27"/>
  <c r="J28" i="27"/>
  <c r="I28" i="27"/>
  <c r="H28" i="27"/>
  <c r="J35" i="28"/>
  <c r="H35" i="28"/>
  <c r="J22" i="29"/>
  <c r="I30" i="30"/>
  <c r="H30" i="30"/>
  <c r="F39" i="30"/>
  <c r="G41" i="31"/>
  <c r="I9" i="31"/>
  <c r="J35" i="31"/>
  <c r="H35" i="31"/>
  <c r="J24" i="32"/>
  <c r="I24" i="32"/>
  <c r="H24" i="32"/>
  <c r="I21" i="35"/>
  <c r="H21" i="35"/>
  <c r="J21" i="35"/>
  <c r="G40" i="35"/>
  <c r="I22" i="53"/>
  <c r="H22" i="53"/>
  <c r="J22" i="53"/>
  <c r="J14" i="77"/>
  <c r="H14" i="77"/>
  <c r="I19" i="78"/>
  <c r="I24" i="78"/>
  <c r="I37" i="78"/>
  <c r="J21" i="25"/>
  <c r="H21" i="25"/>
  <c r="J14" i="26"/>
  <c r="I14" i="26"/>
  <c r="H14" i="26"/>
  <c r="D38" i="26"/>
  <c r="H17" i="27"/>
  <c r="J26" i="27"/>
  <c r="J37" i="27"/>
  <c r="I37" i="27"/>
  <c r="H37" i="27"/>
  <c r="J23" i="28"/>
  <c r="H36" i="28"/>
  <c r="H22" i="29"/>
  <c r="J27" i="30"/>
  <c r="I27" i="30"/>
  <c r="H27" i="30"/>
  <c r="I37" i="30"/>
  <c r="H9" i="31"/>
  <c r="H32" i="31"/>
  <c r="J35" i="34"/>
  <c r="H35" i="34"/>
  <c r="J11" i="40"/>
  <c r="I11" i="40"/>
  <c r="H11" i="40"/>
  <c r="J15" i="53"/>
  <c r="I15" i="53"/>
  <c r="H15" i="53"/>
  <c r="J14" i="6"/>
  <c r="J20" i="6"/>
  <c r="J26" i="6"/>
  <c r="I26" i="6"/>
  <c r="J32" i="6"/>
  <c r="J38" i="6"/>
  <c r="J14" i="7"/>
  <c r="I14" i="7"/>
  <c r="H14" i="7"/>
  <c r="I17" i="7"/>
  <c r="H17" i="7"/>
  <c r="J34" i="7"/>
  <c r="I34" i="7"/>
  <c r="H34" i="7"/>
  <c r="J15" i="8"/>
  <c r="I15" i="8"/>
  <c r="H15" i="8"/>
  <c r="J33" i="8"/>
  <c r="I33" i="8"/>
  <c r="H33" i="8"/>
  <c r="J16" i="9"/>
  <c r="I18" i="9"/>
  <c r="J15" i="10"/>
  <c r="I15" i="10"/>
  <c r="J33" i="10"/>
  <c r="J41" i="10"/>
  <c r="J30" i="11"/>
  <c r="J37" i="12"/>
  <c r="I37" i="12"/>
  <c r="H37" i="12"/>
  <c r="J39" i="13"/>
  <c r="H44" i="13"/>
  <c r="I9" i="14"/>
  <c r="H9" i="14"/>
  <c r="I26" i="14"/>
  <c r="H26" i="14"/>
  <c r="D36" i="14"/>
  <c r="H38" i="15"/>
  <c r="J12" i="16"/>
  <c r="I12" i="16"/>
  <c r="J21" i="16"/>
  <c r="I21" i="16"/>
  <c r="J18" i="17"/>
  <c r="I18" i="17"/>
  <c r="J27" i="17"/>
  <c r="I27" i="17"/>
  <c r="D45" i="17"/>
  <c r="I13" i="18"/>
  <c r="I20" i="18"/>
  <c r="J27" i="18"/>
  <c r="I27" i="18"/>
  <c r="H27" i="18"/>
  <c r="J19" i="19"/>
  <c r="I19" i="19"/>
  <c r="H19" i="19"/>
  <c r="E22" i="19"/>
  <c r="J11" i="20"/>
  <c r="I11" i="20"/>
  <c r="E43" i="20"/>
  <c r="G46" i="21"/>
  <c r="D47" i="21" s="1"/>
  <c r="J15" i="21"/>
  <c r="I15" i="21"/>
  <c r="H15" i="21"/>
  <c r="J38" i="21"/>
  <c r="H38" i="21"/>
  <c r="J21" i="22"/>
  <c r="H21" i="22"/>
  <c r="I32" i="23"/>
  <c r="H32" i="23"/>
  <c r="D40" i="23"/>
  <c r="I19" i="25"/>
  <c r="I22" i="25"/>
  <c r="H22" i="25"/>
  <c r="H39" i="25" s="1"/>
  <c r="G37" i="26"/>
  <c r="I19" i="26" s="1"/>
  <c r="J35" i="26"/>
  <c r="I35" i="26"/>
  <c r="E38" i="26"/>
  <c r="H26" i="27"/>
  <c r="J35" i="27"/>
  <c r="H23" i="28"/>
  <c r="H33" i="28"/>
  <c r="I41" i="29"/>
  <c r="H41" i="29"/>
  <c r="J28" i="30"/>
  <c r="I28" i="30"/>
  <c r="H28" i="30"/>
  <c r="H37" i="30"/>
  <c r="E42" i="31"/>
  <c r="J12" i="32"/>
  <c r="H12" i="32"/>
  <c r="J30" i="32"/>
  <c r="I30" i="32"/>
  <c r="H30" i="32"/>
  <c r="J17" i="33"/>
  <c r="H17" i="33"/>
  <c r="J34" i="33"/>
  <c r="H34" i="33"/>
  <c r="J37" i="33"/>
  <c r="H37" i="33"/>
  <c r="F45" i="38"/>
  <c r="J36" i="42"/>
  <c r="J33" i="44"/>
  <c r="H33" i="44"/>
  <c r="I41" i="5"/>
  <c r="J43" i="5"/>
  <c r="H43" i="5"/>
  <c r="J12" i="7"/>
  <c r="I12" i="7"/>
  <c r="I37" i="7"/>
  <c r="H37" i="7"/>
  <c r="C41" i="7"/>
  <c r="J18" i="8"/>
  <c r="I18" i="8"/>
  <c r="H18" i="8"/>
  <c r="J36" i="8"/>
  <c r="I36" i="8"/>
  <c r="H36" i="8"/>
  <c r="D42" i="8"/>
  <c r="J21" i="9"/>
  <c r="I21" i="9"/>
  <c r="H21" i="9"/>
  <c r="J24" i="9"/>
  <c r="I24" i="9"/>
  <c r="H24" i="9"/>
  <c r="J27" i="9"/>
  <c r="I27" i="9"/>
  <c r="H27" i="9"/>
  <c r="H30" i="9"/>
  <c r="C37" i="9"/>
  <c r="J18" i="10"/>
  <c r="J36" i="10"/>
  <c r="J11" i="11"/>
  <c r="I11" i="11"/>
  <c r="H11" i="11"/>
  <c r="J22" i="11"/>
  <c r="I22" i="11"/>
  <c r="J33" i="11"/>
  <c r="I33" i="11"/>
  <c r="I35" i="11"/>
  <c r="I40" i="11"/>
  <c r="H40" i="11"/>
  <c r="J29" i="12"/>
  <c r="I29" i="12"/>
  <c r="H29" i="12"/>
  <c r="J9" i="13"/>
  <c r="G49" i="13"/>
  <c r="H9" i="13"/>
  <c r="J18" i="13"/>
  <c r="H18" i="13"/>
  <c r="J27" i="13"/>
  <c r="H27" i="13"/>
  <c r="J36" i="13"/>
  <c r="H36" i="13"/>
  <c r="I30" i="14"/>
  <c r="E36" i="14"/>
  <c r="J11" i="15"/>
  <c r="I16" i="15"/>
  <c r="H16" i="15"/>
  <c r="H39" i="15" s="1"/>
  <c r="C40" i="15"/>
  <c r="J24" i="16"/>
  <c r="I24" i="16"/>
  <c r="J29" i="16"/>
  <c r="I29" i="16"/>
  <c r="H29" i="16"/>
  <c r="H39" i="16" s="1"/>
  <c r="E45" i="17"/>
  <c r="J18" i="18"/>
  <c r="I18" i="18"/>
  <c r="H18" i="18"/>
  <c r="I23" i="18"/>
  <c r="J30" i="18"/>
  <c r="I30" i="18"/>
  <c r="H30" i="18"/>
  <c r="C39" i="18"/>
  <c r="I17" i="19"/>
  <c r="F22" i="19"/>
  <c r="J14" i="20"/>
  <c r="I14" i="20"/>
  <c r="J38" i="20"/>
  <c r="I38" i="20"/>
  <c r="F43" i="20"/>
  <c r="I18" i="21"/>
  <c r="H18" i="21"/>
  <c r="I41" i="21"/>
  <c r="H41" i="21"/>
  <c r="E47" i="21"/>
  <c r="J24" i="22"/>
  <c r="H24" i="22"/>
  <c r="J27" i="22"/>
  <c r="J29" i="23"/>
  <c r="I29" i="23"/>
  <c r="H29" i="23"/>
  <c r="I12" i="26"/>
  <c r="H12" i="26"/>
  <c r="I21" i="26"/>
  <c r="I30" i="26"/>
  <c r="H30" i="26"/>
  <c r="I45" i="27"/>
  <c r="J31" i="28"/>
  <c r="J32" i="30"/>
  <c r="I32" i="30"/>
  <c r="J23" i="31"/>
  <c r="I23" i="31"/>
  <c r="J26" i="34"/>
  <c r="H26" i="34"/>
  <c r="I26" i="36"/>
  <c r="H26" i="36"/>
  <c r="J18" i="42"/>
  <c r="I18" i="42"/>
  <c r="I35" i="35"/>
  <c r="H35" i="35"/>
  <c r="J35" i="35"/>
  <c r="J16" i="36"/>
  <c r="H16" i="36"/>
  <c r="H24" i="41"/>
  <c r="J39" i="41"/>
  <c r="H39" i="41"/>
  <c r="H18" i="42"/>
  <c r="J17" i="23"/>
  <c r="I17" i="23"/>
  <c r="H17" i="23"/>
  <c r="E40" i="23"/>
  <c r="J17" i="24"/>
  <c r="H17" i="24"/>
  <c r="J29" i="24"/>
  <c r="H29" i="24"/>
  <c r="H34" i="24"/>
  <c r="G39" i="25"/>
  <c r="J13" i="25"/>
  <c r="I13" i="25"/>
  <c r="J29" i="25"/>
  <c r="H29" i="25"/>
  <c r="I34" i="25"/>
  <c r="J36" i="25"/>
  <c r="I36" i="25"/>
  <c r="H36" i="25"/>
  <c r="I17" i="26"/>
  <c r="F38" i="26"/>
  <c r="J10" i="28"/>
  <c r="H10" i="28"/>
  <c r="H38" i="28" s="1"/>
  <c r="J33" i="29"/>
  <c r="E44" i="29"/>
  <c r="J19" i="30"/>
  <c r="I19" i="30"/>
  <c r="C39" i="30"/>
  <c r="J26" i="31"/>
  <c r="J37" i="31"/>
  <c r="I37" i="31"/>
  <c r="H37" i="31"/>
  <c r="J37" i="32"/>
  <c r="J22" i="33"/>
  <c r="I22" i="33"/>
  <c r="H22" i="33"/>
  <c r="H40" i="33"/>
  <c r="G38" i="34"/>
  <c r="J9" i="34"/>
  <c r="I9" i="34"/>
  <c r="J24" i="34"/>
  <c r="E41" i="35"/>
  <c r="J11" i="36"/>
  <c r="I21" i="36"/>
  <c r="H24" i="36"/>
  <c r="J24" i="36"/>
  <c r="J22" i="37"/>
  <c r="I22" i="37"/>
  <c r="H22" i="37"/>
  <c r="E45" i="37"/>
  <c r="J34" i="41"/>
  <c r="H34" i="41"/>
  <c r="J13" i="43"/>
  <c r="I13" i="43"/>
  <c r="H18" i="43"/>
  <c r="J18" i="46"/>
  <c r="H18" i="46"/>
  <c r="J47" i="48"/>
  <c r="I47" i="48"/>
  <c r="E49" i="48"/>
  <c r="I28" i="60"/>
  <c r="H28" i="60"/>
  <c r="J28" i="60"/>
  <c r="H12" i="9"/>
  <c r="H15" i="9"/>
  <c r="H18" i="9"/>
  <c r="H34" i="9"/>
  <c r="H11" i="10"/>
  <c r="H14" i="10"/>
  <c r="H47" i="10" s="1"/>
  <c r="H17" i="10"/>
  <c r="H20" i="10"/>
  <c r="H23" i="10"/>
  <c r="H26" i="10"/>
  <c r="H29" i="10"/>
  <c r="H32" i="10"/>
  <c r="H35" i="10"/>
  <c r="H38" i="10"/>
  <c r="H40" i="10"/>
  <c r="H43" i="10"/>
  <c r="H19" i="11"/>
  <c r="H21" i="11"/>
  <c r="H24" i="11"/>
  <c r="H29" i="11"/>
  <c r="H32" i="11"/>
  <c r="H35" i="11"/>
  <c r="H21" i="12"/>
  <c r="H24" i="12"/>
  <c r="H39" i="12"/>
  <c r="H38" i="13"/>
  <c r="H48" i="13"/>
  <c r="H11" i="14"/>
  <c r="H14" i="14"/>
  <c r="H17" i="14"/>
  <c r="H20" i="14"/>
  <c r="H23" i="14"/>
  <c r="H28" i="14"/>
  <c r="H33" i="14"/>
  <c r="H32" i="17"/>
  <c r="H39" i="17"/>
  <c r="F40" i="23"/>
  <c r="J15" i="24"/>
  <c r="H22" i="24"/>
  <c r="J32" i="24"/>
  <c r="I32" i="25"/>
  <c r="J13" i="27"/>
  <c r="I13" i="27"/>
  <c r="H13" i="27"/>
  <c r="J22" i="27"/>
  <c r="H22" i="27"/>
  <c r="J31" i="27"/>
  <c r="I31" i="27"/>
  <c r="H31" i="27"/>
  <c r="E49" i="27"/>
  <c r="J15" i="28"/>
  <c r="H15" i="28"/>
  <c r="J20" i="28"/>
  <c r="I20" i="28"/>
  <c r="J27" i="28"/>
  <c r="H27" i="28"/>
  <c r="G43" i="29"/>
  <c r="I13" i="29" s="1"/>
  <c r="J9" i="29"/>
  <c r="I9" i="29"/>
  <c r="H9" i="29"/>
  <c r="J18" i="29"/>
  <c r="H18" i="29"/>
  <c r="I27" i="29"/>
  <c r="H27" i="29"/>
  <c r="D39" i="30"/>
  <c r="J14" i="31"/>
  <c r="J20" i="31"/>
  <c r="I20" i="31"/>
  <c r="H37" i="32"/>
  <c r="J25" i="33"/>
  <c r="H25" i="33"/>
  <c r="J43" i="33"/>
  <c r="H9" i="34"/>
  <c r="H24" i="34"/>
  <c r="H33" i="34"/>
  <c r="J33" i="34"/>
  <c r="I33" i="34"/>
  <c r="H28" i="35"/>
  <c r="J28" i="35"/>
  <c r="H11" i="36"/>
  <c r="H21" i="36"/>
  <c r="I24" i="36"/>
  <c r="J36" i="37"/>
  <c r="J21" i="38"/>
  <c r="I21" i="38"/>
  <c r="H21" i="38"/>
  <c r="J24" i="38"/>
  <c r="H24" i="38"/>
  <c r="J12" i="39"/>
  <c r="I12" i="39"/>
  <c r="H12" i="39"/>
  <c r="G42" i="39"/>
  <c r="E43" i="39" s="1"/>
  <c r="J15" i="41"/>
  <c r="H15" i="41"/>
  <c r="G46" i="42"/>
  <c r="J9" i="42"/>
  <c r="I9" i="42"/>
  <c r="J27" i="42"/>
  <c r="I27" i="42"/>
  <c r="C47" i="42"/>
  <c r="H13" i="43"/>
  <c r="J11" i="48"/>
  <c r="I11" i="48"/>
  <c r="H11" i="48"/>
  <c r="H48" i="48" s="1"/>
  <c r="J24" i="48"/>
  <c r="I24" i="48"/>
  <c r="H24" i="48"/>
  <c r="H47" i="48"/>
  <c r="J42" i="50"/>
  <c r="H42" i="50"/>
  <c r="I34" i="9"/>
  <c r="I23" i="10"/>
  <c r="I43" i="10"/>
  <c r="I21" i="11"/>
  <c r="I24" i="11"/>
  <c r="I29" i="11"/>
  <c r="I32" i="11"/>
  <c r="I21" i="12"/>
  <c r="I24" i="12"/>
  <c r="I11" i="14"/>
  <c r="I14" i="14"/>
  <c r="I17" i="14"/>
  <c r="I20" i="14"/>
  <c r="I28" i="14"/>
  <c r="I33" i="14"/>
  <c r="J20" i="23"/>
  <c r="I20" i="23"/>
  <c r="H20" i="23"/>
  <c r="G43" i="24"/>
  <c r="I17" i="24" s="1"/>
  <c r="I38" i="24"/>
  <c r="H38" i="24"/>
  <c r="J16" i="25"/>
  <c r="I16" i="25"/>
  <c r="F40" i="25"/>
  <c r="J25" i="26"/>
  <c r="I25" i="26"/>
  <c r="I32" i="26"/>
  <c r="H32" i="26"/>
  <c r="J13" i="30"/>
  <c r="I13" i="30"/>
  <c r="I22" i="30"/>
  <c r="J24" i="30"/>
  <c r="I24" i="30"/>
  <c r="H24" i="30"/>
  <c r="J29" i="31"/>
  <c r="I29" i="31"/>
  <c r="I40" i="31"/>
  <c r="H40" i="31"/>
  <c r="G45" i="32"/>
  <c r="E46" i="32" s="1"/>
  <c r="J9" i="32"/>
  <c r="I9" i="32"/>
  <c r="J15" i="32"/>
  <c r="I15" i="32"/>
  <c r="J21" i="32"/>
  <c r="I21" i="32"/>
  <c r="J27" i="32"/>
  <c r="I27" i="32"/>
  <c r="I40" i="32"/>
  <c r="J42" i="32"/>
  <c r="H42" i="32"/>
  <c r="J28" i="33"/>
  <c r="H28" i="33"/>
  <c r="J12" i="34"/>
  <c r="I12" i="34"/>
  <c r="D39" i="34"/>
  <c r="I38" i="40"/>
  <c r="H38" i="40"/>
  <c r="J26" i="41"/>
  <c r="H26" i="41"/>
  <c r="J29" i="41"/>
  <c r="H29" i="41"/>
  <c r="I44" i="42"/>
  <c r="D47" i="42"/>
  <c r="J38" i="44"/>
  <c r="I37" i="45"/>
  <c r="H37" i="45"/>
  <c r="J37" i="45"/>
  <c r="J36" i="47"/>
  <c r="I43" i="48"/>
  <c r="I40" i="48"/>
  <c r="I37" i="48"/>
  <c r="I34" i="48"/>
  <c r="I31" i="48"/>
  <c r="I23" i="48"/>
  <c r="I18" i="48"/>
  <c r="I15" i="48"/>
  <c r="I10" i="48"/>
  <c r="I46" i="48"/>
  <c r="I29" i="48"/>
  <c r="I26" i="48"/>
  <c r="I21" i="48"/>
  <c r="I13" i="48"/>
  <c r="I36" i="48"/>
  <c r="I33" i="48"/>
  <c r="I28" i="48"/>
  <c r="I20" i="48"/>
  <c r="I12" i="48"/>
  <c r="I30" i="48"/>
  <c r="I25" i="48"/>
  <c r="I17" i="48"/>
  <c r="I9" i="48"/>
  <c r="I45" i="48"/>
  <c r="I22" i="48"/>
  <c r="I14" i="48"/>
  <c r="I42" i="48"/>
  <c r="I39" i="48"/>
  <c r="J24" i="50"/>
  <c r="H24" i="50"/>
  <c r="H9" i="21"/>
  <c r="H46" i="21" s="1"/>
  <c r="H12" i="23"/>
  <c r="I14" i="23"/>
  <c r="H14" i="23"/>
  <c r="J23" i="23"/>
  <c r="I23" i="23"/>
  <c r="H23" i="23"/>
  <c r="J10" i="25"/>
  <c r="I10" i="25"/>
  <c r="H16" i="25"/>
  <c r="I9" i="26"/>
  <c r="H9" i="26"/>
  <c r="H37" i="26" s="1"/>
  <c r="I23" i="26"/>
  <c r="H25" i="26"/>
  <c r="H14" i="27"/>
  <c r="J16" i="27"/>
  <c r="I16" i="27"/>
  <c r="H16" i="27"/>
  <c r="H23" i="27"/>
  <c r="J25" i="27"/>
  <c r="H25" i="27"/>
  <c r="H32" i="27"/>
  <c r="J34" i="27"/>
  <c r="H34" i="27"/>
  <c r="J42" i="27"/>
  <c r="I42" i="27"/>
  <c r="G38" i="28"/>
  <c r="I23" i="28" s="1"/>
  <c r="H18" i="28"/>
  <c r="H25" i="28"/>
  <c r="H28" i="28"/>
  <c r="J30" i="28"/>
  <c r="I30" i="28"/>
  <c r="H30" i="28"/>
  <c r="H10" i="29"/>
  <c r="J12" i="29"/>
  <c r="H12" i="29"/>
  <c r="H19" i="29"/>
  <c r="J21" i="29"/>
  <c r="H21" i="29"/>
  <c r="J30" i="29"/>
  <c r="I30" i="29"/>
  <c r="J36" i="29"/>
  <c r="I36" i="29"/>
  <c r="H13" i="30"/>
  <c r="H38" i="30" s="1"/>
  <c r="H22" i="30"/>
  <c r="I34" i="30"/>
  <c r="H34" i="30"/>
  <c r="H29" i="31"/>
  <c r="H9" i="32"/>
  <c r="H15" i="32"/>
  <c r="H21" i="32"/>
  <c r="H27" i="32"/>
  <c r="H40" i="32"/>
  <c r="J11" i="33"/>
  <c r="H11" i="33"/>
  <c r="J14" i="33"/>
  <c r="I14" i="33"/>
  <c r="J31" i="33"/>
  <c r="H31" i="33"/>
  <c r="H12" i="34"/>
  <c r="J17" i="34"/>
  <c r="I17" i="34"/>
  <c r="H17" i="34"/>
  <c r="H28" i="36"/>
  <c r="I10" i="37"/>
  <c r="H10" i="37"/>
  <c r="H44" i="37" s="1"/>
  <c r="J13" i="37"/>
  <c r="H13" i="37"/>
  <c r="E45" i="38"/>
  <c r="J27" i="39"/>
  <c r="I27" i="39"/>
  <c r="H27" i="39"/>
  <c r="J30" i="39"/>
  <c r="I30" i="39"/>
  <c r="H30" i="39"/>
  <c r="C40" i="40"/>
  <c r="H44" i="42"/>
  <c r="E47" i="42"/>
  <c r="H38" i="44"/>
  <c r="H36" i="47"/>
  <c r="I11" i="35"/>
  <c r="H11" i="35"/>
  <c r="H40" i="35" s="1"/>
  <c r="C41" i="35"/>
  <c r="J27" i="37"/>
  <c r="I27" i="37"/>
  <c r="H27" i="37"/>
  <c r="F45" i="37"/>
  <c r="G44" i="38"/>
  <c r="C45" i="38" s="1"/>
  <c r="J9" i="38"/>
  <c r="I9" i="38"/>
  <c r="H9" i="38"/>
  <c r="J27" i="38"/>
  <c r="I27" i="38"/>
  <c r="H27" i="38"/>
  <c r="J15" i="39"/>
  <c r="H15" i="39"/>
  <c r="H42" i="39" s="1"/>
  <c r="I33" i="39"/>
  <c r="H33" i="39"/>
  <c r="G39" i="40"/>
  <c r="J14" i="40"/>
  <c r="I14" i="40"/>
  <c r="J22" i="40"/>
  <c r="I22" i="40"/>
  <c r="H22" i="40"/>
  <c r="H39" i="40" s="1"/>
  <c r="J33" i="40"/>
  <c r="I33" i="40"/>
  <c r="H33" i="40"/>
  <c r="D40" i="40"/>
  <c r="H42" i="41"/>
  <c r="J12" i="42"/>
  <c r="I12" i="42"/>
  <c r="J21" i="42"/>
  <c r="I21" i="42"/>
  <c r="J30" i="42"/>
  <c r="I30" i="42"/>
  <c r="F47" i="42"/>
  <c r="I16" i="43"/>
  <c r="J24" i="44"/>
  <c r="H24" i="44"/>
  <c r="J22" i="45"/>
  <c r="H22" i="45"/>
  <c r="J29" i="46"/>
  <c r="H29" i="46"/>
  <c r="H40" i="46"/>
  <c r="G48" i="47"/>
  <c r="I18" i="47" s="1"/>
  <c r="E49" i="47"/>
  <c r="J16" i="50"/>
  <c r="H16" i="50"/>
  <c r="J37" i="63"/>
  <c r="H37" i="63"/>
  <c r="I37" i="63"/>
  <c r="J39" i="65"/>
  <c r="H39" i="65"/>
  <c r="J29" i="34"/>
  <c r="I29" i="34"/>
  <c r="I9" i="35"/>
  <c r="J11" i="35"/>
  <c r="I24" i="35"/>
  <c r="H24" i="35"/>
  <c r="I38" i="35"/>
  <c r="H38" i="35"/>
  <c r="D41" i="35"/>
  <c r="G44" i="37"/>
  <c r="I43" i="37" s="1"/>
  <c r="J16" i="37"/>
  <c r="I16" i="37"/>
  <c r="I25" i="37"/>
  <c r="J30" i="37"/>
  <c r="J12" i="38"/>
  <c r="I12" i="38"/>
  <c r="H12" i="38"/>
  <c r="J30" i="38"/>
  <c r="I30" i="38"/>
  <c r="H30" i="38"/>
  <c r="J18" i="39"/>
  <c r="H18" i="39"/>
  <c r="J36" i="39"/>
  <c r="I36" i="39"/>
  <c r="H14" i="40"/>
  <c r="J17" i="40"/>
  <c r="I17" i="40"/>
  <c r="J25" i="40"/>
  <c r="I25" i="40"/>
  <c r="H25" i="40"/>
  <c r="I36" i="40"/>
  <c r="H36" i="40"/>
  <c r="J9" i="41"/>
  <c r="G43" i="41"/>
  <c r="J18" i="41"/>
  <c r="H12" i="42"/>
  <c r="H46" i="42" s="1"/>
  <c r="H21" i="42"/>
  <c r="H30" i="42"/>
  <c r="F40" i="43"/>
  <c r="J29" i="44"/>
  <c r="H29" i="44"/>
  <c r="J47" i="44"/>
  <c r="H47" i="44"/>
  <c r="H30" i="45"/>
  <c r="I35" i="45"/>
  <c r="H35" i="45"/>
  <c r="J46" i="47"/>
  <c r="I46" i="47"/>
  <c r="H46" i="47"/>
  <c r="F49" i="47"/>
  <c r="J16" i="48"/>
  <c r="I16" i="48"/>
  <c r="H16" i="48"/>
  <c r="J19" i="48"/>
  <c r="I19" i="48"/>
  <c r="H19" i="48"/>
  <c r="J29" i="49"/>
  <c r="H29" i="49"/>
  <c r="I14" i="51"/>
  <c r="H14" i="51"/>
  <c r="J14" i="51"/>
  <c r="H21" i="51"/>
  <c r="J21" i="51"/>
  <c r="H34" i="52"/>
  <c r="J34" i="52"/>
  <c r="J16" i="54"/>
  <c r="H16" i="54"/>
  <c r="J28" i="63"/>
  <c r="I28" i="63"/>
  <c r="H28" i="63"/>
  <c r="J23" i="34"/>
  <c r="I23" i="34"/>
  <c r="I14" i="35"/>
  <c r="H14" i="35"/>
  <c r="I19" i="35"/>
  <c r="H19" i="35"/>
  <c r="J27" i="35"/>
  <c r="I27" i="35"/>
  <c r="H13" i="36"/>
  <c r="J23" i="36"/>
  <c r="I23" i="36"/>
  <c r="J43" i="37"/>
  <c r="H43" i="37"/>
  <c r="J15" i="38"/>
  <c r="I15" i="38"/>
  <c r="H15" i="38"/>
  <c r="J33" i="38"/>
  <c r="I33" i="38"/>
  <c r="H33" i="38"/>
  <c r="J41" i="38"/>
  <c r="I41" i="38"/>
  <c r="H41" i="38"/>
  <c r="J21" i="39"/>
  <c r="H21" i="39"/>
  <c r="J20" i="40"/>
  <c r="I20" i="40"/>
  <c r="J28" i="40"/>
  <c r="I28" i="40"/>
  <c r="H28" i="40"/>
  <c r="J31" i="40"/>
  <c r="I31" i="40"/>
  <c r="H43" i="41"/>
  <c r="J15" i="42"/>
  <c r="I15" i="42"/>
  <c r="J24" i="42"/>
  <c r="I24" i="42"/>
  <c r="J33" i="42"/>
  <c r="I33" i="42"/>
  <c r="J38" i="42"/>
  <c r="I38" i="42"/>
  <c r="H38" i="42"/>
  <c r="J10" i="43"/>
  <c r="I10" i="43"/>
  <c r="J20" i="43"/>
  <c r="I20" i="43"/>
  <c r="H20" i="43"/>
  <c r="I33" i="43"/>
  <c r="H33" i="43"/>
  <c r="J15" i="44"/>
  <c r="H15" i="44"/>
  <c r="J14" i="45"/>
  <c r="I14" i="45"/>
  <c r="H14" i="45"/>
  <c r="J20" i="45"/>
  <c r="J12" i="46"/>
  <c r="H12" i="46"/>
  <c r="J18" i="47"/>
  <c r="H18" i="47"/>
  <c r="J21" i="47"/>
  <c r="I21" i="47"/>
  <c r="H21" i="47"/>
  <c r="J32" i="48"/>
  <c r="I32" i="48"/>
  <c r="H32" i="48"/>
  <c r="C41" i="49"/>
  <c r="J26" i="52"/>
  <c r="J31" i="53"/>
  <c r="H31" i="53"/>
  <c r="J13" i="57"/>
  <c r="I13" i="57"/>
  <c r="H13" i="57"/>
  <c r="J32" i="34"/>
  <c r="I32" i="34"/>
  <c r="I37" i="34"/>
  <c r="H37" i="34"/>
  <c r="I17" i="35"/>
  <c r="I32" i="35"/>
  <c r="H32" i="35"/>
  <c r="F41" i="35"/>
  <c r="G35" i="36"/>
  <c r="I13" i="36" s="1"/>
  <c r="H9" i="36"/>
  <c r="I18" i="36"/>
  <c r="H18" i="36"/>
  <c r="J19" i="37"/>
  <c r="J33" i="37"/>
  <c r="I33" i="37"/>
  <c r="C45" i="37"/>
  <c r="J18" i="38"/>
  <c r="I18" i="38"/>
  <c r="H18" i="38"/>
  <c r="J36" i="38"/>
  <c r="I36" i="38"/>
  <c r="H36" i="38"/>
  <c r="J24" i="39"/>
  <c r="I24" i="39"/>
  <c r="H24" i="39"/>
  <c r="I39" i="39"/>
  <c r="C43" i="39"/>
  <c r="J12" i="41"/>
  <c r="J21" i="41"/>
  <c r="J41" i="42"/>
  <c r="I41" i="42"/>
  <c r="H41" i="42"/>
  <c r="J23" i="43"/>
  <c r="I23" i="43"/>
  <c r="H23" i="43"/>
  <c r="J20" i="44"/>
  <c r="H20" i="44"/>
  <c r="H24" i="45"/>
  <c r="J38" i="46"/>
  <c r="H38" i="46"/>
  <c r="J27" i="48"/>
  <c r="I27" i="48"/>
  <c r="E39" i="51"/>
  <c r="J32" i="52"/>
  <c r="H32" i="52"/>
  <c r="H18" i="53"/>
  <c r="J13" i="56"/>
  <c r="H13" i="56"/>
  <c r="J37" i="58"/>
  <c r="H37" i="58"/>
  <c r="F40" i="58"/>
  <c r="J19" i="59"/>
  <c r="H19" i="59"/>
  <c r="H38" i="43"/>
  <c r="H11" i="44"/>
  <c r="H48" i="44" s="1"/>
  <c r="H16" i="45"/>
  <c r="H14" i="46"/>
  <c r="J20" i="46"/>
  <c r="H20" i="46"/>
  <c r="J23" i="46"/>
  <c r="J24" i="47"/>
  <c r="I24" i="47"/>
  <c r="H24" i="47"/>
  <c r="J35" i="48"/>
  <c r="I35" i="48"/>
  <c r="H35" i="48"/>
  <c r="C49" i="48"/>
  <c r="H36" i="51"/>
  <c r="H10" i="52"/>
  <c r="J10" i="52"/>
  <c r="G39" i="52"/>
  <c r="I10" i="52" s="1"/>
  <c r="J20" i="53"/>
  <c r="H35" i="53"/>
  <c r="I35" i="55"/>
  <c r="H35" i="55"/>
  <c r="G44" i="55"/>
  <c r="F45" i="55" s="1"/>
  <c r="D28" i="57"/>
  <c r="H12" i="58"/>
  <c r="H39" i="58" s="1"/>
  <c r="I32" i="58"/>
  <c r="H25" i="62"/>
  <c r="J25" i="62"/>
  <c r="J43" i="62"/>
  <c r="H43" i="62"/>
  <c r="J9" i="63"/>
  <c r="H9" i="63"/>
  <c r="G46" i="63"/>
  <c r="I9" i="63"/>
  <c r="G39" i="43"/>
  <c r="I30" i="43"/>
  <c r="H30" i="43"/>
  <c r="H39" i="43" s="1"/>
  <c r="J36" i="43"/>
  <c r="J9" i="44"/>
  <c r="J17" i="44"/>
  <c r="J26" i="44"/>
  <c r="J35" i="44"/>
  <c r="J41" i="44"/>
  <c r="G48" i="44"/>
  <c r="H27" i="45"/>
  <c r="G41" i="45"/>
  <c r="J32" i="46"/>
  <c r="J9" i="47"/>
  <c r="H9" i="47"/>
  <c r="J27" i="47"/>
  <c r="I27" i="47"/>
  <c r="H27" i="47"/>
  <c r="J38" i="48"/>
  <c r="I38" i="48"/>
  <c r="H38" i="48"/>
  <c r="D49" i="48"/>
  <c r="F41" i="49"/>
  <c r="J30" i="50"/>
  <c r="H30" i="50"/>
  <c r="I28" i="51"/>
  <c r="H28" i="51"/>
  <c r="J28" i="51"/>
  <c r="H37" i="51"/>
  <c r="H16" i="52"/>
  <c r="J16" i="52"/>
  <c r="I13" i="53"/>
  <c r="J36" i="53"/>
  <c r="H36" i="53"/>
  <c r="I43" i="55"/>
  <c r="H43" i="55"/>
  <c r="I24" i="57"/>
  <c r="H24" i="57"/>
  <c r="G37" i="59"/>
  <c r="I34" i="59" s="1"/>
  <c r="F38" i="59"/>
  <c r="G42" i="65"/>
  <c r="I39" i="65" s="1"/>
  <c r="J19" i="45"/>
  <c r="I19" i="45"/>
  <c r="G43" i="46"/>
  <c r="D44" i="46" s="1"/>
  <c r="J9" i="46"/>
  <c r="J12" i="47"/>
  <c r="H12" i="47"/>
  <c r="J30" i="47"/>
  <c r="I30" i="47"/>
  <c r="H30" i="47"/>
  <c r="J41" i="48"/>
  <c r="I41" i="48"/>
  <c r="H41" i="48"/>
  <c r="I11" i="49"/>
  <c r="H11" i="49"/>
  <c r="H40" i="49" s="1"/>
  <c r="I22" i="49"/>
  <c r="J14" i="52"/>
  <c r="I22" i="52"/>
  <c r="H22" i="52"/>
  <c r="J22" i="52"/>
  <c r="J29" i="54"/>
  <c r="H29" i="54"/>
  <c r="H35" i="54"/>
  <c r="J16" i="57"/>
  <c r="I16" i="57"/>
  <c r="H16" i="57"/>
  <c r="H27" i="57" s="1"/>
  <c r="I25" i="57"/>
  <c r="H25" i="57"/>
  <c r="J25" i="57"/>
  <c r="C40" i="58"/>
  <c r="J40" i="60"/>
  <c r="I40" i="60"/>
  <c r="H40" i="60"/>
  <c r="H34" i="61"/>
  <c r="J34" i="61"/>
  <c r="J24" i="64"/>
  <c r="H24" i="64"/>
  <c r="H38" i="64" s="1"/>
  <c r="J14" i="44"/>
  <c r="J23" i="44"/>
  <c r="J32" i="44"/>
  <c r="J46" i="44"/>
  <c r="I11" i="45"/>
  <c r="I13" i="45"/>
  <c r="H13" i="45"/>
  <c r="H41" i="45" s="1"/>
  <c r="H17" i="45"/>
  <c r="H19" i="45"/>
  <c r="C42" i="45"/>
  <c r="H9" i="46"/>
  <c r="H11" i="46"/>
  <c r="H15" i="46"/>
  <c r="H17" i="46"/>
  <c r="J26" i="46"/>
  <c r="I26" i="46"/>
  <c r="J35" i="46"/>
  <c r="J15" i="47"/>
  <c r="I15" i="47"/>
  <c r="H15" i="47"/>
  <c r="I33" i="47"/>
  <c r="H33" i="47"/>
  <c r="J43" i="47"/>
  <c r="H43" i="47"/>
  <c r="D49" i="47"/>
  <c r="I44" i="48"/>
  <c r="H44" i="48"/>
  <c r="I9" i="49"/>
  <c r="G40" i="49"/>
  <c r="J11" i="49"/>
  <c r="H22" i="49"/>
  <c r="G44" i="50"/>
  <c r="I30" i="50" s="1"/>
  <c r="J36" i="50"/>
  <c r="H36" i="50"/>
  <c r="I26" i="51"/>
  <c r="H26" i="51"/>
  <c r="H14" i="52"/>
  <c r="J20" i="52"/>
  <c r="H28" i="52"/>
  <c r="J28" i="52"/>
  <c r="J33" i="53"/>
  <c r="I33" i="53"/>
  <c r="H33" i="53"/>
  <c r="G40" i="54"/>
  <c r="I16" i="54" s="1"/>
  <c r="J35" i="54"/>
  <c r="J16" i="56"/>
  <c r="H16" i="56"/>
  <c r="G27" i="57"/>
  <c r="J20" i="58"/>
  <c r="H20" i="58"/>
  <c r="I34" i="61"/>
  <c r="I40" i="63"/>
  <c r="H40" i="63"/>
  <c r="H32" i="66"/>
  <c r="J9" i="48"/>
  <c r="J14" i="49"/>
  <c r="I31" i="49"/>
  <c r="H31" i="49"/>
  <c r="D41" i="49"/>
  <c r="J12" i="50"/>
  <c r="I12" i="50"/>
  <c r="H20" i="50"/>
  <c r="H26" i="50"/>
  <c r="I32" i="50"/>
  <c r="H32" i="50"/>
  <c r="H38" i="50"/>
  <c r="I19" i="51"/>
  <c r="H19" i="51"/>
  <c r="I24" i="51"/>
  <c r="G38" i="51"/>
  <c r="F39" i="51" s="1"/>
  <c r="H27" i="53"/>
  <c r="I38" i="53"/>
  <c r="J18" i="54"/>
  <c r="I18" i="54"/>
  <c r="H33" i="54"/>
  <c r="H38" i="54"/>
  <c r="J11" i="55"/>
  <c r="I11" i="55"/>
  <c r="H11" i="55"/>
  <c r="J14" i="55"/>
  <c r="H14" i="55"/>
  <c r="J11" i="56"/>
  <c r="J19" i="56"/>
  <c r="H19" i="56"/>
  <c r="J22" i="56"/>
  <c r="H22" i="56"/>
  <c r="G45" i="56"/>
  <c r="J14" i="57"/>
  <c r="I14" i="57"/>
  <c r="E28" i="57"/>
  <c r="I13" i="58"/>
  <c r="H13" i="58"/>
  <c r="J17" i="58"/>
  <c r="J26" i="58"/>
  <c r="I36" i="59"/>
  <c r="H36" i="59"/>
  <c r="H37" i="59" s="1"/>
  <c r="J14" i="60"/>
  <c r="J16" i="61"/>
  <c r="J31" i="61"/>
  <c r="I31" i="61"/>
  <c r="H31" i="61"/>
  <c r="J22" i="62"/>
  <c r="H22" i="62"/>
  <c r="J13" i="63"/>
  <c r="I13" i="63"/>
  <c r="H13" i="63"/>
  <c r="I31" i="63"/>
  <c r="H31" i="63"/>
  <c r="H33" i="65"/>
  <c r="D43" i="65"/>
  <c r="J12" i="71"/>
  <c r="G36" i="71"/>
  <c r="H12" i="71"/>
  <c r="J13" i="72"/>
  <c r="H13" i="72"/>
  <c r="J22" i="72"/>
  <c r="H22" i="72"/>
  <c r="H12" i="49"/>
  <c r="H14" i="49"/>
  <c r="J31" i="49"/>
  <c r="H36" i="49"/>
  <c r="I38" i="49"/>
  <c r="H38" i="49"/>
  <c r="E41" i="49"/>
  <c r="H12" i="50"/>
  <c r="H44" i="50" s="1"/>
  <c r="H18" i="50"/>
  <c r="J20" i="50"/>
  <c r="J26" i="50"/>
  <c r="J32" i="50"/>
  <c r="J38" i="50"/>
  <c r="E45" i="50"/>
  <c r="H10" i="51"/>
  <c r="H38" i="51" s="1"/>
  <c r="I12" i="51"/>
  <c r="H12" i="51"/>
  <c r="J17" i="51"/>
  <c r="I17" i="51"/>
  <c r="H22" i="51"/>
  <c r="H24" i="51"/>
  <c r="J27" i="53"/>
  <c r="H38" i="53"/>
  <c r="E41" i="53"/>
  <c r="H10" i="54"/>
  <c r="H12" i="54"/>
  <c r="H18" i="54"/>
  <c r="H25" i="54"/>
  <c r="H31" i="54"/>
  <c r="J38" i="54"/>
  <c r="I14" i="55"/>
  <c r="J17" i="55"/>
  <c r="I17" i="55"/>
  <c r="H17" i="55"/>
  <c r="J20" i="55"/>
  <c r="H20" i="55"/>
  <c r="J37" i="55"/>
  <c r="I37" i="55"/>
  <c r="H37" i="55"/>
  <c r="J40" i="55"/>
  <c r="I40" i="55"/>
  <c r="H40" i="55"/>
  <c r="H11" i="56"/>
  <c r="J25" i="56"/>
  <c r="I25" i="56"/>
  <c r="H25" i="56"/>
  <c r="J28" i="56"/>
  <c r="H28" i="56"/>
  <c r="J42" i="56"/>
  <c r="H42" i="56"/>
  <c r="H14" i="57"/>
  <c r="I18" i="57"/>
  <c r="H18" i="57"/>
  <c r="I14" i="58"/>
  <c r="H14" i="58"/>
  <c r="J14" i="58"/>
  <c r="H17" i="58"/>
  <c r="H26" i="58"/>
  <c r="J25" i="59"/>
  <c r="I25" i="59"/>
  <c r="H14" i="60"/>
  <c r="I37" i="60"/>
  <c r="H37" i="60"/>
  <c r="G41" i="61"/>
  <c r="H16" i="61"/>
  <c r="J32" i="62"/>
  <c r="H32" i="62"/>
  <c r="J30" i="65"/>
  <c r="H30" i="65"/>
  <c r="I25" i="69"/>
  <c r="D46" i="69"/>
  <c r="I19" i="49"/>
  <c r="I21" i="49"/>
  <c r="H21" i="49"/>
  <c r="J41" i="50"/>
  <c r="F45" i="50"/>
  <c r="I31" i="51"/>
  <c r="H31" i="51"/>
  <c r="H13" i="52"/>
  <c r="H19" i="52"/>
  <c r="H25" i="52"/>
  <c r="H31" i="52"/>
  <c r="I12" i="53"/>
  <c r="H12" i="53"/>
  <c r="H40" i="53" s="1"/>
  <c r="H25" i="53"/>
  <c r="J30" i="53"/>
  <c r="I30" i="53"/>
  <c r="F41" i="53"/>
  <c r="J23" i="55"/>
  <c r="I23" i="55"/>
  <c r="H23" i="55"/>
  <c r="J26" i="55"/>
  <c r="H26" i="55"/>
  <c r="J41" i="55"/>
  <c r="I41" i="55"/>
  <c r="D45" i="55"/>
  <c r="J31" i="56"/>
  <c r="I31" i="56"/>
  <c r="H31" i="56"/>
  <c r="J34" i="56"/>
  <c r="H34" i="56"/>
  <c r="J43" i="56"/>
  <c r="C46" i="56"/>
  <c r="I19" i="57"/>
  <c r="H19" i="57"/>
  <c r="J15" i="58"/>
  <c r="I15" i="58"/>
  <c r="H12" i="60"/>
  <c r="J12" i="60"/>
  <c r="H38" i="60"/>
  <c r="J38" i="60"/>
  <c r="C42" i="61"/>
  <c r="H28" i="62"/>
  <c r="J28" i="62"/>
  <c r="H46" i="62"/>
  <c r="E47" i="63"/>
  <c r="G38" i="64"/>
  <c r="I28" i="64" s="1"/>
  <c r="H16" i="68"/>
  <c r="H33" i="68"/>
  <c r="I26" i="49"/>
  <c r="I28" i="49"/>
  <c r="H28" i="49"/>
  <c r="J15" i="50"/>
  <c r="H23" i="50"/>
  <c r="I29" i="50"/>
  <c r="H29" i="50"/>
  <c r="H35" i="50"/>
  <c r="D39" i="51"/>
  <c r="I17" i="53"/>
  <c r="H17" i="53"/>
  <c r="G40" i="53"/>
  <c r="I35" i="53" s="1"/>
  <c r="J15" i="54"/>
  <c r="H23" i="54"/>
  <c r="J28" i="54"/>
  <c r="J29" i="55"/>
  <c r="I29" i="55"/>
  <c r="H29" i="55"/>
  <c r="J32" i="55"/>
  <c r="H32" i="55"/>
  <c r="E45" i="55"/>
  <c r="J37" i="56"/>
  <c r="H37" i="56"/>
  <c r="J40" i="56"/>
  <c r="H40" i="56"/>
  <c r="J10" i="57"/>
  <c r="I10" i="57"/>
  <c r="I20" i="57"/>
  <c r="H20" i="57"/>
  <c r="H15" i="58"/>
  <c r="H24" i="58"/>
  <c r="D40" i="58"/>
  <c r="J13" i="59"/>
  <c r="I13" i="59"/>
  <c r="J34" i="59"/>
  <c r="H34" i="59"/>
  <c r="E38" i="59"/>
  <c r="I12" i="60"/>
  <c r="H19" i="60"/>
  <c r="D42" i="61"/>
  <c r="J29" i="62"/>
  <c r="H29" i="62"/>
  <c r="J28" i="64"/>
  <c r="H28" i="64"/>
  <c r="I19" i="67"/>
  <c r="J19" i="67"/>
  <c r="H19" i="67"/>
  <c r="I13" i="55"/>
  <c r="H13" i="55"/>
  <c r="I19" i="55"/>
  <c r="H19" i="55"/>
  <c r="I25" i="55"/>
  <c r="H25" i="55"/>
  <c r="I31" i="55"/>
  <c r="H31" i="55"/>
  <c r="H15" i="56"/>
  <c r="H21" i="56"/>
  <c r="H27" i="56"/>
  <c r="H33" i="56"/>
  <c r="H39" i="56"/>
  <c r="I22" i="57"/>
  <c r="H22" i="57"/>
  <c r="I22" i="58"/>
  <c r="J11" i="59"/>
  <c r="H22" i="60"/>
  <c r="H31" i="60"/>
  <c r="J19" i="61"/>
  <c r="I19" i="61"/>
  <c r="E42" i="61"/>
  <c r="J15" i="62"/>
  <c r="H15" i="62"/>
  <c r="J30" i="62"/>
  <c r="J33" i="62"/>
  <c r="H33" i="62"/>
  <c r="J16" i="63"/>
  <c r="I16" i="63"/>
  <c r="H16" i="63"/>
  <c r="J18" i="64"/>
  <c r="H18" i="64"/>
  <c r="J20" i="70"/>
  <c r="H20" i="70"/>
  <c r="J13" i="55"/>
  <c r="J19" i="55"/>
  <c r="J25" i="55"/>
  <c r="J31" i="55"/>
  <c r="C45" i="55"/>
  <c r="J15" i="56"/>
  <c r="J21" i="56"/>
  <c r="J27" i="56"/>
  <c r="J33" i="56"/>
  <c r="J39" i="56"/>
  <c r="H22" i="58"/>
  <c r="J29" i="58"/>
  <c r="I29" i="58"/>
  <c r="E40" i="58"/>
  <c r="J10" i="59"/>
  <c r="J16" i="59"/>
  <c r="J22" i="59"/>
  <c r="I22" i="59"/>
  <c r="J28" i="59"/>
  <c r="G44" i="60"/>
  <c r="I38" i="60" s="1"/>
  <c r="J22" i="60"/>
  <c r="J31" i="60"/>
  <c r="D45" i="60"/>
  <c r="I10" i="61"/>
  <c r="H10" i="61"/>
  <c r="I17" i="61"/>
  <c r="H19" i="61"/>
  <c r="H41" i="61" s="1"/>
  <c r="I24" i="61"/>
  <c r="J24" i="61"/>
  <c r="H24" i="61"/>
  <c r="H29" i="61"/>
  <c r="J29" i="61"/>
  <c r="H32" i="61"/>
  <c r="I32" i="61"/>
  <c r="G49" i="62"/>
  <c r="H20" i="62"/>
  <c r="J20" i="62"/>
  <c r="H23" i="62"/>
  <c r="H30" i="62"/>
  <c r="J19" i="63"/>
  <c r="I19" i="63"/>
  <c r="H19" i="63"/>
  <c r="J16" i="64"/>
  <c r="I16" i="65"/>
  <c r="H27" i="66"/>
  <c r="J42" i="67"/>
  <c r="H42" i="67"/>
  <c r="C38" i="59"/>
  <c r="J11" i="60"/>
  <c r="I11" i="60"/>
  <c r="H16" i="60"/>
  <c r="I25" i="60"/>
  <c r="H25" i="60"/>
  <c r="H34" i="60"/>
  <c r="J27" i="62"/>
  <c r="H27" i="62"/>
  <c r="J22" i="63"/>
  <c r="I22" i="63"/>
  <c r="H22" i="63"/>
  <c r="J10" i="64"/>
  <c r="I10" i="64"/>
  <c r="H10" i="64"/>
  <c r="H35" i="68"/>
  <c r="D39" i="68"/>
  <c r="J14" i="71"/>
  <c r="H14" i="71"/>
  <c r="H24" i="72"/>
  <c r="J24" i="72"/>
  <c r="I10" i="55"/>
  <c r="H10" i="55"/>
  <c r="H44" i="55" s="1"/>
  <c r="I16" i="55"/>
  <c r="H16" i="55"/>
  <c r="I22" i="55"/>
  <c r="H22" i="55"/>
  <c r="I28" i="55"/>
  <c r="H28" i="55"/>
  <c r="I34" i="55"/>
  <c r="H34" i="55"/>
  <c r="H10" i="56"/>
  <c r="H45" i="56" s="1"/>
  <c r="H18" i="56"/>
  <c r="H24" i="56"/>
  <c r="H30" i="56"/>
  <c r="H36" i="56"/>
  <c r="F28" i="57"/>
  <c r="H19" i="58"/>
  <c r="I34" i="58"/>
  <c r="I36" i="58"/>
  <c r="H36" i="58"/>
  <c r="G39" i="58"/>
  <c r="I37" i="58" s="1"/>
  <c r="J33" i="59"/>
  <c r="I33" i="59"/>
  <c r="D38" i="59"/>
  <c r="H11" i="60"/>
  <c r="H44" i="60" s="1"/>
  <c r="J16" i="60"/>
  <c r="J25" i="60"/>
  <c r="J34" i="60"/>
  <c r="I42" i="60"/>
  <c r="H42" i="60"/>
  <c r="I13" i="61"/>
  <c r="H13" i="61"/>
  <c r="I20" i="61"/>
  <c r="I25" i="61"/>
  <c r="I27" i="61"/>
  <c r="J27" i="61"/>
  <c r="J33" i="61"/>
  <c r="I33" i="61"/>
  <c r="H33" i="61"/>
  <c r="H38" i="61"/>
  <c r="J38" i="61"/>
  <c r="H18" i="62"/>
  <c r="H49" i="62" s="1"/>
  <c r="J24" i="62"/>
  <c r="H24" i="62"/>
  <c r="J35" i="62"/>
  <c r="H35" i="62"/>
  <c r="J25" i="63"/>
  <c r="I25" i="63"/>
  <c r="H25" i="63"/>
  <c r="J33" i="63"/>
  <c r="I33" i="63"/>
  <c r="H33" i="63"/>
  <c r="D47" i="63"/>
  <c r="J31" i="64"/>
  <c r="J21" i="65"/>
  <c r="I21" i="65"/>
  <c r="H21" i="65"/>
  <c r="J24" i="65"/>
  <c r="H24" i="65"/>
  <c r="H41" i="65"/>
  <c r="I41" i="65"/>
  <c r="J10" i="66"/>
  <c r="J32" i="67"/>
  <c r="H32" i="67"/>
  <c r="J36" i="68"/>
  <c r="I36" i="68"/>
  <c r="H36" i="68"/>
  <c r="E39" i="68"/>
  <c r="J23" i="71"/>
  <c r="I23" i="71"/>
  <c r="H23" i="71"/>
  <c r="I21" i="61"/>
  <c r="J11" i="62"/>
  <c r="J26" i="62"/>
  <c r="H26" i="62"/>
  <c r="J38" i="62"/>
  <c r="H38" i="62"/>
  <c r="J11" i="65"/>
  <c r="I11" i="65"/>
  <c r="I20" i="65"/>
  <c r="E43" i="65"/>
  <c r="H30" i="66"/>
  <c r="I16" i="67"/>
  <c r="J16" i="67"/>
  <c r="H16" i="67"/>
  <c r="J23" i="67"/>
  <c r="H23" i="67"/>
  <c r="D46" i="67"/>
  <c r="I25" i="68"/>
  <c r="H25" i="68"/>
  <c r="H9" i="69"/>
  <c r="G45" i="69"/>
  <c r="I9" i="69" s="1"/>
  <c r="J9" i="69"/>
  <c r="J44" i="72"/>
  <c r="H44" i="72"/>
  <c r="H21" i="61"/>
  <c r="I35" i="61"/>
  <c r="H36" i="62"/>
  <c r="H41" i="62"/>
  <c r="H44" i="62"/>
  <c r="I11" i="63"/>
  <c r="H34" i="63"/>
  <c r="J36" i="63"/>
  <c r="I36" i="63"/>
  <c r="H36" i="63"/>
  <c r="J13" i="64"/>
  <c r="I13" i="64"/>
  <c r="J21" i="64"/>
  <c r="H37" i="64"/>
  <c r="H11" i="65"/>
  <c r="H20" i="65"/>
  <c r="J26" i="65"/>
  <c r="I26" i="65"/>
  <c r="H28" i="65"/>
  <c r="J28" i="65"/>
  <c r="I28" i="65"/>
  <c r="I31" i="65"/>
  <c r="I36" i="65"/>
  <c r="J36" i="65"/>
  <c r="H36" i="65"/>
  <c r="F43" i="65"/>
  <c r="G37" i="66"/>
  <c r="I9" i="66" s="1"/>
  <c r="J15" i="66"/>
  <c r="H17" i="66"/>
  <c r="H37" i="66" s="1"/>
  <c r="J28" i="67"/>
  <c r="I28" i="67"/>
  <c r="H28" i="67"/>
  <c r="J21" i="68"/>
  <c r="I21" i="68"/>
  <c r="J31" i="68"/>
  <c r="I31" i="68"/>
  <c r="H15" i="69"/>
  <c r="J15" i="69"/>
  <c r="I29" i="69"/>
  <c r="H29" i="69"/>
  <c r="J29" i="69"/>
  <c r="H43" i="69"/>
  <c r="J43" i="69"/>
  <c r="J11" i="70"/>
  <c r="H11" i="70"/>
  <c r="H37" i="70" s="1"/>
  <c r="J26" i="70"/>
  <c r="H26" i="70"/>
  <c r="J17" i="72"/>
  <c r="E46" i="73"/>
  <c r="J13" i="69"/>
  <c r="H21" i="69"/>
  <c r="J21" i="69"/>
  <c r="J27" i="69"/>
  <c r="H35" i="69"/>
  <c r="J35" i="69"/>
  <c r="J12" i="70"/>
  <c r="H12" i="70"/>
  <c r="H30" i="71"/>
  <c r="J30" i="71"/>
  <c r="C37" i="71"/>
  <c r="J39" i="72"/>
  <c r="H39" i="72"/>
  <c r="I28" i="73"/>
  <c r="J28" i="73"/>
  <c r="H28" i="73"/>
  <c r="J39" i="73"/>
  <c r="H39" i="73"/>
  <c r="J39" i="63"/>
  <c r="I39" i="63"/>
  <c r="H39" i="63"/>
  <c r="J44" i="63"/>
  <c r="I44" i="63"/>
  <c r="C47" i="63"/>
  <c r="J33" i="64"/>
  <c r="H35" i="64"/>
  <c r="J35" i="64"/>
  <c r="I20" i="66"/>
  <c r="J24" i="66"/>
  <c r="H24" i="66"/>
  <c r="H34" i="66"/>
  <c r="J34" i="66"/>
  <c r="H45" i="67"/>
  <c r="J11" i="67"/>
  <c r="I12" i="68"/>
  <c r="H12" i="68"/>
  <c r="I18" i="68"/>
  <c r="H18" i="68"/>
  <c r="H38" i="68" s="1"/>
  <c r="H13" i="69"/>
  <c r="J19" i="69"/>
  <c r="H27" i="69"/>
  <c r="J33" i="69"/>
  <c r="I33" i="69"/>
  <c r="I41" i="69"/>
  <c r="H41" i="69"/>
  <c r="J28" i="71"/>
  <c r="I28" i="71"/>
  <c r="I30" i="71"/>
  <c r="H20" i="73"/>
  <c r="J20" i="73"/>
  <c r="I17" i="74"/>
  <c r="I14" i="74"/>
  <c r="I18" i="74"/>
  <c r="I13" i="74"/>
  <c r="I11" i="74"/>
  <c r="E20" i="74"/>
  <c r="I13" i="65"/>
  <c r="I34" i="65"/>
  <c r="I12" i="66"/>
  <c r="H36" i="67"/>
  <c r="J23" i="68"/>
  <c r="I23" i="68"/>
  <c r="H14" i="70"/>
  <c r="H26" i="73"/>
  <c r="J26" i="73"/>
  <c r="H37" i="73"/>
  <c r="J37" i="73"/>
  <c r="I37" i="73"/>
  <c r="I43" i="73"/>
  <c r="J43" i="73"/>
  <c r="F20" i="74"/>
  <c r="H19" i="75"/>
  <c r="H26" i="75"/>
  <c r="J26" i="75"/>
  <c r="C45" i="76"/>
  <c r="I12" i="64"/>
  <c r="I10" i="65"/>
  <c r="J25" i="67"/>
  <c r="I25" i="67"/>
  <c r="J34" i="67"/>
  <c r="G45" i="67"/>
  <c r="H31" i="70"/>
  <c r="H17" i="71"/>
  <c r="I19" i="71"/>
  <c r="D37" i="71"/>
  <c r="H37" i="72"/>
  <c r="G45" i="73"/>
  <c r="D46" i="73" s="1"/>
  <c r="J9" i="73"/>
  <c r="I9" i="73"/>
  <c r="H9" i="73"/>
  <c r="I16" i="73"/>
  <c r="J16" i="73"/>
  <c r="I26" i="73"/>
  <c r="I34" i="73"/>
  <c r="J34" i="73"/>
  <c r="H43" i="73"/>
  <c r="I12" i="74"/>
  <c r="J12" i="74"/>
  <c r="H12" i="74"/>
  <c r="I23" i="66"/>
  <c r="G38" i="68"/>
  <c r="I33" i="68" s="1"/>
  <c r="I13" i="68"/>
  <c r="H13" i="68"/>
  <c r="I30" i="68"/>
  <c r="H30" i="68"/>
  <c r="I12" i="69"/>
  <c r="H12" i="69"/>
  <c r="H18" i="69"/>
  <c r="I24" i="69"/>
  <c r="H24" i="69"/>
  <c r="I32" i="69"/>
  <c r="H32" i="69"/>
  <c r="H38" i="69"/>
  <c r="J17" i="70"/>
  <c r="J23" i="70"/>
  <c r="J29" i="70"/>
  <c r="G37" i="70"/>
  <c r="D38" i="70" s="1"/>
  <c r="I17" i="71"/>
  <c r="J34" i="71"/>
  <c r="I34" i="71"/>
  <c r="H34" i="71"/>
  <c r="J10" i="72"/>
  <c r="J28" i="72"/>
  <c r="H28" i="72"/>
  <c r="J35" i="72"/>
  <c r="G48" i="72"/>
  <c r="H14" i="73"/>
  <c r="J14" i="73"/>
  <c r="H16" i="73"/>
  <c r="H32" i="73"/>
  <c r="J32" i="73"/>
  <c r="H34" i="73"/>
  <c r="H23" i="75"/>
  <c r="J23" i="75"/>
  <c r="H32" i="75"/>
  <c r="I32" i="75"/>
  <c r="J22" i="67"/>
  <c r="J31" i="67"/>
  <c r="J41" i="67"/>
  <c r="I41" i="67"/>
  <c r="C46" i="67"/>
  <c r="J11" i="68"/>
  <c r="I11" i="68"/>
  <c r="I20" i="68"/>
  <c r="H20" i="68"/>
  <c r="F39" i="68"/>
  <c r="I34" i="70"/>
  <c r="J11" i="71"/>
  <c r="I11" i="71"/>
  <c r="H11" i="71"/>
  <c r="J25" i="71"/>
  <c r="I25" i="71"/>
  <c r="H25" i="71"/>
  <c r="J32" i="71"/>
  <c r="I32" i="71"/>
  <c r="F37" i="71"/>
  <c r="J19" i="72"/>
  <c r="H19" i="72"/>
  <c r="J26" i="72"/>
  <c r="H33" i="72"/>
  <c r="J33" i="72"/>
  <c r="J41" i="72"/>
  <c r="H41" i="72"/>
  <c r="I22" i="73"/>
  <c r="J22" i="73"/>
  <c r="C46" i="73"/>
  <c r="H10" i="74"/>
  <c r="H19" i="74" s="1"/>
  <c r="J10" i="74"/>
  <c r="I10" i="74"/>
  <c r="I16" i="74"/>
  <c r="J16" i="74"/>
  <c r="J16" i="75"/>
  <c r="H16" i="75"/>
  <c r="I16" i="75"/>
  <c r="G37" i="75"/>
  <c r="F38" i="75" s="1"/>
  <c r="I9" i="75"/>
  <c r="H9" i="75"/>
  <c r="J17" i="75"/>
  <c r="H17" i="75"/>
  <c r="I17" i="76"/>
  <c r="I23" i="76"/>
  <c r="F38" i="77"/>
  <c r="J11" i="78"/>
  <c r="I11" i="78"/>
  <c r="H11" i="78"/>
  <c r="J12" i="80"/>
  <c r="H12" i="80"/>
  <c r="E37" i="71"/>
  <c r="H48" i="72"/>
  <c r="I19" i="73"/>
  <c r="I25" i="73"/>
  <c r="I31" i="73"/>
  <c r="C20" i="74"/>
  <c r="I34" i="75"/>
  <c r="H44" i="76"/>
  <c r="I22" i="71"/>
  <c r="I42" i="73"/>
  <c r="I9" i="74"/>
  <c r="I15" i="74"/>
  <c r="J14" i="75"/>
  <c r="H14" i="75"/>
  <c r="J31" i="77"/>
  <c r="I31" i="77"/>
  <c r="H31" i="77"/>
  <c r="I14" i="79"/>
  <c r="I32" i="79"/>
  <c r="J39" i="79"/>
  <c r="H39" i="79"/>
  <c r="H15" i="75"/>
  <c r="J15" i="75"/>
  <c r="H18" i="75"/>
  <c r="J18" i="75"/>
  <c r="J42" i="76"/>
  <c r="H42" i="76"/>
  <c r="E45" i="76"/>
  <c r="I21" i="77"/>
  <c r="I27" i="77"/>
  <c r="J36" i="77"/>
  <c r="I36" i="77"/>
  <c r="H36" i="77"/>
  <c r="H17" i="78"/>
  <c r="G38" i="80"/>
  <c r="F39" i="80" s="1"/>
  <c r="H25" i="80"/>
  <c r="J24" i="75"/>
  <c r="H24" i="75"/>
  <c r="J27" i="75"/>
  <c r="H27" i="75"/>
  <c r="E38" i="75"/>
  <c r="I14" i="76"/>
  <c r="I20" i="76"/>
  <c r="J11" i="77"/>
  <c r="I11" i="77"/>
  <c r="H11" i="77"/>
  <c r="C38" i="77"/>
  <c r="G40" i="78"/>
  <c r="I9" i="78"/>
  <c r="H9" i="78"/>
  <c r="I18" i="78"/>
  <c r="J38" i="78"/>
  <c r="I38" i="78"/>
  <c r="H38" i="78"/>
  <c r="F41" i="78"/>
  <c r="G42" i="79"/>
  <c r="I24" i="79" s="1"/>
  <c r="I11" i="79"/>
  <c r="I29" i="79"/>
  <c r="H34" i="79"/>
  <c r="I28" i="80"/>
  <c r="I32" i="80"/>
  <c r="H43" i="76"/>
  <c r="J43" i="76"/>
  <c r="G44" i="76"/>
  <c r="D45" i="76" s="1"/>
  <c r="D38" i="77"/>
  <c r="I10" i="78"/>
  <c r="J14" i="78"/>
  <c r="I14" i="78"/>
  <c r="H14" i="78"/>
  <c r="I21" i="78"/>
  <c r="I23" i="78"/>
  <c r="I28" i="78"/>
  <c r="I32" i="78"/>
  <c r="I34" i="78"/>
  <c r="I36" i="78"/>
  <c r="H42" i="79"/>
  <c r="I35" i="79"/>
  <c r="J22" i="75"/>
  <c r="H22" i="75"/>
  <c r="J25" i="75"/>
  <c r="H25" i="75"/>
  <c r="J17" i="77"/>
  <c r="I17" i="77"/>
  <c r="H17" i="77"/>
  <c r="I20" i="77"/>
  <c r="I26" i="77"/>
  <c r="I28" i="77"/>
  <c r="I30" i="77"/>
  <c r="I34" i="77"/>
  <c r="C43" i="79"/>
  <c r="J15" i="80"/>
  <c r="H15" i="80"/>
  <c r="I21" i="80"/>
  <c r="I23" i="80"/>
  <c r="H33" i="80"/>
  <c r="J9" i="77"/>
  <c r="J12" i="77"/>
  <c r="J15" i="77"/>
  <c r="J32" i="77"/>
  <c r="J12" i="78"/>
  <c r="J15" i="78"/>
  <c r="J40" i="79"/>
  <c r="J10" i="80"/>
  <c r="J13" i="80"/>
  <c r="G37" i="77"/>
  <c r="I14" i="77" s="1"/>
  <c r="H10" i="77"/>
  <c r="H13" i="77"/>
  <c r="H16" i="77"/>
  <c r="H37" i="77" s="1"/>
  <c r="H35" i="77"/>
  <c r="H13" i="78"/>
  <c r="H16" i="78"/>
  <c r="H33" i="79"/>
  <c r="H38" i="79"/>
  <c r="H11" i="80"/>
  <c r="H38" i="80" s="1"/>
  <c r="H14" i="80"/>
  <c r="H24" i="80"/>
  <c r="I20" i="80" l="1"/>
  <c r="I43" i="72"/>
  <c r="I32" i="72"/>
  <c r="I23" i="72"/>
  <c r="I14" i="72"/>
  <c r="I9" i="72"/>
  <c r="I46" i="72"/>
  <c r="I30" i="72"/>
  <c r="I21" i="72"/>
  <c r="I12" i="72"/>
  <c r="I15" i="72"/>
  <c r="I45" i="72"/>
  <c r="I16" i="72"/>
  <c r="I40" i="72"/>
  <c r="I25" i="72"/>
  <c r="I34" i="72"/>
  <c r="I18" i="72"/>
  <c r="I42" i="72"/>
  <c r="I27" i="72"/>
  <c r="I20" i="72"/>
  <c r="I11" i="72"/>
  <c r="I31" i="72"/>
  <c r="I29" i="72"/>
  <c r="I36" i="72"/>
  <c r="I33" i="72"/>
  <c r="D49" i="72"/>
  <c r="I38" i="72"/>
  <c r="I42" i="62"/>
  <c r="I39" i="62"/>
  <c r="I34" i="62"/>
  <c r="I21" i="62"/>
  <c r="I14" i="62"/>
  <c r="I45" i="62"/>
  <c r="I31" i="62"/>
  <c r="I11" i="62"/>
  <c r="I9" i="62"/>
  <c r="F50" i="62"/>
  <c r="I20" i="62"/>
  <c r="I16" i="62"/>
  <c r="I13" i="62"/>
  <c r="E50" i="62"/>
  <c r="I44" i="62"/>
  <c r="I40" i="62"/>
  <c r="I37" i="62"/>
  <c r="I47" i="62"/>
  <c r="I17" i="62"/>
  <c r="I36" i="62"/>
  <c r="I19" i="62"/>
  <c r="I12" i="62"/>
  <c r="I25" i="62"/>
  <c r="I32" i="62"/>
  <c r="I41" i="56"/>
  <c r="I35" i="56"/>
  <c r="I29" i="56"/>
  <c r="I23" i="56"/>
  <c r="I17" i="56"/>
  <c r="I34" i="56"/>
  <c r="I20" i="56"/>
  <c r="I28" i="56"/>
  <c r="I14" i="56"/>
  <c r="I44" i="56"/>
  <c r="I38" i="56"/>
  <c r="I12" i="56"/>
  <c r="I40" i="56"/>
  <c r="I32" i="56"/>
  <c r="I26" i="56"/>
  <c r="I9" i="56"/>
  <c r="I16" i="56"/>
  <c r="I30" i="44"/>
  <c r="I28" i="44"/>
  <c r="I21" i="44"/>
  <c r="I19" i="44"/>
  <c r="I43" i="44"/>
  <c r="I39" i="44"/>
  <c r="I37" i="44"/>
  <c r="I45" i="44"/>
  <c r="I31" i="44"/>
  <c r="I22" i="44"/>
  <c r="I13" i="44"/>
  <c r="I27" i="44"/>
  <c r="I25" i="44"/>
  <c r="I44" i="44"/>
  <c r="I12" i="44"/>
  <c r="I36" i="44"/>
  <c r="I34" i="44"/>
  <c r="F49" i="44"/>
  <c r="I42" i="44"/>
  <c r="I40" i="44"/>
  <c r="I18" i="44"/>
  <c r="I16" i="44"/>
  <c r="I10" i="44"/>
  <c r="I32" i="52"/>
  <c r="I41" i="41"/>
  <c r="I38" i="41"/>
  <c r="I33" i="41"/>
  <c r="I28" i="41"/>
  <c r="I25" i="41"/>
  <c r="I36" i="41"/>
  <c r="I31" i="41"/>
  <c r="I23" i="41"/>
  <c r="I20" i="41"/>
  <c r="I17" i="41"/>
  <c r="I14" i="41"/>
  <c r="I11" i="41"/>
  <c r="I40" i="41"/>
  <c r="I35" i="41"/>
  <c r="I30" i="41"/>
  <c r="I16" i="41"/>
  <c r="I37" i="41"/>
  <c r="I32" i="41"/>
  <c r="I27" i="41"/>
  <c r="I22" i="41"/>
  <c r="I13" i="41"/>
  <c r="E44" i="41"/>
  <c r="I10" i="41"/>
  <c r="I19" i="41"/>
  <c r="F44" i="41"/>
  <c r="I43" i="13"/>
  <c r="I35" i="13"/>
  <c r="I32" i="13"/>
  <c r="I29" i="13"/>
  <c r="I26" i="13"/>
  <c r="I23" i="13"/>
  <c r="I20" i="13"/>
  <c r="I17" i="13"/>
  <c r="I14" i="13"/>
  <c r="I11" i="13"/>
  <c r="I47" i="13"/>
  <c r="I31" i="13"/>
  <c r="I22" i="13"/>
  <c r="I13" i="13"/>
  <c r="I40" i="13"/>
  <c r="I37" i="13"/>
  <c r="I28" i="13"/>
  <c r="I19" i="13"/>
  <c r="I10" i="13"/>
  <c r="I45" i="13"/>
  <c r="I42" i="13"/>
  <c r="I16" i="13"/>
  <c r="I34" i="13"/>
  <c r="I25" i="13"/>
  <c r="H44" i="33"/>
  <c r="I37" i="6"/>
  <c r="I34" i="6"/>
  <c r="I31" i="6"/>
  <c r="I28" i="6"/>
  <c r="I25" i="6"/>
  <c r="I22" i="6"/>
  <c r="I19" i="6"/>
  <c r="I16" i="6"/>
  <c r="I13" i="6"/>
  <c r="I10" i="6"/>
  <c r="I36" i="6"/>
  <c r="I30" i="6"/>
  <c r="I24" i="6"/>
  <c r="I18" i="6"/>
  <c r="I12" i="6"/>
  <c r="I15" i="6"/>
  <c r="I39" i="6"/>
  <c r="I21" i="6"/>
  <c r="I27" i="6"/>
  <c r="I33" i="6"/>
  <c r="E42" i="6"/>
  <c r="I9" i="6"/>
  <c r="I45" i="10"/>
  <c r="I25" i="10"/>
  <c r="I22" i="10"/>
  <c r="D48" i="10"/>
  <c r="I31" i="10"/>
  <c r="I13" i="10"/>
  <c r="I42" i="10"/>
  <c r="I39" i="10"/>
  <c r="I34" i="10"/>
  <c r="I28" i="10"/>
  <c r="I19" i="10"/>
  <c r="I16" i="10"/>
  <c r="I10" i="10"/>
  <c r="I37" i="10"/>
  <c r="H39" i="23"/>
  <c r="I27" i="79"/>
  <c r="I47" i="72"/>
  <c r="I17" i="70"/>
  <c r="I27" i="64"/>
  <c r="H42" i="65"/>
  <c r="I35" i="62"/>
  <c r="I18" i="56"/>
  <c r="I27" i="66"/>
  <c r="I33" i="56"/>
  <c r="I15" i="56"/>
  <c r="C39" i="64"/>
  <c r="I43" i="56"/>
  <c r="E40" i="52"/>
  <c r="I28" i="52"/>
  <c r="H43" i="46"/>
  <c r="I14" i="52"/>
  <c r="I41" i="44"/>
  <c r="I13" i="56"/>
  <c r="I38" i="46"/>
  <c r="H35" i="36"/>
  <c r="I29" i="44"/>
  <c r="I29" i="46"/>
  <c r="I40" i="10"/>
  <c r="I42" i="50"/>
  <c r="I15" i="41"/>
  <c r="I29" i="24"/>
  <c r="E44" i="24"/>
  <c r="I18" i="10"/>
  <c r="C42" i="6"/>
  <c r="H41" i="31"/>
  <c r="I31" i="31"/>
  <c r="I28" i="31"/>
  <c r="I25" i="31"/>
  <c r="I22" i="31"/>
  <c r="I19" i="31"/>
  <c r="I16" i="31"/>
  <c r="I13" i="31"/>
  <c r="I10" i="31"/>
  <c r="F42" i="31"/>
  <c r="I38" i="31"/>
  <c r="I33" i="31"/>
  <c r="I24" i="31"/>
  <c r="I18" i="31"/>
  <c r="I12" i="31"/>
  <c r="I39" i="31"/>
  <c r="I30" i="31"/>
  <c r="I36" i="31"/>
  <c r="I27" i="31"/>
  <c r="I15" i="31"/>
  <c r="I21" i="31"/>
  <c r="I15" i="22"/>
  <c r="I11" i="31"/>
  <c r="I19" i="5"/>
  <c r="H44" i="17"/>
  <c r="D31" i="22"/>
  <c r="I18" i="22"/>
  <c r="I9" i="5"/>
  <c r="I23" i="79"/>
  <c r="F45" i="76"/>
  <c r="F43" i="79"/>
  <c r="I26" i="79"/>
  <c r="I11" i="76"/>
  <c r="I35" i="72"/>
  <c r="I37" i="67"/>
  <c r="I29" i="67"/>
  <c r="I27" i="67"/>
  <c r="I20" i="67"/>
  <c r="I15" i="67"/>
  <c r="I18" i="67"/>
  <c r="I40" i="67"/>
  <c r="I38" i="67"/>
  <c r="I30" i="67"/>
  <c r="I21" i="67"/>
  <c r="F46" i="67"/>
  <c r="I26" i="67"/>
  <c r="I24" i="67"/>
  <c r="I17" i="67"/>
  <c r="I43" i="67"/>
  <c r="I35" i="67"/>
  <c r="I33" i="67"/>
  <c r="I12" i="67"/>
  <c r="I9" i="67"/>
  <c r="I39" i="67"/>
  <c r="I14" i="67"/>
  <c r="I48" i="62"/>
  <c r="I22" i="56"/>
  <c r="I25" i="54"/>
  <c r="D45" i="50"/>
  <c r="C49" i="44"/>
  <c r="I24" i="64"/>
  <c r="C41" i="54"/>
  <c r="I38" i="45"/>
  <c r="I36" i="45"/>
  <c r="I23" i="45"/>
  <c r="I21" i="45"/>
  <c r="I31" i="45"/>
  <c r="I29" i="45"/>
  <c r="I25" i="45"/>
  <c r="I18" i="45"/>
  <c r="I12" i="45"/>
  <c r="I10" i="45"/>
  <c r="I39" i="45"/>
  <c r="I28" i="45"/>
  <c r="I26" i="45"/>
  <c r="I9" i="45"/>
  <c r="I32" i="45"/>
  <c r="I34" i="45"/>
  <c r="F42" i="45"/>
  <c r="I15" i="45"/>
  <c r="I17" i="45"/>
  <c r="I23" i="46"/>
  <c r="I34" i="52"/>
  <c r="I24" i="50"/>
  <c r="I36" i="47"/>
  <c r="I28" i="33"/>
  <c r="I35" i="10"/>
  <c r="I25" i="33"/>
  <c r="I22" i="24"/>
  <c r="I18" i="46"/>
  <c r="I24" i="22"/>
  <c r="I36" i="13"/>
  <c r="C36" i="36"/>
  <c r="I13" i="5"/>
  <c r="F44" i="24"/>
  <c r="E48" i="10"/>
  <c r="C44" i="3"/>
  <c r="E39" i="80"/>
  <c r="I21" i="79"/>
  <c r="I26" i="78"/>
  <c r="I16" i="78"/>
  <c r="I13" i="78"/>
  <c r="I35" i="78"/>
  <c r="I27" i="78"/>
  <c r="I25" i="78"/>
  <c r="I22" i="78"/>
  <c r="I39" i="78"/>
  <c r="I20" i="78"/>
  <c r="I12" i="78"/>
  <c r="I15" i="78"/>
  <c r="I38" i="76"/>
  <c r="I35" i="75"/>
  <c r="I21" i="75"/>
  <c r="E41" i="78"/>
  <c r="I29" i="77"/>
  <c r="I39" i="79"/>
  <c r="I12" i="80"/>
  <c r="I41" i="76"/>
  <c r="C41" i="78"/>
  <c r="H36" i="71"/>
  <c r="I31" i="67"/>
  <c r="I23" i="75"/>
  <c r="I29" i="70"/>
  <c r="I44" i="67"/>
  <c r="I26" i="66"/>
  <c r="E49" i="72"/>
  <c r="I36" i="67"/>
  <c r="I15" i="64"/>
  <c r="C38" i="70"/>
  <c r="I21" i="69"/>
  <c r="I17" i="66"/>
  <c r="I37" i="64"/>
  <c r="H45" i="69"/>
  <c r="I23" i="67"/>
  <c r="I30" i="66"/>
  <c r="I41" i="62"/>
  <c r="C46" i="69"/>
  <c r="I32" i="67"/>
  <c r="I27" i="62"/>
  <c r="I19" i="58"/>
  <c r="I30" i="56"/>
  <c r="I10" i="56"/>
  <c r="I35" i="68"/>
  <c r="E45" i="60"/>
  <c r="I16" i="60"/>
  <c r="I15" i="60"/>
  <c r="I16" i="59"/>
  <c r="D41" i="54"/>
  <c r="I31" i="60"/>
  <c r="I27" i="56"/>
  <c r="I43" i="60"/>
  <c r="I15" i="50"/>
  <c r="I46" i="62"/>
  <c r="I31" i="52"/>
  <c r="I13" i="52"/>
  <c r="I30" i="65"/>
  <c r="I39" i="61"/>
  <c r="I30" i="61"/>
  <c r="I28" i="61"/>
  <c r="I23" i="61"/>
  <c r="I15" i="61"/>
  <c r="I12" i="61"/>
  <c r="I9" i="61"/>
  <c r="I40" i="61"/>
  <c r="F42" i="61"/>
  <c r="I22" i="61"/>
  <c r="I29" i="61"/>
  <c r="I37" i="61"/>
  <c r="I26" i="61"/>
  <c r="I14" i="61"/>
  <c r="I38" i="61"/>
  <c r="I11" i="61"/>
  <c r="I18" i="61"/>
  <c r="I36" i="61"/>
  <c r="I33" i="65"/>
  <c r="I16" i="61"/>
  <c r="I26" i="58"/>
  <c r="I32" i="66"/>
  <c r="I20" i="58"/>
  <c r="I34" i="49"/>
  <c r="I36" i="49"/>
  <c r="I23" i="49"/>
  <c r="I12" i="49"/>
  <c r="I10" i="49"/>
  <c r="I27" i="49"/>
  <c r="I25" i="49"/>
  <c r="I18" i="49"/>
  <c r="I16" i="49"/>
  <c r="I33" i="49"/>
  <c r="I20" i="49"/>
  <c r="I39" i="49"/>
  <c r="I30" i="49"/>
  <c r="I32" i="49"/>
  <c r="I24" i="49"/>
  <c r="I13" i="49"/>
  <c r="I35" i="49"/>
  <c r="I37" i="49"/>
  <c r="I15" i="49"/>
  <c r="I17" i="49"/>
  <c r="I43" i="47"/>
  <c r="I17" i="46"/>
  <c r="I46" i="44"/>
  <c r="I14" i="44"/>
  <c r="C40" i="52"/>
  <c r="C39" i="51"/>
  <c r="I12" i="47"/>
  <c r="I16" i="52"/>
  <c r="I9" i="47"/>
  <c r="I40" i="45"/>
  <c r="I35" i="44"/>
  <c r="I9" i="44"/>
  <c r="I26" i="43"/>
  <c r="I24" i="43"/>
  <c r="I22" i="43"/>
  <c r="I17" i="43"/>
  <c r="I9" i="43"/>
  <c r="I34" i="43"/>
  <c r="I32" i="43"/>
  <c r="I28" i="43"/>
  <c r="I15" i="43"/>
  <c r="I12" i="43"/>
  <c r="I25" i="43"/>
  <c r="C40" i="43"/>
  <c r="I37" i="43"/>
  <c r="I35" i="43"/>
  <c r="I19" i="43"/>
  <c r="I14" i="43"/>
  <c r="I11" i="43"/>
  <c r="I27" i="43"/>
  <c r="I21" i="43"/>
  <c r="I31" i="43"/>
  <c r="I29" i="43"/>
  <c r="I43" i="62"/>
  <c r="I12" i="58"/>
  <c r="I33" i="45"/>
  <c r="I38" i="43"/>
  <c r="C45" i="50"/>
  <c r="I21" i="41"/>
  <c r="I19" i="37"/>
  <c r="E42" i="45"/>
  <c r="I21" i="39"/>
  <c r="I18" i="41"/>
  <c r="I18" i="39"/>
  <c r="E40" i="43"/>
  <c r="I15" i="39"/>
  <c r="C45" i="33"/>
  <c r="I12" i="29"/>
  <c r="I25" i="27"/>
  <c r="D45" i="38"/>
  <c r="I18" i="28"/>
  <c r="I32" i="10"/>
  <c r="I14" i="10"/>
  <c r="I18" i="29"/>
  <c r="I15" i="28"/>
  <c r="I15" i="24"/>
  <c r="I34" i="41"/>
  <c r="E39" i="34"/>
  <c r="I34" i="34"/>
  <c r="I25" i="34"/>
  <c r="I21" i="34"/>
  <c r="I19" i="34"/>
  <c r="I16" i="34"/>
  <c r="I36" i="34"/>
  <c r="I27" i="34"/>
  <c r="I14" i="34"/>
  <c r="I11" i="34"/>
  <c r="I31" i="34"/>
  <c r="I22" i="34"/>
  <c r="I28" i="34"/>
  <c r="I30" i="34"/>
  <c r="I18" i="34"/>
  <c r="I13" i="34"/>
  <c r="F39" i="34"/>
  <c r="I10" i="34"/>
  <c r="I15" i="34"/>
  <c r="I37" i="32"/>
  <c r="I33" i="29"/>
  <c r="D49" i="27"/>
  <c r="I38" i="25"/>
  <c r="I23" i="25"/>
  <c r="I18" i="25"/>
  <c r="I15" i="25"/>
  <c r="I12" i="25"/>
  <c r="I9" i="25"/>
  <c r="I37" i="25"/>
  <c r="I30" i="25"/>
  <c r="I25" i="25"/>
  <c r="I20" i="25"/>
  <c r="I11" i="25"/>
  <c r="I31" i="25"/>
  <c r="I17" i="25"/>
  <c r="I28" i="25"/>
  <c r="I33" i="25"/>
  <c r="I35" i="25"/>
  <c r="I24" i="25"/>
  <c r="E40" i="25"/>
  <c r="I14" i="25"/>
  <c r="D40" i="25"/>
  <c r="I24" i="41"/>
  <c r="I26" i="34"/>
  <c r="I11" i="15"/>
  <c r="I44" i="10"/>
  <c r="D42" i="6"/>
  <c r="I33" i="44"/>
  <c r="I38" i="15"/>
  <c r="F50" i="13"/>
  <c r="I16" i="9"/>
  <c r="I35" i="34"/>
  <c r="I33" i="28"/>
  <c r="I33" i="78"/>
  <c r="E45" i="33"/>
  <c r="I35" i="31"/>
  <c r="I10" i="22"/>
  <c r="I37" i="16"/>
  <c r="I34" i="16"/>
  <c r="I31" i="16"/>
  <c r="I28" i="16"/>
  <c r="I26" i="16"/>
  <c r="I23" i="16"/>
  <c r="I20" i="16"/>
  <c r="I17" i="16"/>
  <c r="I14" i="16"/>
  <c r="I11" i="16"/>
  <c r="I19" i="16"/>
  <c r="I10" i="16"/>
  <c r="I36" i="16"/>
  <c r="E40" i="16"/>
  <c r="I30" i="16"/>
  <c r="I25" i="16"/>
  <c r="D40" i="16"/>
  <c r="I27" i="16"/>
  <c r="I22" i="16"/>
  <c r="I13" i="16"/>
  <c r="I33" i="16"/>
  <c r="I16" i="16"/>
  <c r="I36" i="24"/>
  <c r="H41" i="11"/>
  <c r="H38" i="18"/>
  <c r="I32" i="16"/>
  <c r="I24" i="14"/>
  <c r="I32" i="14"/>
  <c r="I19" i="14"/>
  <c r="I10" i="14"/>
  <c r="I13" i="14"/>
  <c r="I16" i="14"/>
  <c r="I22" i="14"/>
  <c r="I27" i="14"/>
  <c r="I36" i="12"/>
  <c r="I34" i="12"/>
  <c r="I31" i="12"/>
  <c r="I26" i="12"/>
  <c r="I16" i="12"/>
  <c r="I13" i="12"/>
  <c r="I10" i="12"/>
  <c r="I20" i="12"/>
  <c r="I12" i="12"/>
  <c r="I28" i="12"/>
  <c r="E41" i="12"/>
  <c r="I30" i="12"/>
  <c r="D41" i="12"/>
  <c r="I38" i="12"/>
  <c r="I18" i="12"/>
  <c r="I33" i="12"/>
  <c r="I15" i="12"/>
  <c r="I23" i="12"/>
  <c r="I11" i="6"/>
  <c r="H42" i="4"/>
  <c r="E31" i="22"/>
  <c r="I41" i="13"/>
  <c r="I11" i="5"/>
  <c r="I15" i="3"/>
  <c r="I29" i="3"/>
  <c r="D39" i="28"/>
  <c r="I23" i="5"/>
  <c r="H48" i="27"/>
  <c r="F40" i="16"/>
  <c r="C36" i="14"/>
  <c r="I30" i="5"/>
  <c r="I24" i="13"/>
  <c r="F41" i="7"/>
  <c r="I26" i="5"/>
  <c r="I15" i="13"/>
  <c r="I38" i="3"/>
  <c r="F49" i="72"/>
  <c r="I32" i="64"/>
  <c r="I30" i="64"/>
  <c r="I25" i="64"/>
  <c r="I20" i="64"/>
  <c r="I23" i="64"/>
  <c r="I26" i="64"/>
  <c r="I17" i="64"/>
  <c r="I34" i="64"/>
  <c r="I29" i="64"/>
  <c r="I36" i="64"/>
  <c r="I19" i="64"/>
  <c r="I14" i="64"/>
  <c r="I22" i="64"/>
  <c r="I11" i="64"/>
  <c r="H40" i="54"/>
  <c r="I42" i="46"/>
  <c r="I37" i="46"/>
  <c r="I34" i="46"/>
  <c r="I31" i="46"/>
  <c r="I28" i="46"/>
  <c r="I25" i="46"/>
  <c r="I22" i="46"/>
  <c r="E44" i="46"/>
  <c r="I39" i="46"/>
  <c r="I30" i="46"/>
  <c r="I21" i="46"/>
  <c r="I41" i="46"/>
  <c r="I36" i="46"/>
  <c r="I27" i="46"/>
  <c r="I16" i="46"/>
  <c r="I10" i="46"/>
  <c r="I9" i="46"/>
  <c r="I19" i="46"/>
  <c r="I24" i="46"/>
  <c r="I13" i="46"/>
  <c r="I15" i="46"/>
  <c r="I33" i="46"/>
  <c r="I32" i="46"/>
  <c r="H46" i="63"/>
  <c r="I35" i="52"/>
  <c r="I33" i="52"/>
  <c r="I29" i="52"/>
  <c r="I27" i="52"/>
  <c r="I23" i="52"/>
  <c r="I21" i="52"/>
  <c r="I17" i="52"/>
  <c r="I15" i="52"/>
  <c r="I11" i="52"/>
  <c r="I9" i="52"/>
  <c r="I36" i="52"/>
  <c r="I30" i="52"/>
  <c r="I24" i="52"/>
  <c r="I18" i="52"/>
  <c r="I12" i="52"/>
  <c r="I38" i="52"/>
  <c r="I26" i="52"/>
  <c r="I39" i="41"/>
  <c r="I39" i="13"/>
  <c r="C50" i="13"/>
  <c r="I45" i="5"/>
  <c r="I40" i="5"/>
  <c r="I37" i="5"/>
  <c r="I47" i="5"/>
  <c r="I42" i="5"/>
  <c r="F49" i="5"/>
  <c r="I20" i="5"/>
  <c r="I14" i="5"/>
  <c r="I17" i="5"/>
  <c r="I39" i="5"/>
  <c r="I31" i="5"/>
  <c r="I25" i="5"/>
  <c r="I34" i="5"/>
  <c r="I28" i="5"/>
  <c r="I22" i="5"/>
  <c r="I33" i="5"/>
  <c r="I27" i="5"/>
  <c r="I43" i="5"/>
  <c r="I12" i="5"/>
  <c r="I10" i="5"/>
  <c r="F31" i="22"/>
  <c r="I32" i="5"/>
  <c r="F42" i="6"/>
  <c r="I12" i="79"/>
  <c r="I9" i="79"/>
  <c r="I41" i="79"/>
  <c r="I38" i="79"/>
  <c r="I33" i="79"/>
  <c r="I36" i="79"/>
  <c r="I31" i="79"/>
  <c r="I28" i="79"/>
  <c r="I25" i="79"/>
  <c r="I22" i="79"/>
  <c r="I19" i="79"/>
  <c r="I16" i="79"/>
  <c r="I13" i="79"/>
  <c r="I10" i="79"/>
  <c r="I40" i="79"/>
  <c r="I37" i="80"/>
  <c r="I24" i="80"/>
  <c r="I19" i="80"/>
  <c r="I14" i="80"/>
  <c r="I11" i="80"/>
  <c r="I35" i="80"/>
  <c r="I30" i="80"/>
  <c r="I27" i="80"/>
  <c r="I22" i="80"/>
  <c r="I17" i="80"/>
  <c r="I9" i="80"/>
  <c r="I10" i="80"/>
  <c r="I13" i="80"/>
  <c r="D39" i="80"/>
  <c r="I16" i="80"/>
  <c r="I30" i="79"/>
  <c r="I41" i="72"/>
  <c r="I31" i="70"/>
  <c r="I17" i="72"/>
  <c r="F39" i="64"/>
  <c r="I23" i="54"/>
  <c r="F40" i="52"/>
  <c r="I41" i="50"/>
  <c r="I42" i="56"/>
  <c r="I10" i="50"/>
  <c r="I23" i="44"/>
  <c r="I11" i="44"/>
  <c r="I20" i="44"/>
  <c r="I12" i="46"/>
  <c r="I24" i="44"/>
  <c r="I20" i="10"/>
  <c r="I10" i="28"/>
  <c r="I21" i="22"/>
  <c r="C48" i="10"/>
  <c r="C44" i="24"/>
  <c r="I29" i="80"/>
  <c r="H43" i="24"/>
  <c r="I24" i="10"/>
  <c r="D50" i="13"/>
  <c r="I38" i="5"/>
  <c r="I46" i="5"/>
  <c r="I18" i="80"/>
  <c r="I39" i="76"/>
  <c r="I36" i="76"/>
  <c r="I33" i="76"/>
  <c r="I30" i="76"/>
  <c r="I27" i="76"/>
  <c r="I24" i="76"/>
  <c r="I21" i="76"/>
  <c r="I18" i="76"/>
  <c r="I15" i="76"/>
  <c r="I12" i="76"/>
  <c r="I9" i="76"/>
  <c r="I40" i="76"/>
  <c r="I37" i="76"/>
  <c r="I34" i="76"/>
  <c r="I31" i="76"/>
  <c r="I28" i="76"/>
  <c r="I25" i="76"/>
  <c r="I22" i="76"/>
  <c r="I19" i="76"/>
  <c r="I16" i="76"/>
  <c r="I13" i="76"/>
  <c r="I10" i="76"/>
  <c r="I42" i="76"/>
  <c r="I10" i="72"/>
  <c r="I36" i="70"/>
  <c r="I9" i="64"/>
  <c r="I26" i="75"/>
  <c r="I35" i="64"/>
  <c r="D50" i="62"/>
  <c r="I31" i="64"/>
  <c r="I42" i="67"/>
  <c r="I23" i="62"/>
  <c r="I20" i="52"/>
  <c r="I14" i="46"/>
  <c r="I34" i="36"/>
  <c r="I27" i="36"/>
  <c r="I22" i="36"/>
  <c r="I20" i="36"/>
  <c r="I32" i="36"/>
  <c r="I25" i="36"/>
  <c r="I15" i="36"/>
  <c r="I29" i="36"/>
  <c r="I17" i="36"/>
  <c r="I10" i="36"/>
  <c r="I31" i="36"/>
  <c r="I19" i="36"/>
  <c r="I12" i="36"/>
  <c r="I33" i="36"/>
  <c r="I14" i="36"/>
  <c r="I30" i="36"/>
  <c r="I9" i="36"/>
  <c r="I30" i="45"/>
  <c r="I38" i="29"/>
  <c r="I35" i="29"/>
  <c r="I32" i="29"/>
  <c r="I29" i="29"/>
  <c r="I42" i="29"/>
  <c r="I23" i="29"/>
  <c r="I14" i="29"/>
  <c r="I25" i="29"/>
  <c r="I16" i="29"/>
  <c r="I37" i="29"/>
  <c r="I31" i="29"/>
  <c r="I20" i="29"/>
  <c r="I11" i="29"/>
  <c r="I28" i="29"/>
  <c r="I17" i="29"/>
  <c r="I34" i="29"/>
  <c r="I40" i="29"/>
  <c r="I19" i="29"/>
  <c r="I10" i="29"/>
  <c r="I26" i="29"/>
  <c r="I11" i="36"/>
  <c r="I26" i="31"/>
  <c r="I35" i="28"/>
  <c r="I30" i="13"/>
  <c r="I12" i="13"/>
  <c r="I30" i="15"/>
  <c r="I27" i="15"/>
  <c r="I15" i="15"/>
  <c r="I35" i="15"/>
  <c r="I33" i="15"/>
  <c r="I25" i="15"/>
  <c r="I23" i="15"/>
  <c r="I20" i="15"/>
  <c r="I18" i="15"/>
  <c r="I13" i="15"/>
  <c r="I10" i="15"/>
  <c r="I32" i="15"/>
  <c r="I24" i="15"/>
  <c r="I29" i="15"/>
  <c r="I12" i="15"/>
  <c r="I9" i="15"/>
  <c r="I17" i="15"/>
  <c r="I14" i="15"/>
  <c r="E40" i="15"/>
  <c r="I37" i="15"/>
  <c r="I26" i="15"/>
  <c r="I34" i="15"/>
  <c r="I19" i="15"/>
  <c r="I22" i="15"/>
  <c r="I46" i="27"/>
  <c r="I44" i="27"/>
  <c r="I41" i="27"/>
  <c r="I39" i="27"/>
  <c r="I36" i="27"/>
  <c r="I27" i="27"/>
  <c r="I18" i="27"/>
  <c r="I9" i="27"/>
  <c r="I38" i="27"/>
  <c r="I29" i="27"/>
  <c r="I20" i="27"/>
  <c r="I11" i="27"/>
  <c r="I43" i="27"/>
  <c r="I33" i="27"/>
  <c r="I24" i="27"/>
  <c r="I15" i="27"/>
  <c r="I32" i="27"/>
  <c r="I12" i="27"/>
  <c r="I23" i="27"/>
  <c r="F49" i="27"/>
  <c r="I47" i="27"/>
  <c r="I14" i="27"/>
  <c r="I30" i="27"/>
  <c r="I21" i="27"/>
  <c r="I33" i="13"/>
  <c r="H48" i="5"/>
  <c r="H43" i="3"/>
  <c r="I43" i="76"/>
  <c r="I17" i="79"/>
  <c r="I38" i="69"/>
  <c r="I13" i="67"/>
  <c r="I39" i="72"/>
  <c r="I35" i="69"/>
  <c r="I13" i="69"/>
  <c r="E46" i="67"/>
  <c r="I26" i="62"/>
  <c r="I25" i="58"/>
  <c r="I16" i="58"/>
  <c r="I35" i="58"/>
  <c r="I27" i="58"/>
  <c r="I21" i="58"/>
  <c r="I18" i="58"/>
  <c r="I11" i="58"/>
  <c r="I9" i="58"/>
  <c r="I33" i="58"/>
  <c r="I31" i="58"/>
  <c r="I23" i="58"/>
  <c r="I38" i="58"/>
  <c r="I30" i="58"/>
  <c r="I28" i="58"/>
  <c r="I10" i="58"/>
  <c r="I36" i="60"/>
  <c r="I33" i="60"/>
  <c r="I30" i="60"/>
  <c r="I27" i="60"/>
  <c r="I24" i="60"/>
  <c r="I21" i="60"/>
  <c r="I18" i="60"/>
  <c r="I39" i="60"/>
  <c r="I9" i="60"/>
  <c r="I41" i="60"/>
  <c r="I29" i="60"/>
  <c r="I20" i="60"/>
  <c r="I13" i="60"/>
  <c r="I35" i="60"/>
  <c r="I26" i="60"/>
  <c r="I17" i="60"/>
  <c r="I10" i="60"/>
  <c r="C45" i="60"/>
  <c r="I32" i="60"/>
  <c r="I23" i="60"/>
  <c r="I33" i="62"/>
  <c r="I15" i="62"/>
  <c r="I24" i="58"/>
  <c r="D46" i="56"/>
  <c r="I28" i="54"/>
  <c r="I34" i="53"/>
  <c r="I32" i="53"/>
  <c r="I23" i="53"/>
  <c r="I21" i="53"/>
  <c r="I19" i="53"/>
  <c r="I10" i="53"/>
  <c r="I16" i="53"/>
  <c r="I14" i="53"/>
  <c r="I29" i="53"/>
  <c r="I24" i="53"/>
  <c r="I11" i="53"/>
  <c r="I9" i="53"/>
  <c r="I37" i="53"/>
  <c r="C41" i="53"/>
  <c r="I39" i="53"/>
  <c r="I26" i="53"/>
  <c r="I28" i="53"/>
  <c r="I35" i="50"/>
  <c r="I28" i="62"/>
  <c r="I25" i="53"/>
  <c r="F45" i="60"/>
  <c r="E41" i="54"/>
  <c r="I37" i="52"/>
  <c r="I22" i="72"/>
  <c r="I29" i="71"/>
  <c r="I20" i="71"/>
  <c r="I18" i="71"/>
  <c r="I27" i="71"/>
  <c r="I16" i="71"/>
  <c r="I21" i="71"/>
  <c r="I13" i="71"/>
  <c r="I31" i="71"/>
  <c r="I15" i="71"/>
  <c r="I24" i="71"/>
  <c r="I10" i="71"/>
  <c r="I33" i="71"/>
  <c r="I26" i="71"/>
  <c r="I35" i="71"/>
  <c r="I9" i="71"/>
  <c r="I22" i="62"/>
  <c r="I19" i="56"/>
  <c r="I33" i="54"/>
  <c r="I27" i="53"/>
  <c r="I38" i="50"/>
  <c r="I20" i="50"/>
  <c r="D40" i="52"/>
  <c r="I36" i="50"/>
  <c r="I35" i="46"/>
  <c r="C49" i="47"/>
  <c r="I40" i="65"/>
  <c r="I38" i="65"/>
  <c r="I32" i="65"/>
  <c r="I25" i="65"/>
  <c r="I23" i="65"/>
  <c r="I19" i="65"/>
  <c r="I17" i="65"/>
  <c r="I15" i="65"/>
  <c r="C43" i="65"/>
  <c r="I18" i="65"/>
  <c r="I9" i="65"/>
  <c r="I35" i="65"/>
  <c r="I14" i="65"/>
  <c r="I12" i="65"/>
  <c r="I37" i="65"/>
  <c r="I27" i="65"/>
  <c r="I22" i="65"/>
  <c r="I29" i="65"/>
  <c r="I24" i="65"/>
  <c r="I36" i="53"/>
  <c r="I20" i="53"/>
  <c r="I18" i="53"/>
  <c r="I24" i="45"/>
  <c r="I31" i="53"/>
  <c r="I20" i="45"/>
  <c r="I29" i="49"/>
  <c r="D42" i="45"/>
  <c r="I47" i="44"/>
  <c r="I42" i="37"/>
  <c r="I26" i="37"/>
  <c r="I9" i="37"/>
  <c r="I40" i="37"/>
  <c r="I38" i="37"/>
  <c r="I35" i="37"/>
  <c r="I32" i="37"/>
  <c r="I29" i="37"/>
  <c r="I24" i="37"/>
  <c r="I21" i="37"/>
  <c r="I18" i="37"/>
  <c r="I15" i="37"/>
  <c r="I12" i="37"/>
  <c r="I28" i="37"/>
  <c r="I23" i="37"/>
  <c r="I14" i="37"/>
  <c r="I37" i="37"/>
  <c r="I39" i="37"/>
  <c r="I34" i="37"/>
  <c r="I20" i="37"/>
  <c r="I11" i="37"/>
  <c r="I31" i="37"/>
  <c r="I17" i="37"/>
  <c r="I41" i="37"/>
  <c r="I22" i="45"/>
  <c r="E36" i="36"/>
  <c r="I28" i="36"/>
  <c r="H45" i="32"/>
  <c r="I44" i="32"/>
  <c r="I39" i="32"/>
  <c r="I32" i="32"/>
  <c r="I29" i="32"/>
  <c r="I26" i="32"/>
  <c r="I23" i="32"/>
  <c r="I20" i="32"/>
  <c r="I17" i="32"/>
  <c r="I14" i="32"/>
  <c r="I11" i="32"/>
  <c r="I33" i="32"/>
  <c r="I31" i="32"/>
  <c r="I25" i="32"/>
  <c r="I19" i="32"/>
  <c r="I13" i="32"/>
  <c r="I41" i="32"/>
  <c r="I34" i="32"/>
  <c r="I28" i="32"/>
  <c r="I22" i="32"/>
  <c r="I16" i="32"/>
  <c r="I10" i="32"/>
  <c r="I38" i="32"/>
  <c r="C46" i="32"/>
  <c r="I43" i="32"/>
  <c r="I36" i="32"/>
  <c r="I29" i="10"/>
  <c r="I11" i="10"/>
  <c r="E49" i="44"/>
  <c r="I40" i="39"/>
  <c r="I32" i="39"/>
  <c r="I29" i="39"/>
  <c r="I26" i="39"/>
  <c r="I23" i="39"/>
  <c r="I20" i="39"/>
  <c r="I17" i="39"/>
  <c r="I14" i="39"/>
  <c r="I11" i="39"/>
  <c r="I38" i="39"/>
  <c r="I35" i="39"/>
  <c r="I9" i="39"/>
  <c r="I16" i="39"/>
  <c r="F43" i="39"/>
  <c r="I34" i="39"/>
  <c r="I31" i="39"/>
  <c r="I13" i="39"/>
  <c r="I28" i="39"/>
  <c r="I10" i="39"/>
  <c r="I25" i="39"/>
  <c r="I37" i="39"/>
  <c r="I22" i="39"/>
  <c r="I19" i="39"/>
  <c r="I36" i="37"/>
  <c r="H38" i="34"/>
  <c r="I27" i="28"/>
  <c r="D36" i="36"/>
  <c r="C39" i="28"/>
  <c r="H49" i="13"/>
  <c r="I38" i="10"/>
  <c r="C49" i="27"/>
  <c r="I45" i="21"/>
  <c r="I40" i="21"/>
  <c r="I37" i="21"/>
  <c r="I34" i="21"/>
  <c r="I31" i="21"/>
  <c r="I17" i="21"/>
  <c r="I14" i="21"/>
  <c r="I29" i="21"/>
  <c r="I26" i="21"/>
  <c r="I23" i="21"/>
  <c r="I20" i="21"/>
  <c r="I44" i="21"/>
  <c r="I33" i="21"/>
  <c r="I28" i="21"/>
  <c r="I9" i="21"/>
  <c r="I30" i="21"/>
  <c r="I25" i="21"/>
  <c r="I11" i="21"/>
  <c r="I42" i="21"/>
  <c r="I39" i="21"/>
  <c r="I19" i="21"/>
  <c r="I16" i="21"/>
  <c r="I22" i="21"/>
  <c r="I13" i="21"/>
  <c r="I36" i="21"/>
  <c r="I33" i="10"/>
  <c r="I32" i="6"/>
  <c r="I14" i="6"/>
  <c r="I31" i="78"/>
  <c r="D45" i="37"/>
  <c r="F46" i="32"/>
  <c r="I27" i="21"/>
  <c r="I36" i="80"/>
  <c r="I37" i="11"/>
  <c r="I26" i="11"/>
  <c r="I16" i="11"/>
  <c r="I13" i="11"/>
  <c r="I39" i="11"/>
  <c r="I18" i="11"/>
  <c r="I10" i="11"/>
  <c r="I36" i="11"/>
  <c r="I31" i="11"/>
  <c r="I12" i="11"/>
  <c r="I28" i="11"/>
  <c r="I23" i="11"/>
  <c r="I34" i="11"/>
  <c r="I20" i="11"/>
  <c r="I15" i="11"/>
  <c r="I15" i="29"/>
  <c r="C42" i="11"/>
  <c r="I29" i="9"/>
  <c r="I26" i="9"/>
  <c r="I23" i="9"/>
  <c r="I9" i="9"/>
  <c r="I11" i="9"/>
  <c r="I20" i="9"/>
  <c r="I33" i="9"/>
  <c r="I17" i="9"/>
  <c r="I31" i="9"/>
  <c r="E37" i="9"/>
  <c r="I28" i="9"/>
  <c r="I25" i="9"/>
  <c r="I22" i="9"/>
  <c r="I14" i="9"/>
  <c r="I36" i="30"/>
  <c r="I21" i="30"/>
  <c r="I18" i="30"/>
  <c r="I15" i="30"/>
  <c r="I12" i="30"/>
  <c r="I9" i="30"/>
  <c r="I31" i="30"/>
  <c r="I11" i="30"/>
  <c r="I33" i="30"/>
  <c r="I26" i="30"/>
  <c r="I17" i="30"/>
  <c r="I35" i="30"/>
  <c r="I23" i="30"/>
  <c r="I14" i="30"/>
  <c r="I25" i="30"/>
  <c r="E39" i="30"/>
  <c r="I29" i="30"/>
  <c r="I20" i="30"/>
  <c r="I10" i="27"/>
  <c r="I15" i="9"/>
  <c r="I17" i="6"/>
  <c r="F44" i="3"/>
  <c r="I17" i="31"/>
  <c r="F42" i="11"/>
  <c r="I40" i="6"/>
  <c r="H42" i="1"/>
  <c r="I36" i="7"/>
  <c r="I33" i="7"/>
  <c r="I16" i="7"/>
  <c r="I39" i="7"/>
  <c r="I31" i="7"/>
  <c r="I28" i="7"/>
  <c r="I25" i="7"/>
  <c r="I22" i="7"/>
  <c r="I19" i="7"/>
  <c r="I11" i="7"/>
  <c r="I27" i="7"/>
  <c r="I21" i="7"/>
  <c r="I10" i="7"/>
  <c r="I35" i="7"/>
  <c r="I30" i="7"/>
  <c r="I32" i="7"/>
  <c r="I18" i="7"/>
  <c r="I24" i="7"/>
  <c r="I13" i="7"/>
  <c r="I15" i="7"/>
  <c r="I38" i="7"/>
  <c r="I10" i="21"/>
  <c r="I9" i="10"/>
  <c r="I20" i="34"/>
  <c r="I48" i="13"/>
  <c r="I32" i="9"/>
  <c r="I26" i="7"/>
  <c r="I36" i="5"/>
  <c r="I11" i="17"/>
  <c r="I39" i="17"/>
  <c r="I37" i="17"/>
  <c r="I35" i="17"/>
  <c r="I32" i="17"/>
  <c r="I29" i="17"/>
  <c r="I26" i="17"/>
  <c r="I23" i="17"/>
  <c r="I20" i="17"/>
  <c r="I17" i="17"/>
  <c r="I14" i="17"/>
  <c r="I41" i="17"/>
  <c r="I25" i="17"/>
  <c r="I16" i="17"/>
  <c r="I43" i="17"/>
  <c r="I36" i="17"/>
  <c r="I28" i="17"/>
  <c r="I19" i="17"/>
  <c r="I31" i="17"/>
  <c r="I13" i="17"/>
  <c r="I10" i="17"/>
  <c r="I34" i="17"/>
  <c r="I22" i="17"/>
  <c r="I38" i="17"/>
  <c r="I29" i="6"/>
  <c r="I12" i="10"/>
  <c r="C49" i="5"/>
  <c r="I21" i="5"/>
  <c r="E50" i="13"/>
  <c r="H37" i="75"/>
  <c r="C49" i="72"/>
  <c r="I44" i="72"/>
  <c r="I30" i="62"/>
  <c r="I11" i="56"/>
  <c r="I37" i="54"/>
  <c r="I34" i="54"/>
  <c r="I36" i="54"/>
  <c r="I10" i="54"/>
  <c r="I27" i="54"/>
  <c r="I22" i="54"/>
  <c r="I20" i="54"/>
  <c r="I14" i="54"/>
  <c r="I32" i="54"/>
  <c r="I26" i="54"/>
  <c r="I9" i="54"/>
  <c r="I39" i="54"/>
  <c r="I17" i="54"/>
  <c r="I13" i="54"/>
  <c r="I11" i="54"/>
  <c r="I19" i="54"/>
  <c r="I21" i="54"/>
  <c r="I30" i="54"/>
  <c r="I43" i="50"/>
  <c r="I34" i="50"/>
  <c r="I28" i="50"/>
  <c r="I22" i="50"/>
  <c r="I14" i="50"/>
  <c r="I40" i="50"/>
  <c r="I9" i="50"/>
  <c r="I33" i="50"/>
  <c r="I25" i="50"/>
  <c r="I27" i="50"/>
  <c r="I17" i="50"/>
  <c r="I11" i="50"/>
  <c r="I37" i="50"/>
  <c r="I19" i="50"/>
  <c r="I31" i="50"/>
  <c r="I39" i="50"/>
  <c r="I13" i="50"/>
  <c r="I21" i="50"/>
  <c r="I11" i="46"/>
  <c r="I26" i="22"/>
  <c r="I23" i="22"/>
  <c r="I20" i="22"/>
  <c r="I17" i="22"/>
  <c r="I14" i="22"/>
  <c r="I11" i="22"/>
  <c r="I9" i="22"/>
  <c r="I29" i="22"/>
  <c r="I16" i="22"/>
  <c r="I13" i="22"/>
  <c r="I28" i="22"/>
  <c r="I25" i="22"/>
  <c r="I22" i="22"/>
  <c r="I19" i="22"/>
  <c r="I35" i="6"/>
  <c r="H40" i="78"/>
  <c r="I19" i="72"/>
  <c r="I33" i="70"/>
  <c r="I28" i="70"/>
  <c r="I25" i="70"/>
  <c r="I22" i="70"/>
  <c r="I19" i="70"/>
  <c r="I16" i="70"/>
  <c r="E38" i="70"/>
  <c r="I27" i="70"/>
  <c r="I21" i="70"/>
  <c r="I15" i="70"/>
  <c r="I10" i="70"/>
  <c r="I35" i="70"/>
  <c r="I30" i="70"/>
  <c r="I24" i="70"/>
  <c r="I18" i="70"/>
  <c r="I32" i="70"/>
  <c r="I9" i="70"/>
  <c r="F38" i="70"/>
  <c r="I13" i="70"/>
  <c r="I11" i="70"/>
  <c r="I33" i="66"/>
  <c r="I21" i="66"/>
  <c r="I19" i="66"/>
  <c r="I36" i="66"/>
  <c r="I22" i="66"/>
  <c r="D38" i="66"/>
  <c r="I31" i="66"/>
  <c r="I13" i="66"/>
  <c r="I35" i="66"/>
  <c r="I25" i="66"/>
  <c r="I14" i="66"/>
  <c r="F38" i="66"/>
  <c r="I16" i="66"/>
  <c r="I18" i="66"/>
  <c r="I11" i="66"/>
  <c r="I29" i="66"/>
  <c r="I34" i="66"/>
  <c r="I36" i="56"/>
  <c r="I18" i="62"/>
  <c r="I19" i="52"/>
  <c r="I29" i="54"/>
  <c r="I17" i="44"/>
  <c r="I42" i="41"/>
  <c r="I37" i="28"/>
  <c r="I22" i="28"/>
  <c r="I17" i="28"/>
  <c r="I32" i="28"/>
  <c r="I11" i="28"/>
  <c r="I34" i="28"/>
  <c r="I24" i="28"/>
  <c r="I29" i="28"/>
  <c r="I26" i="28"/>
  <c r="I19" i="28"/>
  <c r="I12" i="28"/>
  <c r="I16" i="28"/>
  <c r="I21" i="28"/>
  <c r="I9" i="28"/>
  <c r="I14" i="28"/>
  <c r="I28" i="28"/>
  <c r="I38" i="44"/>
  <c r="I40" i="24"/>
  <c r="I26" i="24"/>
  <c r="I19" i="24"/>
  <c r="I14" i="24"/>
  <c r="I12" i="24"/>
  <c r="I35" i="24"/>
  <c r="I30" i="24"/>
  <c r="I18" i="24"/>
  <c r="I13" i="24"/>
  <c r="I11" i="24"/>
  <c r="D44" i="24"/>
  <c r="I25" i="24"/>
  <c r="I20" i="24"/>
  <c r="I42" i="24"/>
  <c r="I37" i="24"/>
  <c r="I31" i="24"/>
  <c r="I28" i="24"/>
  <c r="I16" i="24"/>
  <c r="I33" i="24"/>
  <c r="I21" i="24"/>
  <c r="I39" i="24"/>
  <c r="I23" i="24"/>
  <c r="I9" i="24"/>
  <c r="C44" i="46"/>
  <c r="H35" i="14"/>
  <c r="I39" i="33"/>
  <c r="I36" i="33"/>
  <c r="I33" i="33"/>
  <c r="I30" i="33"/>
  <c r="I27" i="33"/>
  <c r="I24" i="33"/>
  <c r="I21" i="33"/>
  <c r="I42" i="33"/>
  <c r="I19" i="33"/>
  <c r="I16" i="33"/>
  <c r="I13" i="33"/>
  <c r="I41" i="33"/>
  <c r="I23" i="33"/>
  <c r="I18" i="33"/>
  <c r="F45" i="33"/>
  <c r="I38" i="33"/>
  <c r="I20" i="33"/>
  <c r="I10" i="33"/>
  <c r="I35" i="33"/>
  <c r="I15" i="33"/>
  <c r="I32" i="33"/>
  <c r="I26" i="33"/>
  <c r="I29" i="33"/>
  <c r="H40" i="12"/>
  <c r="I18" i="5"/>
  <c r="I23" i="6"/>
  <c r="I35" i="5"/>
  <c r="I26" i="80"/>
  <c r="I20" i="75"/>
  <c r="I18" i="75"/>
  <c r="I15" i="75"/>
  <c r="I12" i="75"/>
  <c r="I28" i="75"/>
  <c r="I36" i="75"/>
  <c r="I24" i="75"/>
  <c r="I17" i="75"/>
  <c r="I11" i="75"/>
  <c r="D38" i="75"/>
  <c r="I30" i="75"/>
  <c r="I27" i="75"/>
  <c r="I22" i="75"/>
  <c r="I14" i="75"/>
  <c r="I25" i="75"/>
  <c r="H45" i="73"/>
  <c r="I37" i="72"/>
  <c r="I10" i="67"/>
  <c r="E38" i="66"/>
  <c r="I44" i="69"/>
  <c r="I42" i="69"/>
  <c r="I40" i="69"/>
  <c r="I36" i="69"/>
  <c r="I34" i="69"/>
  <c r="I30" i="69"/>
  <c r="I28" i="69"/>
  <c r="I26" i="69"/>
  <c r="I22" i="69"/>
  <c r="I20" i="69"/>
  <c r="I16" i="69"/>
  <c r="I14" i="69"/>
  <c r="I10" i="69"/>
  <c r="I37" i="69"/>
  <c r="I31" i="69"/>
  <c r="I23" i="69"/>
  <c r="I17" i="69"/>
  <c r="I11" i="69"/>
  <c r="F46" i="69"/>
  <c r="E46" i="69"/>
  <c r="I39" i="69"/>
  <c r="I16" i="64"/>
  <c r="E39" i="64"/>
  <c r="I37" i="56"/>
  <c r="I15" i="54"/>
  <c r="I23" i="50"/>
  <c r="I13" i="72"/>
  <c r="I38" i="54"/>
  <c r="I26" i="50"/>
  <c r="I32" i="59"/>
  <c r="I30" i="59"/>
  <c r="I26" i="59"/>
  <c r="I24" i="59"/>
  <c r="I20" i="59"/>
  <c r="I18" i="59"/>
  <c r="I14" i="59"/>
  <c r="I12" i="59"/>
  <c r="I17" i="59"/>
  <c r="I15" i="59"/>
  <c r="I29" i="59"/>
  <c r="I27" i="59"/>
  <c r="I11" i="59"/>
  <c r="I9" i="59"/>
  <c r="I23" i="59"/>
  <c r="I21" i="59"/>
  <c r="I35" i="59"/>
  <c r="H48" i="47"/>
  <c r="H39" i="52"/>
  <c r="C44" i="41"/>
  <c r="I45" i="47"/>
  <c r="I42" i="47"/>
  <c r="I32" i="47"/>
  <c r="I29" i="47"/>
  <c r="I26" i="47"/>
  <c r="I23" i="47"/>
  <c r="I20" i="47"/>
  <c r="I17" i="47"/>
  <c r="I14" i="47"/>
  <c r="I11" i="47"/>
  <c r="I40" i="47"/>
  <c r="I38" i="47"/>
  <c r="I35" i="47"/>
  <c r="I25" i="47"/>
  <c r="I37" i="47"/>
  <c r="I22" i="47"/>
  <c r="I47" i="47"/>
  <c r="I39" i="47"/>
  <c r="I19" i="47"/>
  <c r="I44" i="47"/>
  <c r="I34" i="47"/>
  <c r="I16" i="47"/>
  <c r="I41" i="47"/>
  <c r="I10" i="47"/>
  <c r="I31" i="47"/>
  <c r="I13" i="47"/>
  <c r="I28" i="47"/>
  <c r="H44" i="38"/>
  <c r="I29" i="41"/>
  <c r="I17" i="10"/>
  <c r="I14" i="31"/>
  <c r="I39" i="29"/>
  <c r="I18" i="13"/>
  <c r="I34" i="33"/>
  <c r="I41" i="10"/>
  <c r="I38" i="6"/>
  <c r="I20" i="6"/>
  <c r="I36" i="28"/>
  <c r="I9" i="33"/>
  <c r="I10" i="24"/>
  <c r="H41" i="8"/>
  <c r="H40" i="7"/>
  <c r="I42" i="3"/>
  <c r="I34" i="3"/>
  <c r="I28" i="3"/>
  <c r="I22" i="3"/>
  <c r="I16" i="3"/>
  <c r="I10" i="3"/>
  <c r="I31" i="3"/>
  <c r="I19" i="3"/>
  <c r="I41" i="3"/>
  <c r="D44" i="3"/>
  <c r="I36" i="3"/>
  <c r="I25" i="3"/>
  <c r="I13" i="3"/>
  <c r="E44" i="3"/>
  <c r="I39" i="3"/>
  <c r="I15" i="80"/>
  <c r="I10" i="75"/>
  <c r="I32" i="76"/>
  <c r="I33" i="75"/>
  <c r="I20" i="79"/>
  <c r="C38" i="75"/>
  <c r="I35" i="76"/>
  <c r="I26" i="72"/>
  <c r="I18" i="69"/>
  <c r="I34" i="67"/>
  <c r="I19" i="69"/>
  <c r="I26" i="70"/>
  <c r="I35" i="77"/>
  <c r="I33" i="77"/>
  <c r="I16" i="77"/>
  <c r="I13" i="77"/>
  <c r="I10" i="77"/>
  <c r="I25" i="77"/>
  <c r="I22" i="77"/>
  <c r="I19" i="77"/>
  <c r="I12" i="77"/>
  <c r="I32" i="77"/>
  <c r="I15" i="77"/>
  <c r="I18" i="77"/>
  <c r="E38" i="77"/>
  <c r="I9" i="77"/>
  <c r="I33" i="80"/>
  <c r="I24" i="77"/>
  <c r="I31" i="75"/>
  <c r="I37" i="79"/>
  <c r="I30" i="78"/>
  <c r="C39" i="80"/>
  <c r="I34" i="79"/>
  <c r="I15" i="79"/>
  <c r="I26" i="76"/>
  <c r="I25" i="80"/>
  <c r="I17" i="78"/>
  <c r="I23" i="77"/>
  <c r="E43" i="79"/>
  <c r="I18" i="79"/>
  <c r="D43" i="79"/>
  <c r="I29" i="76"/>
  <c r="I13" i="75"/>
  <c r="I29" i="75"/>
  <c r="I22" i="67"/>
  <c r="I28" i="72"/>
  <c r="I23" i="70"/>
  <c r="I32" i="68"/>
  <c r="I28" i="68"/>
  <c r="I17" i="68"/>
  <c r="I15" i="68"/>
  <c r="I34" i="68"/>
  <c r="I26" i="68"/>
  <c r="I19" i="68"/>
  <c r="I10" i="68"/>
  <c r="I29" i="68"/>
  <c r="I27" i="68"/>
  <c r="I9" i="68"/>
  <c r="C39" i="68"/>
  <c r="I14" i="68"/>
  <c r="I37" i="68"/>
  <c r="I24" i="68"/>
  <c r="I22" i="68"/>
  <c r="I44" i="73"/>
  <c r="I35" i="73"/>
  <c r="I29" i="73"/>
  <c r="I23" i="73"/>
  <c r="I17" i="73"/>
  <c r="I13" i="73"/>
  <c r="I41" i="73"/>
  <c r="I11" i="73"/>
  <c r="I30" i="73"/>
  <c r="I24" i="73"/>
  <c r="I18" i="73"/>
  <c r="I38" i="73"/>
  <c r="I32" i="73"/>
  <c r="I14" i="73"/>
  <c r="F46" i="73"/>
  <c r="I21" i="73"/>
  <c r="I40" i="73"/>
  <c r="I33" i="73"/>
  <c r="I15" i="73"/>
  <c r="I27" i="73"/>
  <c r="I12" i="73"/>
  <c r="I10" i="73"/>
  <c r="I20" i="73"/>
  <c r="I36" i="73"/>
  <c r="I19" i="75"/>
  <c r="I14" i="70"/>
  <c r="I28" i="66"/>
  <c r="I11" i="67"/>
  <c r="I24" i="66"/>
  <c r="I33" i="64"/>
  <c r="I39" i="73"/>
  <c r="I12" i="70"/>
  <c r="I27" i="69"/>
  <c r="I43" i="69"/>
  <c r="I15" i="69"/>
  <c r="I15" i="66"/>
  <c r="I21" i="64"/>
  <c r="I10" i="62"/>
  <c r="I38" i="62"/>
  <c r="I24" i="72"/>
  <c r="I10" i="66"/>
  <c r="C50" i="62"/>
  <c r="I24" i="62"/>
  <c r="F46" i="56"/>
  <c r="I24" i="56"/>
  <c r="I14" i="71"/>
  <c r="I34" i="60"/>
  <c r="I28" i="59"/>
  <c r="I10" i="59"/>
  <c r="I20" i="70"/>
  <c r="I18" i="64"/>
  <c r="I22" i="60"/>
  <c r="I39" i="56"/>
  <c r="I21" i="56"/>
  <c r="I29" i="62"/>
  <c r="I19" i="60"/>
  <c r="I31" i="59"/>
  <c r="I16" i="68"/>
  <c r="F41" i="54"/>
  <c r="I25" i="52"/>
  <c r="I12" i="54"/>
  <c r="I12" i="71"/>
  <c r="I14" i="60"/>
  <c r="I17" i="58"/>
  <c r="I31" i="54"/>
  <c r="I29" i="51"/>
  <c r="I27" i="51"/>
  <c r="I20" i="51"/>
  <c r="I15" i="51"/>
  <c r="I35" i="51"/>
  <c r="I33" i="51"/>
  <c r="I22" i="51"/>
  <c r="I10" i="51"/>
  <c r="I30" i="51"/>
  <c r="I16" i="51"/>
  <c r="I13" i="51"/>
  <c r="I34" i="51"/>
  <c r="I25" i="51"/>
  <c r="I18" i="51"/>
  <c r="I9" i="51"/>
  <c r="I11" i="51"/>
  <c r="I23" i="51"/>
  <c r="I18" i="50"/>
  <c r="I14" i="49"/>
  <c r="I23" i="57"/>
  <c r="I17" i="57"/>
  <c r="I15" i="57"/>
  <c r="I12" i="57"/>
  <c r="I26" i="57"/>
  <c r="I9" i="57"/>
  <c r="I21" i="57"/>
  <c r="I11" i="57"/>
  <c r="I24" i="54"/>
  <c r="I32" i="51"/>
  <c r="I32" i="44"/>
  <c r="C38" i="66"/>
  <c r="I35" i="54"/>
  <c r="D39" i="64"/>
  <c r="E46" i="56"/>
  <c r="I37" i="51"/>
  <c r="F44" i="46"/>
  <c r="I27" i="45"/>
  <c r="I26" i="44"/>
  <c r="I36" i="43"/>
  <c r="I43" i="63"/>
  <c r="I41" i="63"/>
  <c r="I30" i="63"/>
  <c r="I27" i="63"/>
  <c r="I24" i="63"/>
  <c r="I21" i="63"/>
  <c r="I18" i="63"/>
  <c r="I15" i="63"/>
  <c r="F47" i="63"/>
  <c r="I32" i="63"/>
  <c r="I26" i="63"/>
  <c r="I20" i="63"/>
  <c r="I14" i="63"/>
  <c r="I45" i="63"/>
  <c r="I38" i="63"/>
  <c r="I29" i="63"/>
  <c r="I23" i="63"/>
  <c r="I17" i="63"/>
  <c r="I10" i="63"/>
  <c r="I35" i="63"/>
  <c r="I42" i="63"/>
  <c r="I34" i="63"/>
  <c r="I12" i="63"/>
  <c r="I42" i="55"/>
  <c r="I38" i="55"/>
  <c r="I36" i="55"/>
  <c r="I33" i="55"/>
  <c r="I27" i="55"/>
  <c r="I21" i="55"/>
  <c r="I15" i="55"/>
  <c r="I9" i="55"/>
  <c r="I39" i="55"/>
  <c r="I26" i="55"/>
  <c r="I12" i="55"/>
  <c r="I20" i="55"/>
  <c r="I30" i="55"/>
  <c r="I24" i="55"/>
  <c r="I18" i="55"/>
  <c r="I32" i="55"/>
  <c r="I36" i="51"/>
  <c r="I20" i="46"/>
  <c r="I16" i="45"/>
  <c r="I19" i="59"/>
  <c r="C28" i="57"/>
  <c r="D49" i="44"/>
  <c r="I12" i="41"/>
  <c r="I15" i="44"/>
  <c r="D44" i="41"/>
  <c r="I21" i="51"/>
  <c r="I9" i="41"/>
  <c r="I41" i="39"/>
  <c r="I30" i="37"/>
  <c r="F36" i="36"/>
  <c r="I16" i="50"/>
  <c r="I40" i="46"/>
  <c r="I35" i="40"/>
  <c r="I30" i="40"/>
  <c r="I27" i="40"/>
  <c r="I24" i="40"/>
  <c r="I19" i="40"/>
  <c r="I16" i="40"/>
  <c r="I13" i="40"/>
  <c r="I10" i="40"/>
  <c r="E40" i="40"/>
  <c r="I37" i="40"/>
  <c r="I34" i="40"/>
  <c r="I23" i="40"/>
  <c r="I15" i="40"/>
  <c r="I12" i="40"/>
  <c r="I9" i="40"/>
  <c r="F40" i="40"/>
  <c r="I21" i="40"/>
  <c r="I18" i="40"/>
  <c r="I32" i="40"/>
  <c r="I29" i="40"/>
  <c r="I26" i="40"/>
  <c r="I40" i="38"/>
  <c r="I35" i="38"/>
  <c r="I32" i="38"/>
  <c r="I29" i="38"/>
  <c r="I26" i="38"/>
  <c r="I23" i="38"/>
  <c r="I20" i="38"/>
  <c r="I17" i="38"/>
  <c r="I14" i="38"/>
  <c r="I11" i="38"/>
  <c r="I43" i="38"/>
  <c r="I38" i="38"/>
  <c r="I28" i="38"/>
  <c r="I10" i="38"/>
  <c r="I25" i="38"/>
  <c r="I22" i="38"/>
  <c r="I37" i="38"/>
  <c r="I19" i="38"/>
  <c r="I39" i="38"/>
  <c r="I16" i="38"/>
  <c r="I13" i="38"/>
  <c r="I34" i="38"/>
  <c r="I31" i="38"/>
  <c r="I42" i="38"/>
  <c r="D40" i="43"/>
  <c r="I13" i="37"/>
  <c r="I31" i="33"/>
  <c r="C42" i="31"/>
  <c r="I21" i="29"/>
  <c r="I25" i="28"/>
  <c r="I34" i="27"/>
  <c r="I41" i="24"/>
  <c r="I26" i="41"/>
  <c r="I42" i="32"/>
  <c r="I38" i="13"/>
  <c r="I26" i="10"/>
  <c r="I45" i="42"/>
  <c r="I40" i="42"/>
  <c r="I43" i="42"/>
  <c r="I35" i="42"/>
  <c r="I32" i="42"/>
  <c r="I29" i="42"/>
  <c r="I26" i="42"/>
  <c r="I23" i="42"/>
  <c r="I20" i="42"/>
  <c r="I17" i="42"/>
  <c r="I14" i="42"/>
  <c r="I11" i="42"/>
  <c r="I31" i="42"/>
  <c r="I22" i="42"/>
  <c r="I13" i="42"/>
  <c r="I37" i="42"/>
  <c r="I28" i="42"/>
  <c r="I19" i="42"/>
  <c r="I10" i="42"/>
  <c r="I42" i="42"/>
  <c r="I25" i="42"/>
  <c r="I16" i="42"/>
  <c r="I34" i="42"/>
  <c r="I39" i="42"/>
  <c r="I24" i="38"/>
  <c r="C39" i="34"/>
  <c r="I43" i="33"/>
  <c r="I35" i="32"/>
  <c r="F44" i="29"/>
  <c r="H43" i="29"/>
  <c r="I13" i="28"/>
  <c r="I22" i="27"/>
  <c r="I32" i="24"/>
  <c r="I18" i="43"/>
  <c r="D43" i="39"/>
  <c r="I24" i="34"/>
  <c r="I40" i="33"/>
  <c r="F39" i="28"/>
  <c r="I29" i="25"/>
  <c r="I34" i="24"/>
  <c r="I16" i="36"/>
  <c r="I12" i="33"/>
  <c r="I31" i="28"/>
  <c r="I27" i="22"/>
  <c r="I27" i="13"/>
  <c r="I9" i="13"/>
  <c r="I36" i="10"/>
  <c r="I30" i="9"/>
  <c r="I36" i="42"/>
  <c r="I37" i="33"/>
  <c r="I17" i="33"/>
  <c r="I12" i="32"/>
  <c r="I35" i="27"/>
  <c r="I34" i="26"/>
  <c r="I27" i="26"/>
  <c r="I16" i="26"/>
  <c r="I11" i="26"/>
  <c r="I29" i="26"/>
  <c r="I20" i="26"/>
  <c r="I13" i="26"/>
  <c r="I36" i="26"/>
  <c r="I22" i="26"/>
  <c r="I15" i="26"/>
  <c r="I31" i="26"/>
  <c r="I24" i="26"/>
  <c r="I26" i="26"/>
  <c r="I10" i="26"/>
  <c r="I33" i="26"/>
  <c r="I18" i="26"/>
  <c r="I38" i="21"/>
  <c r="I44" i="13"/>
  <c r="I30" i="11"/>
  <c r="D42" i="31"/>
  <c r="I21" i="25"/>
  <c r="I29" i="78"/>
  <c r="D41" i="53"/>
  <c r="I37" i="35"/>
  <c r="I34" i="35"/>
  <c r="I31" i="35"/>
  <c r="I26" i="35"/>
  <c r="I23" i="35"/>
  <c r="I18" i="35"/>
  <c r="I13" i="35"/>
  <c r="I10" i="35"/>
  <c r="I36" i="35"/>
  <c r="I22" i="35"/>
  <c r="I29" i="35"/>
  <c r="I33" i="35"/>
  <c r="I16" i="35"/>
  <c r="I39" i="35"/>
  <c r="I20" i="35"/>
  <c r="I28" i="35"/>
  <c r="I25" i="35"/>
  <c r="I15" i="35"/>
  <c r="I12" i="35"/>
  <c r="I32" i="31"/>
  <c r="I22" i="29"/>
  <c r="I43" i="21"/>
  <c r="I18" i="16"/>
  <c r="I31" i="15"/>
  <c r="I46" i="13"/>
  <c r="I34" i="80"/>
  <c r="D45" i="33"/>
  <c r="I34" i="31"/>
  <c r="C44" i="29"/>
  <c r="E39" i="28"/>
  <c r="I27" i="25"/>
  <c r="I27" i="24"/>
  <c r="I12" i="22"/>
  <c r="I25" i="14"/>
  <c r="I21" i="13"/>
  <c r="I9" i="11"/>
  <c r="I35" i="18"/>
  <c r="I32" i="18"/>
  <c r="I29" i="18"/>
  <c r="I25" i="18"/>
  <c r="I37" i="18"/>
  <c r="I22" i="18"/>
  <c r="I31" i="18"/>
  <c r="I19" i="18"/>
  <c r="I28" i="18"/>
  <c r="I16" i="18"/>
  <c r="I11" i="18"/>
  <c r="I34" i="18"/>
  <c r="I12" i="14"/>
  <c r="I32" i="12"/>
  <c r="I10" i="9"/>
  <c r="I29" i="7"/>
  <c r="I30" i="3"/>
  <c r="I12" i="21"/>
  <c r="I38" i="8"/>
  <c r="I35" i="8"/>
  <c r="I32" i="8"/>
  <c r="I29" i="8"/>
  <c r="I26" i="8"/>
  <c r="I23" i="8"/>
  <c r="I20" i="8"/>
  <c r="I17" i="8"/>
  <c r="I14" i="8"/>
  <c r="I11" i="8"/>
  <c r="I28" i="8"/>
  <c r="I10" i="8"/>
  <c r="I25" i="8"/>
  <c r="I37" i="8"/>
  <c r="I13" i="8"/>
  <c r="C42" i="8"/>
  <c r="I34" i="8"/>
  <c r="I22" i="8"/>
  <c r="I40" i="8"/>
  <c r="I31" i="8"/>
  <c r="I19" i="8"/>
  <c r="I16" i="8"/>
  <c r="I17" i="3"/>
  <c r="I35" i="3"/>
  <c r="F40" i="15"/>
  <c r="I15" i="14"/>
  <c r="I13" i="9"/>
  <c r="I24" i="5"/>
  <c r="I32" i="3"/>
  <c r="I20" i="3"/>
  <c r="I40" i="3"/>
  <c r="D44" i="29"/>
  <c r="C40" i="16"/>
  <c r="I27" i="10"/>
  <c r="I24" i="8"/>
  <c r="I33" i="18"/>
  <c r="I36" i="15"/>
  <c r="F41" i="12"/>
  <c r="I33" i="3"/>
  <c r="I36" i="23"/>
  <c r="I38" i="23"/>
  <c r="I28" i="23"/>
  <c r="I18" i="23"/>
  <c r="I33" i="23"/>
  <c r="I30" i="23"/>
  <c r="I25" i="23"/>
  <c r="I22" i="23"/>
  <c r="I13" i="23"/>
  <c r="I11" i="23"/>
  <c r="I19" i="23"/>
  <c r="I21" i="23"/>
  <c r="I10" i="23"/>
  <c r="I31" i="23"/>
  <c r="I12" i="23"/>
  <c r="I16" i="23"/>
  <c r="I46" i="10"/>
  <c r="I19" i="4"/>
  <c r="I11" i="4"/>
  <c r="I40" i="4"/>
  <c r="I26" i="4"/>
  <c r="D43" i="4"/>
  <c r="I39" i="4"/>
  <c r="I35" i="4"/>
  <c r="I29" i="4"/>
  <c r="I25" i="4"/>
  <c r="I23" i="4"/>
  <c r="I13" i="4"/>
  <c r="F43" i="4"/>
  <c r="I32" i="4"/>
  <c r="I20" i="4"/>
  <c r="I14" i="4"/>
  <c r="E43" i="4"/>
  <c r="I37" i="4"/>
  <c r="I31" i="4"/>
  <c r="I17" i="4"/>
  <c r="I44" i="5"/>
</calcChain>
</file>

<file path=xl/sharedStrings.xml><?xml version="1.0" encoding="utf-8"?>
<sst xmlns="http://schemas.openxmlformats.org/spreadsheetml/2006/main" count="10033" uniqueCount="358">
  <si>
    <t>PRODUTTORE</t>
  </si>
  <si>
    <t>COMUNE DI AMARO</t>
  </si>
  <si>
    <t>PERIODO</t>
  </si>
  <si>
    <t>01/01/2024 - 30/09/2024</t>
  </si>
  <si>
    <t>ABITANTI</t>
  </si>
  <si>
    <t>KG/PERIODO</t>
  </si>
  <si>
    <t>GRUPPO RIFIUTI</t>
  </si>
  <si>
    <t>RIFIUTO</t>
  </si>
  <si>
    <t>DOMICILIARE</t>
  </si>
  <si>
    <t>STRADALE</t>
  </si>
  <si>
    <t>CDR</t>
  </si>
  <si>
    <t>ALTRO</t>
  </si>
  <si>
    <t>TOTALE</t>
  </si>
  <si>
    <t>KG/AB/PERIODO</t>
  </si>
  <si>
    <t>% TOTALE</t>
  </si>
  <si>
    <t>% SU 2023</t>
  </si>
  <si>
    <t>Rifiuti urbani differenziati</t>
  </si>
  <si>
    <t>080318 - Toner</t>
  </si>
  <si>
    <t>150101 - imballaggi in carta e cartone</t>
  </si>
  <si>
    <t>150106 - Multimateriale Plastica + lattine</t>
  </si>
  <si>
    <t>150107 - Imballaggi in vetro</t>
  </si>
  <si>
    <t>150111 - * Bombolette spray</t>
  </si>
  <si>
    <t>160103 - Pneumatici</t>
  </si>
  <si>
    <t>170904 - Inerti</t>
  </si>
  <si>
    <t>200101 - Carta e cartone</t>
  </si>
  <si>
    <t>200102 - Lastre di vetro</t>
  </si>
  <si>
    <t>200108 - Umido</t>
  </si>
  <si>
    <t>200110 - Abbigliamento</t>
  </si>
  <si>
    <t>200111 - Prodotti tessili</t>
  </si>
  <si>
    <t>200123 - * RAEE R1 (Frigoriferi)</t>
  </si>
  <si>
    <t>200125 - Oli vegetali</t>
  </si>
  <si>
    <t>200126 - * Oli pericolosi</t>
  </si>
  <si>
    <t>200127 - * Pitture e vernici pericolose</t>
  </si>
  <si>
    <t>200132 - Medicinali scaduti</t>
  </si>
  <si>
    <t>200133 - * Batterie al piombo</t>
  </si>
  <si>
    <t>200133 - * Pile portatili</t>
  </si>
  <si>
    <t>200135 - * RAEE R3 (TV e monitor)</t>
  </si>
  <si>
    <t>200136 - RAEE R2 (Lavatrici)</t>
  </si>
  <si>
    <t>200138 - Legno</t>
  </si>
  <si>
    <t>200139 - Plastiche dure</t>
  </si>
  <si>
    <t>200140 - Metallo</t>
  </si>
  <si>
    <t>200201 - Verde</t>
  </si>
  <si>
    <t>200121 - * RAEE R5 (Lampade fluorescenti)</t>
  </si>
  <si>
    <t>200136 - RAEE R4 (Piccoli elettrodomestici)</t>
  </si>
  <si>
    <t>Rifiuti urbani non differenziati</t>
  </si>
  <si>
    <t>200301 - R.S.U. Secco residuo</t>
  </si>
  <si>
    <t>200307 - Ingombranti</t>
  </si>
  <si>
    <t>200303 - Residui della pulizia stradale</t>
  </si>
  <si>
    <t>Altri rifiuti urbani</t>
  </si>
  <si>
    <t>170603 - * Altri materiali isolanti</t>
  </si>
  <si>
    <t>170802 - Mater. da costruz. a base di gesso</t>
  </si>
  <si>
    <t>160216 - Toner</t>
  </si>
  <si>
    <t>* rifiuti pericolosi</t>
  </si>
  <si>
    <t>GRUPPO RIFIUTI (kg/periodo)</t>
  </si>
  <si>
    <t>RIFIUTI URBANI DIFFERENZIATI</t>
  </si>
  <si>
    <t>RIFIUTI URBANI NON DIFFERENZIATI</t>
  </si>
  <si>
    <t>ALTRI RIFIUTI URBANI</t>
  </si>
  <si>
    <t>PERCENTUALE RACCOLTA DIFFERENZIATA</t>
  </si>
  <si>
    <t>PERCENTUALE RACCOLTA DIFFERENZIATA (ARPA)</t>
  </si>
  <si>
    <t>2023 A&amp;T 2000</t>
  </si>
  <si>
    <t>LEGENDA</t>
  </si>
  <si>
    <t>'2023</t>
  </si>
  <si>
    <t>% RD calcolata secondo le linee guida ARPA</t>
  </si>
  <si>
    <t>% RD del Comune 
nell'anno 2024</t>
  </si>
  <si>
    <t>% RD del Comune 
nell'anno 2023</t>
  </si>
  <si>
    <t>% RD media del bacino 
di A&amp;T2000 nell'anno 2023</t>
  </si>
  <si>
    <t>PERCENTUALE RACCOLTA DIFFERENZIATA (A&amp;T 2000)</t>
  </si>
  <si>
    <t>% RD calcolata al netto degli scarti dei rifiuti raccolti</t>
  </si>
  <si>
    <t>DIFFERENZIALI PRINCIPALI PARAMETRI (kg/ab anno)</t>
  </si>
  <si>
    <t>COMUNE DI AMARO**</t>
  </si>
  <si>
    <t>A&amp;T 2000 **</t>
  </si>
  <si>
    <t>TARIC **</t>
  </si>
  <si>
    <t>PROIEZIONE ***</t>
  </si>
  <si>
    <t>SECCO RESIDUO</t>
  </si>
  <si>
    <t>ORGANICO</t>
  </si>
  <si>
    <t>RIF. DIFF.</t>
  </si>
  <si>
    <t>RIF. NON DIFF.</t>
  </si>
  <si>
    <t>COMUNE DI ________**</t>
  </si>
  <si>
    <t>media degli ultimi 5 anni del Comune diAMARO</t>
  </si>
  <si>
    <t>media degli ultimi 5 anni di tutti i Comuni del bacino di A&amp;T 2000</t>
  </si>
  <si>
    <t>media degli ultimi 5 anni dei Comuni dove si applica la TARIC</t>
  </si>
  <si>
    <t>Proiezione dei dati parziali sull'anno in corso</t>
  </si>
  <si>
    <t>COMUNE DI AMPEZZO</t>
  </si>
  <si>
    <t>COMUNE DI AMPEZZO**</t>
  </si>
  <si>
    <t>media degli ultimi 5 anni del Comune diAMPEZZO</t>
  </si>
  <si>
    <t>COMUNE DI ARTA TERME</t>
  </si>
  <si>
    <t>170604 - Materiali isolanti</t>
  </si>
  <si>
    <t>COMUNE DI ARTA TERME**</t>
  </si>
  <si>
    <t>media degli ultimi 5 anni del Comune diARTA TERME</t>
  </si>
  <si>
    <t>COMUNE DI ARTEGNA</t>
  </si>
  <si>
    <t>150102 - Imballaggi in plastica</t>
  </si>
  <si>
    <t>COMUNE DI ARTEGNA**</t>
  </si>
  <si>
    <t>media degli ultimi 5 anni del Comune diARTEGNA</t>
  </si>
  <si>
    <t>COMUNE DI BASILIANO</t>
  </si>
  <si>
    <t>170204 - Vetro, plastica e legno pericolosi</t>
  </si>
  <si>
    <t>150110 - * Imballaggi per pitture e vernici</t>
  </si>
  <si>
    <t>160304 - Rifiuti inorganici</t>
  </si>
  <si>
    <t>160504 - Bombolette spray</t>
  </si>
  <si>
    <t>170301 - Miscele bituminose contenenti catrame di carbone</t>
  </si>
  <si>
    <t>170101 - Cemento</t>
  </si>
  <si>
    <t>COMUNE DI BASILIANO**</t>
  </si>
  <si>
    <t>media degli ultimi 5 anni del Comune diBASILIANO</t>
  </si>
  <si>
    <t>COMUNE DI BERTIOLO</t>
  </si>
  <si>
    <t>COMUNE DI BERTIOLO**</t>
  </si>
  <si>
    <t>media degli ultimi 5 anni del Comune diBERTIOLO</t>
  </si>
  <si>
    <t>COMUNE DI BORDANO</t>
  </si>
  <si>
    <t>COMUNE DI BORDANO**</t>
  </si>
  <si>
    <t>media degli ultimi 5 anni del Comune diBORDANO</t>
  </si>
  <si>
    <t>COMUNE DI BUTTRIO</t>
  </si>
  <si>
    <t>COMUNE DI BUTTRIO**</t>
  </si>
  <si>
    <t>media degli ultimi 5 anni del Comune diBUTTRIO</t>
  </si>
  <si>
    <t>COMUNE DI CAMINO AL TAGLIAMENTO</t>
  </si>
  <si>
    <t>COMUNE DI CAMINO AL TAGLIAMENTO**</t>
  </si>
  <si>
    <t>media degli ultimi 5 anni del Comune diCAMINO AL TAGLIAMENTO</t>
  </si>
  <si>
    <t>COMUNE DI CAMPOFORMIDO</t>
  </si>
  <si>
    <t>200306 - Pulizia fognature</t>
  </si>
  <si>
    <t>170201 - LEgno</t>
  </si>
  <si>
    <t>COMUNE DI CAMPOFORMIDO**</t>
  </si>
  <si>
    <t>media degli ultimi 5 anni del Comune diCAMPOFORMIDO</t>
  </si>
  <si>
    <t>COMUNE DI CAVAZZO CARNICO</t>
  </si>
  <si>
    <t>200304 - fanghi</t>
  </si>
  <si>
    <t>COMUNE DI CAVAZZO CARNICO**</t>
  </si>
  <si>
    <t>media degli ultimi 5 anni del Comune diCAVAZZO CARNICO</t>
  </si>
  <si>
    <t>COMUNE DI CERCIVENTO</t>
  </si>
  <si>
    <t>COMUNE DI CERCIVENTO**</t>
  </si>
  <si>
    <t>media degli ultimi 5 anni del Comune diCERCIVENTO</t>
  </si>
  <si>
    <t>COMUNE DI CODROIPO</t>
  </si>
  <si>
    <t>170503 - Terre e rocce, contenenti sostanze pericolose</t>
  </si>
  <si>
    <t>160708 - rifiuti contenenti olio</t>
  </si>
  <si>
    <t>160305 - * Rifiuti organici pericolosi</t>
  </si>
  <si>
    <t>COMUNE DI CODROIPO**</t>
  </si>
  <si>
    <t>media degli ultimi 5 anni del Comune diCODROIPO</t>
  </si>
  <si>
    <t>COMUNE DI COLLOREDO DI MONTE ALBANO</t>
  </si>
  <si>
    <t>150104 - Imballaggi metallici (lattine)</t>
  </si>
  <si>
    <t>COMUNE DI COLLOREDO DI MONTE ALBANO**</t>
  </si>
  <si>
    <t>media degli ultimi 5 anni del Comune diCOLLOREDO DI MONTE ALBANO</t>
  </si>
  <si>
    <t>COMUNE DI COMEGLIANS</t>
  </si>
  <si>
    <t>COMUNE DI COMEGLIANS**</t>
  </si>
  <si>
    <t>media degli ultimi 5 anni del Comune diCOMEGLIANS</t>
  </si>
  <si>
    <t>COMUNE DI CORNO DI ROSAZZO</t>
  </si>
  <si>
    <t>COMUNE DI CORNO DI ROSAZZO**</t>
  </si>
  <si>
    <t>media degli ultimi 5 anni del Comune diCORNO DI ROSAZZO</t>
  </si>
  <si>
    <t>COMUNE DI COSEANO</t>
  </si>
  <si>
    <t>200203 - Altri rifiuti non compostabili</t>
  </si>
  <si>
    <t>200134 - * Pile portatili</t>
  </si>
  <si>
    <t>170903 - * Altri rifiuti inerti</t>
  </si>
  <si>
    <t>COMUNE DI COSEANO**</t>
  </si>
  <si>
    <t>media degli ultimi 5 anni del Comune diCOSEANO</t>
  </si>
  <si>
    <t>COMUNE DI DIGNANO</t>
  </si>
  <si>
    <t>COMUNE DI DIGNANO**</t>
  </si>
  <si>
    <t>media degli ultimi 5 anni del Comune diDIGNANO</t>
  </si>
  <si>
    <t>COMUNE DI DOGNA</t>
  </si>
  <si>
    <t>COMUNE DI DOGNA**</t>
  </si>
  <si>
    <t>media degli ultimi 5 anni del Comune diDOGNA</t>
  </si>
  <si>
    <t>COMUNE DI ENEMONZO</t>
  </si>
  <si>
    <t>190802 - Rifiuti dell'eliminazione della sabbia</t>
  </si>
  <si>
    <t>COMUNE DI ENEMONZO**</t>
  </si>
  <si>
    <t>media degli ultimi 5 anni del Comune diENEMONZO</t>
  </si>
  <si>
    <t>COMUNE DI FAGAGNA</t>
  </si>
  <si>
    <t>170107 - Inerti</t>
  </si>
  <si>
    <t>200137 - legno, contenente sostanze pericolose</t>
  </si>
  <si>
    <t>170203 - Plastica</t>
  </si>
  <si>
    <t>COMUNE DI FAGAGNA**</t>
  </si>
  <si>
    <t>media degli ultimi 5 anni del Comune diFAGAGNA</t>
  </si>
  <si>
    <t>COMUNE DI FLAIBANO</t>
  </si>
  <si>
    <t>COMUNE DI FLAIBANO**</t>
  </si>
  <si>
    <t>media degli ultimi 5 anni del Comune diFLAIBANO</t>
  </si>
  <si>
    <t>COMUNE DI FORGARIA NEL FRIULI</t>
  </si>
  <si>
    <t>170405 - Ferro e acciaio</t>
  </si>
  <si>
    <t>COMUNE DI FORGARIA NEL FRIULI**</t>
  </si>
  <si>
    <t>media degli ultimi 5 anni del Comune diFORGARIA NEL FRIULI</t>
  </si>
  <si>
    <t>COMUNE DI FORNI AVOLTRI</t>
  </si>
  <si>
    <t>130205 - scarti olio minerale</t>
  </si>
  <si>
    <t xml:space="preserve">160211 - Apparecchiature fuori uso, contenenti clorofluorocarburi, HCFC, HFC   </t>
  </si>
  <si>
    <t>160104 - Veicoli fuori uso</t>
  </si>
  <si>
    <t>COMUNE DI FORNI AVOLTRI**</t>
  </si>
  <si>
    <t>media degli ultimi 5 anni del Comune diFORNI AVOLTRI</t>
  </si>
  <si>
    <t>COMUNE DI FORNI DI SOPRA</t>
  </si>
  <si>
    <t>COMUNE DI FORNI DI SOPRA**</t>
  </si>
  <si>
    <t>media degli ultimi 5 anni del Comune diFORNI DI SOPRA</t>
  </si>
  <si>
    <t>COMUNE DI FORNI DI SOTTO</t>
  </si>
  <si>
    <t>COMUNE DI FORNI DI SOTTO**</t>
  </si>
  <si>
    <t>media degli ultimi 5 anni del Comune diFORNI DI SOTTO</t>
  </si>
  <si>
    <t>COMUNE DI GEMONA DEL FRIULI</t>
  </si>
  <si>
    <t>170406 - Stagno</t>
  </si>
  <si>
    <t>COMUNE DI GEMONA DEL FRIULI**</t>
  </si>
  <si>
    <t>media degli ultimi 5 anni del Comune diGEMONA DEL FRIULI</t>
  </si>
  <si>
    <t>COMUNE DI LAUCO</t>
  </si>
  <si>
    <t>COMUNE DI LAUCO**</t>
  </si>
  <si>
    <t>media degli ultimi 5 anni del Comune diLAUCO</t>
  </si>
  <si>
    <t>COMUNE DI LESTIZZA</t>
  </si>
  <si>
    <t>COMUNE DI LESTIZZA**</t>
  </si>
  <si>
    <t>media degli ultimi 5 anni del Comune diLESTIZZA</t>
  </si>
  <si>
    <t>COMUNE DI LUSEVERA</t>
  </si>
  <si>
    <t xml:space="preserve">170605 - Materiali costruzione con amianto       </t>
  </si>
  <si>
    <t>COMUNE DI LUSEVERA**</t>
  </si>
  <si>
    <t>media degli ultimi 5 anni del Comune diLUSEVERA</t>
  </si>
  <si>
    <t>COMUNE DI MAGNANO IN RIVIERA</t>
  </si>
  <si>
    <t>160213 - apparecchiature fuori uso, contenenti componenti pericolosi (2) diversi da quelli di cui alle voci 16 02 09 e 16 02 12</t>
  </si>
  <si>
    <t>COMUNE DI MAGNANO IN RIVIERA**</t>
  </si>
  <si>
    <t>media degli ultimi 5 anni del Comune diMAGNANO IN RIVIERA</t>
  </si>
  <si>
    <t>COMUNE DI MAJANO</t>
  </si>
  <si>
    <t>200129 - Detergenti contenenti sostanze pericolose</t>
  </si>
  <si>
    <t>COMUNE DI MAJANO**</t>
  </si>
  <si>
    <t>media degli ultimi 5 anni del Comune diMAJANO</t>
  </si>
  <si>
    <t>COMUNE DI MARTIGNACCO</t>
  </si>
  <si>
    <t>COMUNE DI MARTIGNACCO**</t>
  </si>
  <si>
    <t>media degli ultimi 5 anni del Comune diMARTIGNACCO</t>
  </si>
  <si>
    <t>COMUNE DI MOGGIO UDINESE</t>
  </si>
  <si>
    <t>COMUNE DI MOGGIO UDINESE**</t>
  </si>
  <si>
    <t>media degli ultimi 5 anni del Comune diMOGGIO UDINESE</t>
  </si>
  <si>
    <t>COMUNE DI MOIMACCO</t>
  </si>
  <si>
    <t>COMUNE DI MOIMACCO**</t>
  </si>
  <si>
    <t>media degli ultimi 5 anni del Comune diMOIMACCO</t>
  </si>
  <si>
    <t>COMUNE DI MONTENARS</t>
  </si>
  <si>
    <t>COMUNE DI MONTENARS**</t>
  </si>
  <si>
    <t>media degli ultimi 5 anni del Comune diMONTENARS</t>
  </si>
  <si>
    <t>COMUNE DI MORTEGLIANO</t>
  </si>
  <si>
    <t>150203 - assorbenti,mat.filtranti,stracci</t>
  </si>
  <si>
    <t>170504 - Terre e rocce</t>
  </si>
  <si>
    <t>COMUNE DI MORTEGLIANO**</t>
  </si>
  <si>
    <t>media degli ultimi 5 anni del Comune diMORTEGLIANO</t>
  </si>
  <si>
    <t>COMUNE DI MORUZZO</t>
  </si>
  <si>
    <t xml:space="preserve">160214 - APPARECCHIATURE FUORI USO, DIVERSE      </t>
  </si>
  <si>
    <t>COMUNE DI MORUZZO**</t>
  </si>
  <si>
    <t>media degli ultimi 5 anni del Comune diMORUZZO</t>
  </si>
  <si>
    <t>COMUNE DI NIMIS</t>
  </si>
  <si>
    <t>130802 - Olio minerale</t>
  </si>
  <si>
    <t>COMUNE DI NIMIS**</t>
  </si>
  <si>
    <t>media degli ultimi 5 anni del Comune diNIMIS</t>
  </si>
  <si>
    <t>COMUNE DI OSOPPO</t>
  </si>
  <si>
    <t>COMUNE DI OSOPPO**</t>
  </si>
  <si>
    <t>media degli ultimi 5 anni del Comune diOSOPPO</t>
  </si>
  <si>
    <t>COMUNE DI OVARO</t>
  </si>
  <si>
    <t>COMUNE DI OVARO**</t>
  </si>
  <si>
    <t>media degli ultimi 5 anni del Comune diOVARO</t>
  </si>
  <si>
    <t>COMUNE DI PAGNACCO</t>
  </si>
  <si>
    <t>COMUNE DI PAGNACCO**</t>
  </si>
  <si>
    <t>media degli ultimi 5 anni del Comune diPAGNACCO</t>
  </si>
  <si>
    <t>COMUNE DI PALUZZA</t>
  </si>
  <si>
    <t>COMUNE DI PALUZZA**</t>
  </si>
  <si>
    <t>media degli ultimi 5 anni del Comune diPALUZZA</t>
  </si>
  <si>
    <t>COMUNE DI PASIAN DI PRATO</t>
  </si>
  <si>
    <t>160306 - Rifiuti organici diversi da quelli di cui alla voce 160305</t>
  </si>
  <si>
    <t>COMUNE DI PASIAN DI PRATO**</t>
  </si>
  <si>
    <t>media degli ultimi 5 anni del Comune diPASIAN DI PRATO</t>
  </si>
  <si>
    <t>COMUNE DI PAULARO</t>
  </si>
  <si>
    <t>COMUNE DI PAULARO**</t>
  </si>
  <si>
    <t>media degli ultimi 5 anni del Comune diPAULARO</t>
  </si>
  <si>
    <t>COMUNE DI PAVIA DI UDINE</t>
  </si>
  <si>
    <t>COMUNE DI PAVIA DI UDINE**</t>
  </si>
  <si>
    <t>media degli ultimi 5 anni del Comune diPAVIA DI UDINE</t>
  </si>
  <si>
    <t>COMUNE DI POZZUOLO DEL FRIULI</t>
  </si>
  <si>
    <t>COMUNE DI POZZUOLO DEL FRIULI**</t>
  </si>
  <si>
    <t>media degli ultimi 5 anni del Comune diPOZZUOLO DEL FRIULI</t>
  </si>
  <si>
    <t>COMUNE DI PRADAMANO</t>
  </si>
  <si>
    <t>COMUNE DI PRADAMANO**</t>
  </si>
  <si>
    <t>media degli ultimi 5 anni del Comune diPRADAMANO</t>
  </si>
  <si>
    <t>COMUNE DI PRATO CARNICO</t>
  </si>
  <si>
    <t>COMUNE DI PRATO CARNICO**</t>
  </si>
  <si>
    <t>media degli ultimi 5 anni del Comune diPRATO CARNICO</t>
  </si>
  <si>
    <t>COMUNE DI PREMARIACCO</t>
  </si>
  <si>
    <t>170302 - Miscele bituminose</t>
  </si>
  <si>
    <t>COMUNE DI PREMARIACCO**</t>
  </si>
  <si>
    <t>media degli ultimi 5 anni del Comune diPREMARIACCO</t>
  </si>
  <si>
    <t>COMUNE DI PREONE</t>
  </si>
  <si>
    <t>COMUNE DI PREONE**</t>
  </si>
  <si>
    <t>media degli ultimi 5 anni del Comune diPREONE</t>
  </si>
  <si>
    <t>COMUNE DI RAGOGNA</t>
  </si>
  <si>
    <t>COMUNE DI RAGOGNA**</t>
  </si>
  <si>
    <t>media degli ultimi 5 anni del Comune diRAGOGNA</t>
  </si>
  <si>
    <t>COMUNE DI RAVASCLETTO</t>
  </si>
  <si>
    <t>COMUNE DI RAVASCLETTO**</t>
  </si>
  <si>
    <t>media degli ultimi 5 anni del Comune diRAVASCLETTO</t>
  </si>
  <si>
    <t>COMUNE DI RAVEO</t>
  </si>
  <si>
    <t>COMUNE DI RAVEO**</t>
  </si>
  <si>
    <t>media degli ultimi 5 anni del Comune diRAVEO</t>
  </si>
  <si>
    <t>COMUNE DI REANA DEL ROJALE</t>
  </si>
  <si>
    <t>COMUNE DI REANA DEL ROJALE**</t>
  </si>
  <si>
    <t>media degli ultimi 5 anni del Comune diREANA DEL ROJALE</t>
  </si>
  <si>
    <t>COMUNE DI REMANZACCO</t>
  </si>
  <si>
    <t>COMUNE DI REMANZACCO**</t>
  </si>
  <si>
    <t>media degli ultimi 5 anni del Comune diREMANZACCO</t>
  </si>
  <si>
    <t>COMUNE DI RESIUTTA</t>
  </si>
  <si>
    <t>COMUNE DI RESIUTTA**</t>
  </si>
  <si>
    <t>media degli ultimi 5 anni del Comune diRESIUTTA</t>
  </si>
  <si>
    <t>COMUNE DI RIGOLATO</t>
  </si>
  <si>
    <t>COMUNE DI RIGOLATO**</t>
  </si>
  <si>
    <t>media degli ultimi 5 anni del Comune diRIGOLATO</t>
  </si>
  <si>
    <t>COMUNE DI RIVE D'ARCANO</t>
  </si>
  <si>
    <t>COMUNE DI RIVE D'ARCANO**</t>
  </si>
  <si>
    <t>media degli ultimi 5 anni del Comune diRIVE D'ARCANO</t>
  </si>
  <si>
    <t>COMUNE DI RIVIGNANO TEOR</t>
  </si>
  <si>
    <t>COMUNE DI RIVIGNANO TEOR**</t>
  </si>
  <si>
    <t>media degli ultimi 5 anni del Comune diRIVIGNANO TEOR</t>
  </si>
  <si>
    <t>COMUNE DI SAN DANIELE DEL FRIULI</t>
  </si>
  <si>
    <t>COMUNE DI SAN DANIELE DEL FRIULI**</t>
  </si>
  <si>
    <t>media degli ultimi 5 anni del Comune diSAN DANIELE DEL FRIULI</t>
  </si>
  <si>
    <t>COMUNE DI SAN DORLIGO DELLA VALLE**</t>
  </si>
  <si>
    <t>media degli ultimi 5 anni del Comune diSAN DORLIGO DELLA VALLE</t>
  </si>
  <si>
    <t>COMUNE DI SAN GIOVANNI AL NATISONE</t>
  </si>
  <si>
    <t>161002 - soluzioni acquose di scarto, diverse da quelle di cui alla voce 16 10 01</t>
  </si>
  <si>
    <t>160505 - Gas in contenitori a pressione</t>
  </si>
  <si>
    <t>COMUNE DI SAN GIOVANNI AL NATISONE**</t>
  </si>
  <si>
    <t>media degli ultimi 5 anni del Comune diSAN GIOVANNI AL NATISONE</t>
  </si>
  <si>
    <t>COMUNE DI SAN VITO DI FAGAGNA</t>
  </si>
  <si>
    <t>COMUNE DI SAN VITO DI FAGAGNA**</t>
  </si>
  <si>
    <t>media degli ultimi 5 anni del Comune diSAN VITO DI FAGAGNA</t>
  </si>
  <si>
    <t>COMUNE DI SAPPADA</t>
  </si>
  <si>
    <t>COMUNE DI SAPPADA**</t>
  </si>
  <si>
    <t>media degli ultimi 5 anni del Comune diSAPPADA</t>
  </si>
  <si>
    <t>COMUNE DI SAURIS</t>
  </si>
  <si>
    <t>COMUNE DI SAURIS**</t>
  </si>
  <si>
    <t>media degli ultimi 5 anni del Comune diSAURIS</t>
  </si>
  <si>
    <t>COMUNE DI SEDEGLIANO</t>
  </si>
  <si>
    <t>COMUNE DI SEDEGLIANO**</t>
  </si>
  <si>
    <t>media degli ultimi 5 anni del Comune diSEDEGLIANO</t>
  </si>
  <si>
    <t>COMUNE DI SOCCHIEVE</t>
  </si>
  <si>
    <t>COMUNE DI SOCCHIEVE**</t>
  </si>
  <si>
    <t>media degli ultimi 5 anni del Comune diSOCCHIEVE</t>
  </si>
  <si>
    <t>COMUNE DI SUTRIO</t>
  </si>
  <si>
    <t>COMUNE DI SUTRIO**</t>
  </si>
  <si>
    <t>media degli ultimi 5 anni del Comune diSUTRIO</t>
  </si>
  <si>
    <t>COMUNE DI TAIPANA</t>
  </si>
  <si>
    <t>COMUNE DI TAIPANA**</t>
  </si>
  <si>
    <t>media degli ultimi 5 anni del Comune diTAIPANA</t>
  </si>
  <si>
    <t>COMUNE DI TARCENTO</t>
  </si>
  <si>
    <t>COMUNE DI TARCENTO**</t>
  </si>
  <si>
    <t>media degli ultimi 5 anni del Comune diTARCENTO</t>
  </si>
  <si>
    <t>COMUNE DI TOLMEZZO</t>
  </si>
  <si>
    <t>COMUNE DI TOLMEZZO**</t>
  </si>
  <si>
    <t>media degli ultimi 5 anni del Comune diTOLMEZZO</t>
  </si>
  <si>
    <t>COMUNE DI TRASAGHIS</t>
  </si>
  <si>
    <t>COMUNE DI TRASAGHIS**</t>
  </si>
  <si>
    <t>media degli ultimi 5 anni del Comune diTRASAGHIS</t>
  </si>
  <si>
    <t>COMUNE DI TREPPO GRANDE</t>
  </si>
  <si>
    <t>COMUNE DI TREPPO GRANDE**</t>
  </si>
  <si>
    <t>media degli ultimi 5 anni del Comune diTREPPO GRANDE</t>
  </si>
  <si>
    <t>COMUNE DI TREPPO LIGOSULLO</t>
  </si>
  <si>
    <t>COMUNE DI TREPPO LIGOSULLO**</t>
  </si>
  <si>
    <t>media degli ultimi 5 anni del Comune diTREPPO LIGOSULLO</t>
  </si>
  <si>
    <t>COMUNE DI VARMO</t>
  </si>
  <si>
    <t>COMUNE DI VARMO**</t>
  </si>
  <si>
    <t>media degli ultimi 5 anni del Comune diVARMO</t>
  </si>
  <si>
    <t>COMUNE DI VENZONE</t>
  </si>
  <si>
    <t>COMUNE DI VENZONE**</t>
  </si>
  <si>
    <t>media degli ultimi 5 anni del Comune diVENZONE</t>
  </si>
  <si>
    <t>COMUNE DI VERZEGNIS</t>
  </si>
  <si>
    <t>COMUNE DI VERZEGNIS**</t>
  </si>
  <si>
    <t>media degli ultimi 5 anni del Comune diVERZEGNIS</t>
  </si>
  <si>
    <t>COMUNE DI VILLA SANTINA</t>
  </si>
  <si>
    <t>COMUNE DI VILLA SANTINA**</t>
  </si>
  <si>
    <t>media degli ultimi 5 anni del Comune diVILLA SANTINA</t>
  </si>
  <si>
    <t>COMUNE DI ZUGLIO</t>
  </si>
  <si>
    <t>COMUNE DI ZUGLIO**</t>
  </si>
  <si>
    <t>media degli ultimi 5 anni del Comune diZUGLIO</t>
  </si>
  <si>
    <t>COMUNE DI SAN DORLIGO DELLA VALLE - DOLINA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</si>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</sst>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.0%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1" xfId="0" applyFont="1" applyFill="1" applyBorder="1"/>
    <xf numFmtId="0" fontId="3" fillId="0" borderId="0" xfId="0" applyFont="1"/>
    <xf numFmtId="3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2:J73"/>
  <sheetViews>
    <sheetView tabSelected="1"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846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41" si="0">SUM(C9:F9)</f>
        <v>29</v>
      </c>
      <c r="H9" s="16">
        <f t="shared" ref="H9:H41" si="1">ROUND(G9/846,2)</f>
        <v>0.03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2693</v>
      </c>
      <c r="F10" s="10"/>
      <c r="G10" s="10">
        <f t="shared" si="0"/>
        <v>2693</v>
      </c>
      <c r="H10" s="16">
        <f t="shared" si="1"/>
        <v>3.18</v>
      </c>
      <c r="I10" s="15">
        <f t="shared" si="2"/>
        <v>7.0000000000000001E-3</v>
      </c>
      <c r="J10" s="15"/>
    </row>
    <row r="11" spans="1:10" x14ac:dyDescent="0.25">
      <c r="A11" s="1" t="s">
        <v>16</v>
      </c>
      <c r="B11" s="1" t="s">
        <v>19</v>
      </c>
      <c r="C11" s="10">
        <v>28860</v>
      </c>
      <c r="D11" s="10"/>
      <c r="E11" s="10">
        <v>4697</v>
      </c>
      <c r="F11" s="10"/>
      <c r="G11" s="10">
        <f t="shared" si="0"/>
        <v>33557</v>
      </c>
      <c r="H11" s="16">
        <f t="shared" si="1"/>
        <v>39.67</v>
      </c>
      <c r="I11" s="15">
        <f t="shared" si="2"/>
        <v>9.2999999999999999E-2</v>
      </c>
      <c r="J11" s="15">
        <f>ROUND(G11/30283.55-1,2)</f>
        <v>0.11</v>
      </c>
    </row>
    <row r="12" spans="1:10" x14ac:dyDescent="0.25">
      <c r="A12" s="1" t="s">
        <v>16</v>
      </c>
      <c r="B12" s="1" t="s">
        <v>20</v>
      </c>
      <c r="C12" s="10">
        <v>26920</v>
      </c>
      <c r="D12" s="10"/>
      <c r="E12" s="10"/>
      <c r="F12" s="10"/>
      <c r="G12" s="10">
        <f t="shared" si="0"/>
        <v>26920</v>
      </c>
      <c r="H12" s="16">
        <f t="shared" si="1"/>
        <v>31.82</v>
      </c>
      <c r="I12" s="15">
        <f t="shared" si="2"/>
        <v>7.4999999999999997E-2</v>
      </c>
      <c r="J12" s="15">
        <f>ROUND(G12/28843.77-1,2)</f>
        <v>-7.0000000000000007E-2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81</v>
      </c>
      <c r="F13" s="10"/>
      <c r="G13" s="10">
        <f t="shared" si="0"/>
        <v>81</v>
      </c>
      <c r="H13" s="16">
        <f t="shared" si="1"/>
        <v>0.1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517</v>
      </c>
      <c r="F14" s="10"/>
      <c r="G14" s="10">
        <f t="shared" si="0"/>
        <v>517</v>
      </c>
      <c r="H14" s="16">
        <f t="shared" si="1"/>
        <v>0.61</v>
      </c>
      <c r="I14" s="15">
        <f t="shared" si="2"/>
        <v>1E-3</v>
      </c>
      <c r="J14" s="15">
        <f>ROUND(G14/312.5-1,2)</f>
        <v>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42899</v>
      </c>
      <c r="F15" s="10"/>
      <c r="G15" s="10">
        <f t="shared" si="0"/>
        <v>42899</v>
      </c>
      <c r="H15" s="16">
        <f t="shared" si="1"/>
        <v>50.71</v>
      </c>
      <c r="I15" s="15">
        <f t="shared" si="2"/>
        <v>0.11899999999999999</v>
      </c>
      <c r="J15" s="15">
        <f>ROUND(G15/30707.33-1,2)</f>
        <v>0.4</v>
      </c>
    </row>
    <row r="16" spans="1:10" x14ac:dyDescent="0.25">
      <c r="A16" s="1" t="s">
        <v>16</v>
      </c>
      <c r="B16" s="1" t="s">
        <v>24</v>
      </c>
      <c r="C16" s="10">
        <v>34100</v>
      </c>
      <c r="D16" s="10"/>
      <c r="E16" s="10">
        <v>11128</v>
      </c>
      <c r="F16" s="10"/>
      <c r="G16" s="10">
        <f t="shared" si="0"/>
        <v>45228</v>
      </c>
      <c r="H16" s="16">
        <f t="shared" si="1"/>
        <v>53.46</v>
      </c>
      <c r="I16" s="15">
        <f t="shared" si="2"/>
        <v>0.126</v>
      </c>
      <c r="J16" s="15">
        <f>ROUND(G16/35262.77-1,2)</f>
        <v>0.28000000000000003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2394</v>
      </c>
      <c r="F17" s="10"/>
      <c r="G17" s="10">
        <f t="shared" si="0"/>
        <v>2394</v>
      </c>
      <c r="H17" s="16">
        <f t="shared" si="1"/>
        <v>2.83</v>
      </c>
      <c r="I17" s="15">
        <f t="shared" si="2"/>
        <v>7.0000000000000001E-3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35320</v>
      </c>
      <c r="D18" s="10"/>
      <c r="E18" s="10"/>
      <c r="F18" s="10"/>
      <c r="G18" s="10">
        <f t="shared" si="0"/>
        <v>35320</v>
      </c>
      <c r="H18" s="16">
        <f t="shared" si="1"/>
        <v>41.75</v>
      </c>
      <c r="I18" s="15">
        <f t="shared" si="2"/>
        <v>9.8000000000000004E-2</v>
      </c>
      <c r="J18" s="15">
        <f>ROUND(G18/39820-1,2)</f>
        <v>-0.11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362</v>
      </c>
      <c r="F19" s="10"/>
      <c r="G19" s="10">
        <f t="shared" si="0"/>
        <v>362</v>
      </c>
      <c r="H19" s="16">
        <f t="shared" si="1"/>
        <v>0.43</v>
      </c>
      <c r="I19" s="15">
        <f t="shared" si="2"/>
        <v>1E-3</v>
      </c>
      <c r="J19" s="15">
        <f>ROUND(G19/161-1,2)</f>
        <v>1.25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204</v>
      </c>
      <c r="F20" s="10"/>
      <c r="G20" s="10">
        <f t="shared" si="0"/>
        <v>204</v>
      </c>
      <c r="H20" s="16">
        <f t="shared" si="1"/>
        <v>0.24</v>
      </c>
      <c r="I20" s="15">
        <f t="shared" si="2"/>
        <v>1E-3</v>
      </c>
      <c r="J20" s="15">
        <f>ROUND(G20/100-1,2)</f>
        <v>1.04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ROUND(G21/594.03-1,2)</f>
        <v>-0.27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422</v>
      </c>
      <c r="F22" s="10"/>
      <c r="G22" s="10">
        <f t="shared" si="0"/>
        <v>422</v>
      </c>
      <c r="H22" s="16">
        <f t="shared" si="1"/>
        <v>0.5</v>
      </c>
      <c r="I22" s="15">
        <f t="shared" si="2"/>
        <v>1E-3</v>
      </c>
      <c r="J22" s="15">
        <f>ROUND(G22/203.63-1,2)</f>
        <v>1.07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101</v>
      </c>
      <c r="F23" s="10"/>
      <c r="G23" s="10">
        <f t="shared" si="0"/>
        <v>101</v>
      </c>
      <c r="H23" s="16">
        <f t="shared" si="1"/>
        <v>0.12</v>
      </c>
      <c r="I23" s="15">
        <f t="shared" si="2"/>
        <v>0</v>
      </c>
      <c r="J23" s="15">
        <f>ROUND(G23/71.43-1,2)</f>
        <v>0.41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347</v>
      </c>
      <c r="F24" s="10"/>
      <c r="G24" s="10">
        <f t="shared" si="0"/>
        <v>347</v>
      </c>
      <c r="H24" s="16">
        <f t="shared" si="1"/>
        <v>0.41</v>
      </c>
      <c r="I24" s="15">
        <f t="shared" si="2"/>
        <v>1E-3</v>
      </c>
      <c r="J24" s="15">
        <f>ROUND(G24/347.18-1,2)</f>
        <v>0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120</v>
      </c>
      <c r="F25" s="10"/>
      <c r="G25" s="10">
        <f t="shared" si="0"/>
        <v>120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363</v>
      </c>
      <c r="F26" s="10"/>
      <c r="G26" s="10">
        <f t="shared" si="0"/>
        <v>363</v>
      </c>
      <c r="H26" s="16">
        <f t="shared" si="1"/>
        <v>0.43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0</v>
      </c>
      <c r="J27" s="15">
        <f>ROUND(G27/141.17-1,2)</f>
        <v>0.2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ROUND(G28/203.01-1,2)</f>
        <v>-0.53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1380</v>
      </c>
      <c r="F29" s="10"/>
      <c r="G29" s="10">
        <f t="shared" si="0"/>
        <v>1380</v>
      </c>
      <c r="H29" s="16">
        <f t="shared" si="1"/>
        <v>1.63</v>
      </c>
      <c r="I29" s="15">
        <f t="shared" si="2"/>
        <v>4.0000000000000001E-3</v>
      </c>
      <c r="J29" s="15">
        <f>ROUND(G29/1234.58-1,2)</f>
        <v>0.12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35355</v>
      </c>
      <c r="F30" s="10"/>
      <c r="G30" s="10">
        <f t="shared" si="0"/>
        <v>35355</v>
      </c>
      <c r="H30" s="16">
        <f t="shared" si="1"/>
        <v>41.79</v>
      </c>
      <c r="I30" s="15">
        <f t="shared" si="2"/>
        <v>9.8000000000000004E-2</v>
      </c>
      <c r="J30" s="15">
        <f>ROUND(G30/16655.25-1,2)</f>
        <v>1.1200000000000001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1996</v>
      </c>
      <c r="F31" s="10"/>
      <c r="G31" s="10">
        <f t="shared" si="0"/>
        <v>1996</v>
      </c>
      <c r="H31" s="16">
        <f t="shared" si="1"/>
        <v>2.36</v>
      </c>
      <c r="I31" s="15">
        <f t="shared" si="2"/>
        <v>6.0000000000000001E-3</v>
      </c>
      <c r="J31" s="15">
        <f>ROUND(G31/795.77-1,2)</f>
        <v>1.51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10545</v>
      </c>
      <c r="F32" s="10"/>
      <c r="G32" s="10">
        <f t="shared" si="0"/>
        <v>10545</v>
      </c>
      <c r="H32" s="16">
        <f t="shared" si="1"/>
        <v>12.46</v>
      </c>
      <c r="I32" s="15">
        <f t="shared" si="2"/>
        <v>2.9000000000000001E-2</v>
      </c>
      <c r="J32" s="15">
        <f>ROUND(G32/4852.15-1,2)</f>
        <v>1.17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24667</v>
      </c>
      <c r="F33" s="10"/>
      <c r="G33" s="10">
        <f t="shared" si="0"/>
        <v>24667</v>
      </c>
      <c r="H33" s="16">
        <f t="shared" si="1"/>
        <v>29.16</v>
      </c>
      <c r="I33" s="15">
        <f t="shared" si="2"/>
        <v>6.9000000000000006E-2</v>
      </c>
      <c r="J33" s="15">
        <f>ROUND(G33/12551.43-1,2)</f>
        <v>0.97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ROUND(G34/15.95-1,2)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65600</v>
      </c>
      <c r="D36" s="10"/>
      <c r="E36" s="10"/>
      <c r="F36" s="10"/>
      <c r="G36" s="10">
        <f t="shared" si="0"/>
        <v>65600</v>
      </c>
      <c r="H36" s="16">
        <f t="shared" si="1"/>
        <v>77.540000000000006</v>
      </c>
      <c r="I36" s="15">
        <f t="shared" si="2"/>
        <v>0.183</v>
      </c>
      <c r="J36" s="15">
        <f>ROUND(G36/64450-1,2)</f>
        <v>0.02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27373</v>
      </c>
      <c r="F37" s="10"/>
      <c r="G37" s="10">
        <f t="shared" si="0"/>
        <v>27373</v>
      </c>
      <c r="H37" s="16">
        <f t="shared" si="1"/>
        <v>32.36</v>
      </c>
      <c r="I37" s="15">
        <f t="shared" si="2"/>
        <v>7.5999999999999998E-2</v>
      </c>
      <c r="J37" s="15">
        <f>ROUND(G37/15180.62-1,2)</f>
        <v>0.8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ROUND(G39/15-1,2)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ROUND(G40/210-1,2)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3" t="s">
        <v>12</v>
      </c>
      <c r="B42" s="23"/>
      <c r="C42" s="11">
        <f t="shared" ref="C42:H42" si="3">SUM(C8:C41)</f>
        <v>190800</v>
      </c>
      <c r="D42" s="11">
        <f t="shared" si="3"/>
        <v>0</v>
      </c>
      <c r="E42" s="11">
        <f t="shared" si="3"/>
        <v>168368</v>
      </c>
      <c r="F42" s="11">
        <f t="shared" si="3"/>
        <v>0</v>
      </c>
      <c r="G42" s="11">
        <f t="shared" si="3"/>
        <v>359168</v>
      </c>
      <c r="H42" s="14">
        <f t="shared" si="3"/>
        <v>424.55000000000007</v>
      </c>
      <c r="I42" s="17"/>
      <c r="J42" s="17"/>
    </row>
    <row r="43" spans="1:10" x14ac:dyDescent="0.25">
      <c r="A43" s="23" t="s">
        <v>14</v>
      </c>
      <c r="B43" s="23"/>
      <c r="C43" s="12">
        <f>ROUND(C42/G42,2)</f>
        <v>0.53</v>
      </c>
      <c r="D43" s="12">
        <f>ROUND(D42/G42,2)</f>
        <v>0</v>
      </c>
      <c r="E43" s="12">
        <f>ROUND(E42/G42,2)</f>
        <v>0.47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53</v>
      </c>
      <c r="B48" s="23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125200</v>
      </c>
      <c r="D49" s="10">
        <v>0</v>
      </c>
      <c r="E49" s="10">
        <v>140995</v>
      </c>
      <c r="F49" s="10">
        <v>0</v>
      </c>
      <c r="G49" s="10">
        <f>SUM(C49:F49)</f>
        <v>266195</v>
      </c>
      <c r="H49" s="16">
        <f>ROUND(G49/846,2)</f>
        <v>314.64999999999998</v>
      </c>
      <c r="I49" s="9"/>
      <c r="J49" s="9"/>
    </row>
    <row r="50" spans="1:10" x14ac:dyDescent="0.25">
      <c r="A50" s="22" t="s">
        <v>55</v>
      </c>
      <c r="B50" s="22"/>
      <c r="C50" s="10">
        <v>65600</v>
      </c>
      <c r="D50" s="10">
        <v>0</v>
      </c>
      <c r="E50" s="10">
        <v>27373</v>
      </c>
      <c r="F50" s="10">
        <v>0</v>
      </c>
      <c r="G50" s="10">
        <f>SUM(C50:F50)</f>
        <v>92973</v>
      </c>
      <c r="H50" s="16">
        <f>ROUND(G50/846,2)</f>
        <v>109.9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ROUND(G51/846,2)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57</v>
      </c>
      <c r="B56" s="23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ROUND(0.7829, 4)</f>
        <v>0.78290000000000004</v>
      </c>
      <c r="D57" s="15">
        <f>ROUND(0.7315, 4)</f>
        <v>0.73150000000000004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4" t="s">
        <v>64</v>
      </c>
      <c r="J57" s="24" t="s">
        <v>65</v>
      </c>
    </row>
    <row r="58" spans="1:10" x14ac:dyDescent="0.25">
      <c r="A58" s="22" t="s">
        <v>66</v>
      </c>
      <c r="B58" s="22"/>
      <c r="C58" s="15">
        <f>ROUND(0.7434, 4)</f>
        <v>0.74339999999999995</v>
      </c>
      <c r="D58" s="15">
        <f>ROUND(0.6866, 4)</f>
        <v>0.68659999999999999</v>
      </c>
      <c r="E58" s="15">
        <f>ROUND(0.7608, 4)</f>
        <v>0.76080000000000003</v>
      </c>
      <c r="F58" s="8"/>
      <c r="G58" s="14" t="s">
        <v>67</v>
      </c>
      <c r="H58" s="27"/>
      <c r="I58" s="25"/>
      <c r="J58" s="25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68</v>
      </c>
      <c r="B62" s="23"/>
      <c r="C62" s="14" t="s">
        <v>2</v>
      </c>
      <c r="D62" s="14" t="s">
        <v>69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77.540000000000006</v>
      </c>
      <c r="D63" s="16">
        <v>82.1</v>
      </c>
      <c r="E63" s="16">
        <v>89.58</v>
      </c>
      <c r="F63" s="16">
        <v>53.73</v>
      </c>
      <c r="G63" s="16">
        <f>12/9*C63</f>
        <v>103.38666666666667</v>
      </c>
      <c r="H63" s="8"/>
      <c r="I63" s="9"/>
      <c r="J63" s="9"/>
    </row>
    <row r="64" spans="1:10" x14ac:dyDescent="0.25">
      <c r="A64" s="22" t="s">
        <v>74</v>
      </c>
      <c r="B64" s="22"/>
      <c r="C64" s="16">
        <v>41.75</v>
      </c>
      <c r="D64" s="16">
        <v>49.54</v>
      </c>
      <c r="E64" s="16">
        <v>60.32</v>
      </c>
      <c r="F64" s="16">
        <v>61.62</v>
      </c>
      <c r="G64" s="16">
        <f>12/9*C64</f>
        <v>55.666666666666664</v>
      </c>
      <c r="H64" s="8"/>
      <c r="I64" s="9"/>
      <c r="J64" s="9"/>
    </row>
    <row r="65" spans="1:10" x14ac:dyDescent="0.25">
      <c r="A65" s="22" t="s">
        <v>75</v>
      </c>
      <c r="B65" s="22"/>
      <c r="C65" s="16">
        <v>314.64999999999998</v>
      </c>
      <c r="D65" s="16">
        <v>302.41000000000003</v>
      </c>
      <c r="E65" s="16">
        <v>282.8</v>
      </c>
      <c r="F65" s="16">
        <v>273.33</v>
      </c>
      <c r="G65" s="16">
        <f>12/9*C65</f>
        <v>419.5333333333333</v>
      </c>
      <c r="H65" s="8"/>
      <c r="I65" s="9"/>
      <c r="J65" s="9"/>
    </row>
    <row r="66" spans="1:10" x14ac:dyDescent="0.25">
      <c r="A66" s="22" t="s">
        <v>76</v>
      </c>
      <c r="B66" s="22"/>
      <c r="C66" s="16">
        <v>109.9</v>
      </c>
      <c r="D66" s="16">
        <v>105.11</v>
      </c>
      <c r="E66" s="16">
        <v>112.72</v>
      </c>
      <c r="F66" s="16">
        <v>76.52</v>
      </c>
      <c r="G66" s="16">
        <f>12/9*C66</f>
        <v>146.53333333333333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8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78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82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894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ROUND(G9/894,2)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20520</v>
      </c>
      <c r="D10" s="10"/>
      <c r="E10" s="10">
        <v>3575</v>
      </c>
      <c r="F10" s="10"/>
      <c r="G10" s="10">
        <f t="shared" si="0"/>
        <v>24095</v>
      </c>
      <c r="H10" s="16">
        <f t="shared" si="1"/>
        <v>26.95</v>
      </c>
      <c r="I10" s="15">
        <f t="shared" si="2"/>
        <v>6.9000000000000006E-2</v>
      </c>
      <c r="J10" s="15">
        <f>ROUND(G10/21437.95-1,2)</f>
        <v>0.12</v>
      </c>
    </row>
    <row r="11" spans="1:10" x14ac:dyDescent="0.25">
      <c r="A11" s="1" t="s">
        <v>16</v>
      </c>
      <c r="B11" s="1" t="s">
        <v>20</v>
      </c>
      <c r="C11" s="10">
        <v>31525</v>
      </c>
      <c r="D11" s="10"/>
      <c r="E11" s="10"/>
      <c r="F11" s="10"/>
      <c r="G11" s="10">
        <f t="shared" si="0"/>
        <v>31525</v>
      </c>
      <c r="H11" s="16">
        <f t="shared" si="1"/>
        <v>35.26</v>
      </c>
      <c r="I11" s="15">
        <f t="shared" si="2"/>
        <v>0.09</v>
      </c>
      <c r="J11" s="15">
        <f>ROUND(G11/30780-1,2)</f>
        <v>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212</v>
      </c>
      <c r="F12" s="10"/>
      <c r="G12" s="10">
        <f t="shared" si="0"/>
        <v>212</v>
      </c>
      <c r="H12" s="16">
        <f t="shared" si="1"/>
        <v>0.24</v>
      </c>
      <c r="I12" s="15">
        <f t="shared" si="2"/>
        <v>1E-3</v>
      </c>
      <c r="J12" s="15">
        <f>ROUND(G12/70-1,2)</f>
        <v>2.0299999999999998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1990</v>
      </c>
      <c r="F13" s="10"/>
      <c r="G13" s="10">
        <f t="shared" si="0"/>
        <v>1990</v>
      </c>
      <c r="H13" s="16">
        <f t="shared" si="1"/>
        <v>2.23</v>
      </c>
      <c r="I13" s="15">
        <f t="shared" si="2"/>
        <v>6.0000000000000001E-3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45839</v>
      </c>
      <c r="F14" s="10"/>
      <c r="G14" s="10">
        <f t="shared" si="0"/>
        <v>45839</v>
      </c>
      <c r="H14" s="16">
        <f t="shared" si="1"/>
        <v>51.27</v>
      </c>
      <c r="I14" s="15">
        <f t="shared" si="2"/>
        <v>0.13</v>
      </c>
      <c r="J14" s="15">
        <f>ROUND(G14/3630.85-1,2)</f>
        <v>11.62</v>
      </c>
    </row>
    <row r="15" spans="1:10" x14ac:dyDescent="0.25">
      <c r="A15" s="1" t="s">
        <v>16</v>
      </c>
      <c r="B15" s="1" t="s">
        <v>24</v>
      </c>
      <c r="C15" s="10">
        <v>23520</v>
      </c>
      <c r="D15" s="10"/>
      <c r="E15" s="10">
        <v>11833</v>
      </c>
      <c r="F15" s="10"/>
      <c r="G15" s="10">
        <f t="shared" si="0"/>
        <v>35353</v>
      </c>
      <c r="H15" s="16">
        <f t="shared" si="1"/>
        <v>39.54</v>
      </c>
      <c r="I15" s="15">
        <f t="shared" si="2"/>
        <v>0.10100000000000001</v>
      </c>
      <c r="J15" s="15">
        <f>ROUND(G15/27649-1,2)</f>
        <v>0.28000000000000003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1447</v>
      </c>
      <c r="F16" s="10"/>
      <c r="G16" s="10">
        <f t="shared" si="0"/>
        <v>1447</v>
      </c>
      <c r="H16" s="16">
        <f t="shared" si="1"/>
        <v>1.62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24870</v>
      </c>
      <c r="D17" s="10"/>
      <c r="E17" s="10"/>
      <c r="F17" s="10"/>
      <c r="G17" s="10">
        <f t="shared" si="0"/>
        <v>24870</v>
      </c>
      <c r="H17" s="16">
        <f t="shared" si="1"/>
        <v>27.82</v>
      </c>
      <c r="I17" s="15">
        <f t="shared" si="2"/>
        <v>7.0999999999999994E-2</v>
      </c>
      <c r="J17" s="15">
        <f>ROUND(G17/24700-1,2)</f>
        <v>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565</v>
      </c>
      <c r="F18" s="10"/>
      <c r="G18" s="10">
        <f t="shared" si="0"/>
        <v>565</v>
      </c>
      <c r="H18" s="16">
        <f t="shared" si="1"/>
        <v>0.63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260</v>
      </c>
      <c r="F19" s="10"/>
      <c r="G19" s="10">
        <f t="shared" si="0"/>
        <v>260</v>
      </c>
      <c r="H19" s="16">
        <f t="shared" si="1"/>
        <v>0.28999999999999998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>
        <f>ROUND(G20/7.45-1,2)</f>
        <v>2.89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682</v>
      </c>
      <c r="F21" s="10"/>
      <c r="G21" s="10">
        <f t="shared" si="0"/>
        <v>682</v>
      </c>
      <c r="H21" s="16">
        <f t="shared" si="1"/>
        <v>0.76</v>
      </c>
      <c r="I21" s="15">
        <f t="shared" si="2"/>
        <v>2E-3</v>
      </c>
      <c r="J21" s="15">
        <f>ROUND(G21/476.07-1,2)</f>
        <v>0.43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163</v>
      </c>
      <c r="F22" s="10"/>
      <c r="G22" s="10">
        <f t="shared" si="0"/>
        <v>163</v>
      </c>
      <c r="H22" s="16">
        <f t="shared" si="1"/>
        <v>0.18</v>
      </c>
      <c r="I22" s="15">
        <f t="shared" si="2"/>
        <v>0</v>
      </c>
      <c r="J22" s="15">
        <f>ROUND(G22/125.79-1,2)</f>
        <v>0.3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78</v>
      </c>
      <c r="F23" s="10"/>
      <c r="G23" s="10">
        <f t="shared" si="0"/>
        <v>78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1383</v>
      </c>
      <c r="F24" s="10"/>
      <c r="G24" s="10">
        <f t="shared" si="0"/>
        <v>1383</v>
      </c>
      <c r="H24" s="16">
        <f t="shared" si="1"/>
        <v>1.55</v>
      </c>
      <c r="I24" s="15">
        <f t="shared" si="2"/>
        <v>4.0000000000000001E-3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136</v>
      </c>
      <c r="F25" s="10"/>
      <c r="G25" s="10">
        <f t="shared" si="0"/>
        <v>136</v>
      </c>
      <c r="H25" s="16">
        <f t="shared" si="1"/>
        <v>0.15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1226</v>
      </c>
      <c r="F26" s="10"/>
      <c r="G26" s="10">
        <f t="shared" si="0"/>
        <v>1226</v>
      </c>
      <c r="H26" s="16">
        <f t="shared" si="1"/>
        <v>1.37</v>
      </c>
      <c r="I26" s="15">
        <f t="shared" si="2"/>
        <v>3.0000000000000001E-3</v>
      </c>
      <c r="J26" s="15">
        <f>ROUND(G26/208.86-1,2)</f>
        <v>4.87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1212</v>
      </c>
      <c r="F27" s="10"/>
      <c r="G27" s="10">
        <f t="shared" si="0"/>
        <v>1212</v>
      </c>
      <c r="H27" s="16">
        <f t="shared" si="1"/>
        <v>1.36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47031</v>
      </c>
      <c r="F28" s="10"/>
      <c r="G28" s="10">
        <f t="shared" si="0"/>
        <v>47031</v>
      </c>
      <c r="H28" s="16">
        <f t="shared" si="1"/>
        <v>52.61</v>
      </c>
      <c r="I28" s="15">
        <f t="shared" si="2"/>
        <v>0.13400000000000001</v>
      </c>
      <c r="J28" s="15">
        <f>ROUND(G28/7140.94-1,2)</f>
        <v>5.59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1080</v>
      </c>
      <c r="F29" s="10"/>
      <c r="G29" s="10">
        <f t="shared" si="0"/>
        <v>1080</v>
      </c>
      <c r="H29" s="16">
        <f t="shared" si="1"/>
        <v>1.21</v>
      </c>
      <c r="I29" s="15">
        <f t="shared" si="2"/>
        <v>3.0000000000000001E-3</v>
      </c>
      <c r="J29" s="15"/>
    </row>
    <row r="30" spans="1:10" x14ac:dyDescent="0.25">
      <c r="A30" s="1" t="s">
        <v>16</v>
      </c>
      <c r="B30" s="1" t="s">
        <v>40</v>
      </c>
      <c r="C30" s="10"/>
      <c r="D30" s="10"/>
      <c r="E30" s="10">
        <v>18289</v>
      </c>
      <c r="F30" s="10"/>
      <c r="G30" s="10">
        <f t="shared" si="0"/>
        <v>18289</v>
      </c>
      <c r="H30" s="16">
        <f t="shared" si="1"/>
        <v>20.46</v>
      </c>
      <c r="I30" s="15">
        <f t="shared" si="2"/>
        <v>5.1999999999999998E-2</v>
      </c>
      <c r="J30" s="15">
        <f>ROUND(G30/3408.69-1,2)</f>
        <v>4.37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14142</v>
      </c>
      <c r="F31" s="10"/>
      <c r="G31" s="10">
        <f t="shared" si="0"/>
        <v>14142</v>
      </c>
      <c r="H31" s="16">
        <f t="shared" si="1"/>
        <v>15.82</v>
      </c>
      <c r="I31" s="15">
        <f t="shared" si="2"/>
        <v>0.04</v>
      </c>
      <c r="J31" s="15">
        <f>ROUND(G31/332.4-1,2)</f>
        <v>41.55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ROUND(G32/644.56-1,2)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70610</v>
      </c>
      <c r="D34" s="10"/>
      <c r="E34" s="10"/>
      <c r="F34" s="10"/>
      <c r="G34" s="10">
        <f t="shared" si="0"/>
        <v>70610</v>
      </c>
      <c r="H34" s="16">
        <f t="shared" si="1"/>
        <v>78.98</v>
      </c>
      <c r="I34" s="15">
        <f t="shared" si="2"/>
        <v>0.20100000000000001</v>
      </c>
      <c r="J34" s="15">
        <f>ROUND(G34/72890-1,2)</f>
        <v>-0.03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29049</v>
      </c>
      <c r="F35" s="10"/>
      <c r="G35" s="10">
        <f t="shared" si="0"/>
        <v>29049</v>
      </c>
      <c r="H35" s="16">
        <f t="shared" si="1"/>
        <v>32.49</v>
      </c>
      <c r="I35" s="15">
        <f t="shared" si="2"/>
        <v>8.3000000000000004E-2</v>
      </c>
      <c r="J35" s="15">
        <f>ROUND(G35/3603.44-1,2)</f>
        <v>7.06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171045</v>
      </c>
      <c r="D38" s="11">
        <f t="shared" si="3"/>
        <v>0</v>
      </c>
      <c r="E38" s="11">
        <f t="shared" si="3"/>
        <v>180240</v>
      </c>
      <c r="F38" s="11">
        <f t="shared" si="3"/>
        <v>0</v>
      </c>
      <c r="G38" s="11">
        <f t="shared" si="3"/>
        <v>351285</v>
      </c>
      <c r="H38" s="14">
        <f t="shared" si="3"/>
        <v>392.93000000000006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0.49</v>
      </c>
      <c r="D39" s="12">
        <f>ROUND(D38/G38,2)</f>
        <v>0</v>
      </c>
      <c r="E39" s="12">
        <f>ROUND(E38/G38,2)</f>
        <v>0.51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100435</v>
      </c>
      <c r="D45" s="10">
        <v>0</v>
      </c>
      <c r="E45" s="10">
        <v>151191</v>
      </c>
      <c r="F45" s="10">
        <v>0</v>
      </c>
      <c r="G45" s="10">
        <f>SUM(C45:F45)</f>
        <v>251626</v>
      </c>
      <c r="H45" s="16">
        <f>ROUND(G45/894,2)</f>
        <v>281.45999999999998</v>
      </c>
      <c r="I45" s="9"/>
      <c r="J45" s="9"/>
    </row>
    <row r="46" spans="1:10" x14ac:dyDescent="0.25">
      <c r="A46" s="22" t="s">
        <v>55</v>
      </c>
      <c r="B46" s="22"/>
      <c r="C46" s="10">
        <v>70610</v>
      </c>
      <c r="D46" s="10">
        <v>0</v>
      </c>
      <c r="E46" s="10">
        <v>29049</v>
      </c>
      <c r="F46" s="10">
        <v>0</v>
      </c>
      <c r="G46" s="10">
        <f>SUM(C46:F46)</f>
        <v>99659</v>
      </c>
      <c r="H46" s="16">
        <f>ROUND(G46/894,2)</f>
        <v>111.48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ROUND(G47/894,2)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ROUND(0.76, 4)</f>
        <v>0.76</v>
      </c>
      <c r="D53" s="15">
        <f>ROUND(0.6032, 4)</f>
        <v>0.60319999999999996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ROUND(0.7305, 4)</f>
        <v>0.73050000000000004</v>
      </c>
      <c r="D54" s="15">
        <f>ROUND(0.5621, 4)</f>
        <v>0.56210000000000004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83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78.98</v>
      </c>
      <c r="D59" s="16">
        <v>107.03</v>
      </c>
      <c r="E59" s="16">
        <v>89.58</v>
      </c>
      <c r="F59" s="16">
        <v>53.73</v>
      </c>
      <c r="G59" s="16">
        <f>12/9*C59</f>
        <v>105.30666666666667</v>
      </c>
      <c r="H59" s="8"/>
      <c r="I59" s="9"/>
      <c r="J59" s="9"/>
    </row>
    <row r="60" spans="1:10" x14ac:dyDescent="0.25">
      <c r="A60" s="22" t="s">
        <v>74</v>
      </c>
      <c r="B60" s="22"/>
      <c r="C60" s="16">
        <v>27.82</v>
      </c>
      <c r="D60" s="16">
        <v>41.82</v>
      </c>
      <c r="E60" s="16">
        <v>60.32</v>
      </c>
      <c r="F60" s="16">
        <v>61.62</v>
      </c>
      <c r="G60" s="16">
        <f>12/9*C60</f>
        <v>37.093333333333334</v>
      </c>
      <c r="H60" s="8"/>
      <c r="I60" s="9"/>
      <c r="J60" s="9"/>
    </row>
    <row r="61" spans="1:10" x14ac:dyDescent="0.25">
      <c r="A61" s="22" t="s">
        <v>75</v>
      </c>
      <c r="B61" s="22"/>
      <c r="C61" s="16">
        <v>281.45999999999998</v>
      </c>
      <c r="D61" s="16">
        <v>212.17</v>
      </c>
      <c r="E61" s="16">
        <v>282.8</v>
      </c>
      <c r="F61" s="16">
        <v>273.33</v>
      </c>
      <c r="G61" s="16">
        <f>12/9*C61</f>
        <v>375.28</v>
      </c>
      <c r="H61" s="8"/>
      <c r="I61" s="9"/>
      <c r="J61" s="9"/>
    </row>
    <row r="62" spans="1:10" x14ac:dyDescent="0.25">
      <c r="A62" s="22" t="s">
        <v>76</v>
      </c>
      <c r="B62" s="22"/>
      <c r="C62" s="16">
        <v>111.48</v>
      </c>
      <c r="D62" s="16">
        <v>119.16</v>
      </c>
      <c r="E62" s="16">
        <v>112.72</v>
      </c>
      <c r="F62" s="16">
        <v>76.52</v>
      </c>
      <c r="G62" s="16">
        <f>12/9*C62</f>
        <v>148.63999999999999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84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85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2036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91</v>
      </c>
      <c r="F9" s="10"/>
      <c r="G9" s="10">
        <f t="shared" ref="G9:G42" si="0">SUM(C9:F9)</f>
        <v>91</v>
      </c>
      <c r="H9" s="16">
        <f t="shared" ref="H9:H42" si="1">ROUND(G9/2036,2)</f>
        <v>0.04</v>
      </c>
      <c r="I9" s="15">
        <f t="shared" ref="I9:I42" si="2">ROUND(G9/$G$43,3)</f>
        <v>0</v>
      </c>
      <c r="J9" s="15">
        <f>ROUND(G9/45-1,2)</f>
        <v>1.02</v>
      </c>
    </row>
    <row r="10" spans="1:10" x14ac:dyDescent="0.25">
      <c r="A10" s="1" t="s">
        <v>16</v>
      </c>
      <c r="B10" s="1" t="s">
        <v>19</v>
      </c>
      <c r="C10" s="10">
        <v>45380</v>
      </c>
      <c r="D10" s="10"/>
      <c r="E10" s="10">
        <v>10439</v>
      </c>
      <c r="F10" s="10">
        <v>40</v>
      </c>
      <c r="G10" s="10">
        <f t="shared" si="0"/>
        <v>55859</v>
      </c>
      <c r="H10" s="16">
        <f t="shared" si="1"/>
        <v>27.44</v>
      </c>
      <c r="I10" s="15">
        <f t="shared" si="2"/>
        <v>0.09</v>
      </c>
      <c r="J10" s="15">
        <f>ROUND(G10/57110.67-1,2)</f>
        <v>-0.02</v>
      </c>
    </row>
    <row r="11" spans="1:10" x14ac:dyDescent="0.25">
      <c r="A11" s="1" t="s">
        <v>16</v>
      </c>
      <c r="B11" s="1" t="s">
        <v>20</v>
      </c>
      <c r="C11" s="10">
        <v>73730</v>
      </c>
      <c r="D11" s="10"/>
      <c r="E11" s="10"/>
      <c r="F11" s="10"/>
      <c r="G11" s="10">
        <f t="shared" si="0"/>
        <v>73730</v>
      </c>
      <c r="H11" s="16">
        <f t="shared" si="1"/>
        <v>36.21</v>
      </c>
      <c r="I11" s="15">
        <f t="shared" si="2"/>
        <v>0.11799999999999999</v>
      </c>
      <c r="J11" s="15">
        <f>ROUND(G11/74590-1,2)</f>
        <v>-0.01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197</v>
      </c>
      <c r="F12" s="10"/>
      <c r="G12" s="10">
        <f t="shared" si="0"/>
        <v>197</v>
      </c>
      <c r="H12" s="16">
        <f t="shared" si="1"/>
        <v>0.1</v>
      </c>
      <c r="I12" s="15">
        <f t="shared" si="2"/>
        <v>0</v>
      </c>
      <c r="J12" s="15">
        <f>ROUND(G12/286.66-1,2)</f>
        <v>-0.31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1901</v>
      </c>
      <c r="F13" s="10"/>
      <c r="G13" s="10">
        <f t="shared" si="0"/>
        <v>1901</v>
      </c>
      <c r="H13" s="16">
        <f t="shared" si="1"/>
        <v>0.93</v>
      </c>
      <c r="I13" s="15">
        <f t="shared" si="2"/>
        <v>3.0000000000000001E-3</v>
      </c>
      <c r="J13" s="15">
        <f>ROUND(G13/1937.5-1,2)</f>
        <v>-0.02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58078</v>
      </c>
      <c r="F14" s="10"/>
      <c r="G14" s="10">
        <f t="shared" si="0"/>
        <v>58078</v>
      </c>
      <c r="H14" s="16">
        <f t="shared" si="1"/>
        <v>28.53</v>
      </c>
      <c r="I14" s="15">
        <f t="shared" si="2"/>
        <v>9.2999999999999999E-2</v>
      </c>
      <c r="J14" s="15">
        <f>ROUND(G14/65084.48-1,2)</f>
        <v>-0.11</v>
      </c>
    </row>
    <row r="15" spans="1:10" x14ac:dyDescent="0.25">
      <c r="A15" s="1" t="s">
        <v>16</v>
      </c>
      <c r="B15" s="1" t="s">
        <v>24</v>
      </c>
      <c r="C15" s="10">
        <v>45320</v>
      </c>
      <c r="D15" s="10"/>
      <c r="E15" s="10">
        <v>17358</v>
      </c>
      <c r="F15" s="10"/>
      <c r="G15" s="10">
        <f t="shared" si="0"/>
        <v>62678</v>
      </c>
      <c r="H15" s="16">
        <f t="shared" si="1"/>
        <v>30.78</v>
      </c>
      <c r="I15" s="15">
        <f t="shared" si="2"/>
        <v>0.1</v>
      </c>
      <c r="J15" s="15">
        <f>ROUND(G15/59252.02-1,2)</f>
        <v>0.06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3390</v>
      </c>
      <c r="F16" s="10"/>
      <c r="G16" s="10">
        <f t="shared" si="0"/>
        <v>3390</v>
      </c>
      <c r="H16" s="16">
        <f t="shared" si="1"/>
        <v>1.67</v>
      </c>
      <c r="I16" s="15">
        <f t="shared" si="2"/>
        <v>5.0000000000000001E-3</v>
      </c>
      <c r="J16" s="15">
        <f>ROUND(G16/1790-1,2)</f>
        <v>0.89</v>
      </c>
    </row>
    <row r="17" spans="1:10" x14ac:dyDescent="0.25">
      <c r="A17" s="1" t="s">
        <v>16</v>
      </c>
      <c r="B17" s="1" t="s">
        <v>26</v>
      </c>
      <c r="C17" s="10">
        <v>65030</v>
      </c>
      <c r="D17" s="10"/>
      <c r="E17" s="10"/>
      <c r="F17" s="10">
        <v>60</v>
      </c>
      <c r="G17" s="10">
        <f t="shared" si="0"/>
        <v>65090</v>
      </c>
      <c r="H17" s="16">
        <f t="shared" si="1"/>
        <v>31.97</v>
      </c>
      <c r="I17" s="15">
        <f t="shared" si="2"/>
        <v>0.104</v>
      </c>
      <c r="J17" s="15">
        <f>ROUND(G17/55350-1,2)</f>
        <v>0.18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436</v>
      </c>
      <c r="F18" s="10"/>
      <c r="G18" s="10">
        <f t="shared" si="0"/>
        <v>436</v>
      </c>
      <c r="H18" s="16">
        <f t="shared" si="1"/>
        <v>0.21</v>
      </c>
      <c r="I18" s="15">
        <f t="shared" si="2"/>
        <v>1E-3</v>
      </c>
      <c r="J18" s="15">
        <f>ROUND(G18/712-1,2)</f>
        <v>-0.39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324</v>
      </c>
      <c r="F19" s="10"/>
      <c r="G19" s="10">
        <f t="shared" si="0"/>
        <v>324</v>
      </c>
      <c r="H19" s="16">
        <f t="shared" si="1"/>
        <v>0.16</v>
      </c>
      <c r="I19" s="15">
        <f t="shared" si="2"/>
        <v>1E-3</v>
      </c>
      <c r="J19" s="15">
        <f>ROUND(G19/330-1,2)</f>
        <v>-0.02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554</v>
      </c>
      <c r="F20" s="10"/>
      <c r="G20" s="10">
        <f t="shared" si="0"/>
        <v>554</v>
      </c>
      <c r="H20" s="16">
        <f t="shared" si="1"/>
        <v>0.27</v>
      </c>
      <c r="I20" s="15">
        <f t="shared" si="2"/>
        <v>1E-3</v>
      </c>
      <c r="J20" s="15">
        <f>ROUND(G20/3114.55-1,2)</f>
        <v>-0.82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720</v>
      </c>
      <c r="F21" s="10"/>
      <c r="G21" s="10">
        <f t="shared" si="0"/>
        <v>720</v>
      </c>
      <c r="H21" s="16">
        <f t="shared" si="1"/>
        <v>0.35</v>
      </c>
      <c r="I21" s="15">
        <f t="shared" si="2"/>
        <v>1E-3</v>
      </c>
      <c r="J21" s="15">
        <f>ROUND(G21/590.64-1,2)</f>
        <v>0.22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1239</v>
      </c>
      <c r="F22" s="10"/>
      <c r="G22" s="10">
        <f t="shared" si="0"/>
        <v>1239</v>
      </c>
      <c r="H22" s="16">
        <f t="shared" si="1"/>
        <v>0.61</v>
      </c>
      <c r="I22" s="15">
        <f t="shared" si="2"/>
        <v>2E-3</v>
      </c>
      <c r="J22" s="15">
        <f>ROUND(G22/1382.97-1,2)</f>
        <v>-0.1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105</v>
      </c>
      <c r="F23" s="10"/>
      <c r="G23" s="10">
        <f t="shared" si="0"/>
        <v>105</v>
      </c>
      <c r="H23" s="16">
        <f t="shared" si="1"/>
        <v>0.05</v>
      </c>
      <c r="I23" s="15">
        <f t="shared" si="2"/>
        <v>0</v>
      </c>
      <c r="J23" s="15">
        <f>ROUND(G23/395-1,2)</f>
        <v>-0.73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48</v>
      </c>
      <c r="F24" s="10"/>
      <c r="G24" s="10">
        <f t="shared" si="0"/>
        <v>48</v>
      </c>
      <c r="H24" s="16">
        <f t="shared" si="1"/>
        <v>0.02</v>
      </c>
      <c r="I24" s="15">
        <f t="shared" si="2"/>
        <v>0</v>
      </c>
      <c r="J24" s="15">
        <f>ROUND(G24/610-1,2)</f>
        <v>-0.92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934</v>
      </c>
      <c r="F25" s="10"/>
      <c r="G25" s="10">
        <f t="shared" si="0"/>
        <v>934</v>
      </c>
      <c r="H25" s="16">
        <f t="shared" si="1"/>
        <v>0.46</v>
      </c>
      <c r="I25" s="15">
        <f t="shared" si="2"/>
        <v>1E-3</v>
      </c>
      <c r="J25" s="15">
        <f>ROUND(G25/725.25-1,2)</f>
        <v>0.28999999999999998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2479</v>
      </c>
      <c r="F26" s="10"/>
      <c r="G26" s="10">
        <f t="shared" si="0"/>
        <v>2479</v>
      </c>
      <c r="H26" s="16">
        <f t="shared" si="1"/>
        <v>1.22</v>
      </c>
      <c r="I26" s="15">
        <f t="shared" si="2"/>
        <v>4.0000000000000001E-3</v>
      </c>
      <c r="J26" s="15">
        <f>ROUND(G26/3439.69-1,2)</f>
        <v>-0.28000000000000003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47680</v>
      </c>
      <c r="F27" s="10"/>
      <c r="G27" s="10">
        <f t="shared" si="0"/>
        <v>47680</v>
      </c>
      <c r="H27" s="16">
        <f t="shared" si="1"/>
        <v>23.42</v>
      </c>
      <c r="I27" s="15">
        <f t="shared" si="2"/>
        <v>7.5999999999999998E-2</v>
      </c>
      <c r="J27" s="15">
        <f>ROUND(G27/57321.34-1,2)</f>
        <v>-0.17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17120</v>
      </c>
      <c r="F28" s="10"/>
      <c r="G28" s="10">
        <f t="shared" si="0"/>
        <v>17120</v>
      </c>
      <c r="H28" s="16">
        <f t="shared" si="1"/>
        <v>8.41</v>
      </c>
      <c r="I28" s="15">
        <f t="shared" si="2"/>
        <v>2.7E-2</v>
      </c>
      <c r="J28" s="15">
        <f>ROUND(G28/16340.79-1,2)</f>
        <v>0.05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18045</v>
      </c>
      <c r="F29" s="10"/>
      <c r="G29" s="10">
        <f t="shared" si="0"/>
        <v>18045</v>
      </c>
      <c r="H29" s="16">
        <f t="shared" si="1"/>
        <v>8.86</v>
      </c>
      <c r="I29" s="15">
        <f t="shared" si="2"/>
        <v>2.9000000000000001E-2</v>
      </c>
      <c r="J29" s="15">
        <f>ROUND(G29/24222.95-1,2)</f>
        <v>-0.26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ROUND(G30/88.23-1,2)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ROUND(G31/1893.2-1,2)</f>
        <v>-1</v>
      </c>
    </row>
    <row r="32" spans="1:10" x14ac:dyDescent="0.25">
      <c r="A32" s="1" t="s">
        <v>16</v>
      </c>
      <c r="B32" s="1" t="s">
        <v>43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ROUND(G32/6170-1,2)</f>
        <v>-1</v>
      </c>
    </row>
    <row r="33" spans="1:10" x14ac:dyDescent="0.25">
      <c r="A33" s="1" t="s">
        <v>16</v>
      </c>
      <c r="B33" s="1" t="s">
        <v>18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ROUND(G33/640-1,2)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177270</v>
      </c>
      <c r="D36" s="10"/>
      <c r="E36" s="10"/>
      <c r="F36" s="10">
        <v>80</v>
      </c>
      <c r="G36" s="10">
        <f t="shared" si="0"/>
        <v>177350</v>
      </c>
      <c r="H36" s="16">
        <f t="shared" si="1"/>
        <v>87.11</v>
      </c>
      <c r="I36" s="15">
        <f t="shared" si="2"/>
        <v>0.28399999999999997</v>
      </c>
      <c r="J36" s="15">
        <f>ROUND(G36/193790-1,2)</f>
        <v>-0.08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35806</v>
      </c>
      <c r="F37" s="10"/>
      <c r="G37" s="10">
        <f t="shared" si="0"/>
        <v>35806</v>
      </c>
      <c r="H37" s="16">
        <f t="shared" si="1"/>
        <v>17.59</v>
      </c>
      <c r="I37" s="15">
        <f t="shared" si="2"/>
        <v>5.7000000000000002E-2</v>
      </c>
      <c r="J37" s="15">
        <f>ROUND(G37/33913.69-1,2)</f>
        <v>0.06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ROUND(G39/13-1,2)</f>
        <v>-1</v>
      </c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ROUND(G40/160-1,2)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3" t="s">
        <v>12</v>
      </c>
      <c r="B43" s="23"/>
      <c r="C43" s="11">
        <f t="shared" ref="C43:H43" si="3">SUM(C8:C42)</f>
        <v>406730</v>
      </c>
      <c r="D43" s="11">
        <f t="shared" si="3"/>
        <v>0</v>
      </c>
      <c r="E43" s="11">
        <f t="shared" si="3"/>
        <v>216944</v>
      </c>
      <c r="F43" s="11">
        <f t="shared" si="3"/>
        <v>180</v>
      </c>
      <c r="G43" s="11">
        <f t="shared" si="3"/>
        <v>623854</v>
      </c>
      <c r="H43" s="14">
        <f t="shared" si="3"/>
        <v>306.41000000000003</v>
      </c>
      <c r="I43" s="17"/>
      <c r="J43" s="17"/>
    </row>
    <row r="44" spans="1:10" x14ac:dyDescent="0.25">
      <c r="A44" s="23" t="s">
        <v>14</v>
      </c>
      <c r="B44" s="23"/>
      <c r="C44" s="12">
        <f>ROUND(C43/G43,2)</f>
        <v>0.65</v>
      </c>
      <c r="D44" s="12">
        <f>ROUND(D43/G43,2)</f>
        <v>0</v>
      </c>
      <c r="E44" s="12">
        <f>ROUND(E43/G43,2)</f>
        <v>0.35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53</v>
      </c>
      <c r="B49" s="23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229460</v>
      </c>
      <c r="D50" s="10">
        <v>0</v>
      </c>
      <c r="E50" s="10">
        <v>181138</v>
      </c>
      <c r="F50" s="10">
        <v>100</v>
      </c>
      <c r="G50" s="10">
        <f>SUM(C50:F50)</f>
        <v>410698</v>
      </c>
      <c r="H50" s="16">
        <f>ROUND(G50/2036,2)</f>
        <v>201.72</v>
      </c>
      <c r="I50" s="9"/>
      <c r="J50" s="9"/>
    </row>
    <row r="51" spans="1:10" x14ac:dyDescent="0.25">
      <c r="A51" s="22" t="s">
        <v>55</v>
      </c>
      <c r="B51" s="22"/>
      <c r="C51" s="10">
        <v>177270</v>
      </c>
      <c r="D51" s="10">
        <v>0</v>
      </c>
      <c r="E51" s="10">
        <v>35806</v>
      </c>
      <c r="F51" s="10">
        <v>80</v>
      </c>
      <c r="G51" s="10">
        <f>SUM(C51:F51)</f>
        <v>213156</v>
      </c>
      <c r="H51" s="16">
        <f>ROUND(G51/2036,2)</f>
        <v>104.69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ROUND(G52/2036,2)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57</v>
      </c>
      <c r="B57" s="23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ROUND(0.6834, 4)</f>
        <v>0.68340000000000001</v>
      </c>
      <c r="D58" s="15">
        <f>ROUND(0.6592, 4)</f>
        <v>0.65920000000000001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4" t="s">
        <v>64</v>
      </c>
      <c r="J58" s="24" t="s">
        <v>65</v>
      </c>
    </row>
    <row r="59" spans="1:10" x14ac:dyDescent="0.25">
      <c r="A59" s="22" t="s">
        <v>66</v>
      </c>
      <c r="B59" s="22"/>
      <c r="C59" s="15">
        <f>ROUND(0.6466, 4)</f>
        <v>0.64659999999999995</v>
      </c>
      <c r="D59" s="15">
        <f>ROUND(0.6252, 4)</f>
        <v>0.62519999999999998</v>
      </c>
      <c r="E59" s="15">
        <f>ROUND(0.7608, 4)</f>
        <v>0.76080000000000003</v>
      </c>
      <c r="F59" s="8"/>
      <c r="G59" s="14" t="s">
        <v>67</v>
      </c>
      <c r="H59" s="27"/>
      <c r="I59" s="25"/>
      <c r="J59" s="25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68</v>
      </c>
      <c r="B63" s="23"/>
      <c r="C63" s="14" t="s">
        <v>2</v>
      </c>
      <c r="D63" s="14" t="s">
        <v>87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87.11</v>
      </c>
      <c r="D64" s="16">
        <v>92.23</v>
      </c>
      <c r="E64" s="16">
        <v>89.58</v>
      </c>
      <c r="F64" s="16">
        <v>53.73</v>
      </c>
      <c r="G64" s="16">
        <f>12/9*C64</f>
        <v>116.14666666666666</v>
      </c>
      <c r="H64" s="8"/>
      <c r="I64" s="9"/>
      <c r="J64" s="9"/>
    </row>
    <row r="65" spans="1:10" x14ac:dyDescent="0.25">
      <c r="A65" s="22" t="s">
        <v>74</v>
      </c>
      <c r="B65" s="22"/>
      <c r="C65" s="16">
        <v>31.97</v>
      </c>
      <c r="D65" s="16">
        <v>43.69</v>
      </c>
      <c r="E65" s="16">
        <v>60.32</v>
      </c>
      <c r="F65" s="16">
        <v>61.62</v>
      </c>
      <c r="G65" s="16">
        <f>12/9*C65</f>
        <v>42.626666666666665</v>
      </c>
      <c r="H65" s="8"/>
      <c r="I65" s="9"/>
      <c r="J65" s="9"/>
    </row>
    <row r="66" spans="1:10" x14ac:dyDescent="0.25">
      <c r="A66" s="22" t="s">
        <v>75</v>
      </c>
      <c r="B66" s="22"/>
      <c r="C66" s="16">
        <v>201.72</v>
      </c>
      <c r="D66" s="16">
        <v>259.43</v>
      </c>
      <c r="E66" s="16">
        <v>282.8</v>
      </c>
      <c r="F66" s="16">
        <v>273.33</v>
      </c>
      <c r="G66" s="16">
        <f>12/9*C66</f>
        <v>268.95999999999998</v>
      </c>
      <c r="H66" s="8"/>
      <c r="I66" s="9"/>
      <c r="J66" s="9"/>
    </row>
    <row r="67" spans="1:10" x14ac:dyDescent="0.25">
      <c r="A67" s="22" t="s">
        <v>76</v>
      </c>
      <c r="B67" s="22"/>
      <c r="C67" s="16">
        <v>104.69</v>
      </c>
      <c r="D67" s="16">
        <v>115.41</v>
      </c>
      <c r="E67" s="16">
        <v>112.72</v>
      </c>
      <c r="F67" s="16">
        <v>76.52</v>
      </c>
      <c r="G67" s="16">
        <f>12/9*C67</f>
        <v>139.58666666666664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8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88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6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2880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69</v>
      </c>
      <c r="F9" s="10"/>
      <c r="G9" s="10">
        <f t="shared" ref="G9:G41" si="0">SUM(C9:F9)</f>
        <v>69</v>
      </c>
      <c r="H9" s="16">
        <f t="shared" ref="H9:H41" si="1">ROUND(G9/2880,2)</f>
        <v>0.02</v>
      </c>
      <c r="I9" s="15">
        <f t="shared" ref="I9:I41" si="2">ROUND(G9/$G$42,3)</f>
        <v>0</v>
      </c>
      <c r="J9" s="15">
        <f>ROUND(G9/53-1,2)</f>
        <v>0.3</v>
      </c>
    </row>
    <row r="10" spans="1:10" x14ac:dyDescent="0.25">
      <c r="A10" s="1" t="s">
        <v>16</v>
      </c>
      <c r="B10" s="1" t="s">
        <v>19</v>
      </c>
      <c r="C10" s="10">
        <v>57420</v>
      </c>
      <c r="D10" s="10"/>
      <c r="E10" s="10"/>
      <c r="F10" s="10"/>
      <c r="G10" s="10">
        <f t="shared" si="0"/>
        <v>57420</v>
      </c>
      <c r="H10" s="16">
        <f t="shared" si="1"/>
        <v>19.940000000000001</v>
      </c>
      <c r="I10" s="15">
        <f t="shared" si="2"/>
        <v>7.2999999999999995E-2</v>
      </c>
      <c r="J10" s="15">
        <f>ROUND(G10/57640-1,2)</f>
        <v>0</v>
      </c>
    </row>
    <row r="11" spans="1:10" x14ac:dyDescent="0.25">
      <c r="A11" s="1" t="s">
        <v>16</v>
      </c>
      <c r="B11" s="1" t="s">
        <v>20</v>
      </c>
      <c r="C11" s="10">
        <v>87350</v>
      </c>
      <c r="D11" s="10"/>
      <c r="E11" s="10"/>
      <c r="F11" s="10"/>
      <c r="G11" s="10">
        <f t="shared" si="0"/>
        <v>87350</v>
      </c>
      <c r="H11" s="16">
        <f t="shared" si="1"/>
        <v>30.33</v>
      </c>
      <c r="I11" s="15">
        <f t="shared" si="2"/>
        <v>0.11</v>
      </c>
      <c r="J11" s="15">
        <f>ROUND(G11/74940-1,2)</f>
        <v>0.17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258</v>
      </c>
      <c r="F12" s="10"/>
      <c r="G12" s="10">
        <f t="shared" si="0"/>
        <v>258</v>
      </c>
      <c r="H12" s="16">
        <f t="shared" si="1"/>
        <v>0.09</v>
      </c>
      <c r="I12" s="15">
        <f t="shared" si="2"/>
        <v>0</v>
      </c>
      <c r="J12" s="15">
        <f>ROUND(G12/271-1,2)</f>
        <v>-0.05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2200</v>
      </c>
      <c r="F13" s="10"/>
      <c r="G13" s="10">
        <f t="shared" si="0"/>
        <v>2200</v>
      </c>
      <c r="H13" s="16">
        <f t="shared" si="1"/>
        <v>0.76</v>
      </c>
      <c r="I13" s="15">
        <f t="shared" si="2"/>
        <v>3.0000000000000001E-3</v>
      </c>
      <c r="J13" s="15">
        <f>ROUND(G13/1600-1,2)</f>
        <v>0.38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25080</v>
      </c>
      <c r="F14" s="10"/>
      <c r="G14" s="10">
        <f t="shared" si="0"/>
        <v>25080</v>
      </c>
      <c r="H14" s="16">
        <f t="shared" si="1"/>
        <v>8.7100000000000009</v>
      </c>
      <c r="I14" s="15">
        <f t="shared" si="2"/>
        <v>3.2000000000000001E-2</v>
      </c>
      <c r="J14" s="15">
        <f>ROUND(G14/23920-1,2)</f>
        <v>0.05</v>
      </c>
    </row>
    <row r="15" spans="1:10" x14ac:dyDescent="0.25">
      <c r="A15" s="1" t="s">
        <v>16</v>
      </c>
      <c r="B15" s="1" t="s">
        <v>24</v>
      </c>
      <c r="C15" s="10">
        <v>99430</v>
      </c>
      <c r="D15" s="10"/>
      <c r="E15" s="10">
        <v>5980</v>
      </c>
      <c r="F15" s="10"/>
      <c r="G15" s="10">
        <f t="shared" si="0"/>
        <v>105410</v>
      </c>
      <c r="H15" s="16">
        <f t="shared" si="1"/>
        <v>36.6</v>
      </c>
      <c r="I15" s="15">
        <f t="shared" si="2"/>
        <v>0.13300000000000001</v>
      </c>
      <c r="J15" s="15">
        <f>ROUND(G15/109925-1,2)</f>
        <v>-0.04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2950</v>
      </c>
      <c r="F16" s="10"/>
      <c r="G16" s="10">
        <f t="shared" si="0"/>
        <v>2950</v>
      </c>
      <c r="H16" s="16">
        <f t="shared" si="1"/>
        <v>1.02</v>
      </c>
      <c r="I16" s="15">
        <f t="shared" si="2"/>
        <v>4.0000000000000001E-3</v>
      </c>
      <c r="J16" s="15">
        <f>ROUND(G16/2190-1,2)</f>
        <v>0.35</v>
      </c>
    </row>
    <row r="17" spans="1:10" x14ac:dyDescent="0.25">
      <c r="A17" s="1" t="s">
        <v>16</v>
      </c>
      <c r="B17" s="1" t="s">
        <v>26</v>
      </c>
      <c r="C17" s="10">
        <v>116110</v>
      </c>
      <c r="D17" s="10"/>
      <c r="E17" s="10"/>
      <c r="F17" s="10"/>
      <c r="G17" s="10">
        <f t="shared" si="0"/>
        <v>116110</v>
      </c>
      <c r="H17" s="16">
        <f t="shared" si="1"/>
        <v>40.32</v>
      </c>
      <c r="I17" s="15">
        <f t="shared" si="2"/>
        <v>0.14699999999999999</v>
      </c>
      <c r="J17" s="15">
        <f>ROUND(G17/115660-1,2)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390</v>
      </c>
      <c r="F18" s="10"/>
      <c r="G18" s="10">
        <f t="shared" si="0"/>
        <v>390</v>
      </c>
      <c r="H18" s="16">
        <f t="shared" si="1"/>
        <v>0.14000000000000001</v>
      </c>
      <c r="I18" s="15">
        <f t="shared" si="2"/>
        <v>0</v>
      </c>
      <c r="J18" s="15">
        <f>ROUND(G18/326-1,2)</f>
        <v>0.2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268</v>
      </c>
      <c r="F19" s="10"/>
      <c r="G19" s="10">
        <f t="shared" si="0"/>
        <v>268</v>
      </c>
      <c r="H19" s="16">
        <f t="shared" si="1"/>
        <v>0.09</v>
      </c>
      <c r="I19" s="15">
        <f t="shared" si="2"/>
        <v>0</v>
      </c>
      <c r="J19" s="15">
        <f>ROUND(G19/164-1,2)</f>
        <v>0.63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1940</v>
      </c>
      <c r="F20" s="10"/>
      <c r="G20" s="10">
        <f t="shared" si="0"/>
        <v>1940</v>
      </c>
      <c r="H20" s="16">
        <f t="shared" si="1"/>
        <v>0.67</v>
      </c>
      <c r="I20" s="15">
        <f t="shared" si="2"/>
        <v>2E-3</v>
      </c>
      <c r="J20" s="15">
        <f>ROUND(G20/2320-1,2)</f>
        <v>-0.16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860</v>
      </c>
      <c r="F21" s="10"/>
      <c r="G21" s="10">
        <f t="shared" si="0"/>
        <v>860</v>
      </c>
      <c r="H21" s="16">
        <f t="shared" si="1"/>
        <v>0.3</v>
      </c>
      <c r="I21" s="15">
        <f t="shared" si="2"/>
        <v>1E-3</v>
      </c>
      <c r="J21" s="15">
        <f>ROUND(G21/900-1,2)</f>
        <v>-0.04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360</v>
      </c>
      <c r="F22" s="10"/>
      <c r="G22" s="10">
        <f t="shared" si="0"/>
        <v>360</v>
      </c>
      <c r="H22" s="16">
        <f t="shared" si="1"/>
        <v>0.13</v>
      </c>
      <c r="I22" s="15">
        <f t="shared" si="2"/>
        <v>0</v>
      </c>
      <c r="J22" s="15">
        <f>ROUND(G22/180-1,2)</f>
        <v>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1400</v>
      </c>
      <c r="F23" s="10"/>
      <c r="G23" s="10">
        <f t="shared" si="0"/>
        <v>1400</v>
      </c>
      <c r="H23" s="16">
        <f t="shared" si="1"/>
        <v>0.49</v>
      </c>
      <c r="I23" s="15">
        <f t="shared" si="2"/>
        <v>2E-3</v>
      </c>
      <c r="J23" s="15">
        <f>ROUND(G23/1155-1,2)</f>
        <v>0.21</v>
      </c>
    </row>
    <row r="24" spans="1:10" x14ac:dyDescent="0.25">
      <c r="A24" s="1" t="s">
        <v>16</v>
      </c>
      <c r="B24" s="1" t="s">
        <v>33</v>
      </c>
      <c r="C24" s="10"/>
      <c r="D24" s="10">
        <v>161</v>
      </c>
      <c r="E24" s="10">
        <v>78</v>
      </c>
      <c r="F24" s="10"/>
      <c r="G24" s="10">
        <f t="shared" si="0"/>
        <v>239</v>
      </c>
      <c r="H24" s="16">
        <f t="shared" si="1"/>
        <v>0.08</v>
      </c>
      <c r="I24" s="15">
        <f t="shared" si="2"/>
        <v>0</v>
      </c>
      <c r="J24" s="15">
        <f>ROUND(G24/221-1,2)</f>
        <v>0.08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460</v>
      </c>
      <c r="F25" s="10"/>
      <c r="G25" s="10">
        <f t="shared" si="0"/>
        <v>460</v>
      </c>
      <c r="H25" s="16">
        <f t="shared" si="1"/>
        <v>0.16</v>
      </c>
      <c r="I25" s="15">
        <f t="shared" si="2"/>
        <v>1E-3</v>
      </c>
      <c r="J25" s="15">
        <f>ROUND(G25/553-1,2)</f>
        <v>-0.17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1140</v>
      </c>
      <c r="F26" s="10"/>
      <c r="G26" s="10">
        <f t="shared" si="0"/>
        <v>1140</v>
      </c>
      <c r="H26" s="16">
        <f t="shared" si="1"/>
        <v>0.4</v>
      </c>
      <c r="I26" s="15">
        <f t="shared" si="2"/>
        <v>1E-3</v>
      </c>
      <c r="J26" s="15">
        <f>ROUND(G26/916-1,2)</f>
        <v>0.24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900</v>
      </c>
      <c r="F27" s="10"/>
      <c r="G27" s="10">
        <f t="shared" si="0"/>
        <v>900</v>
      </c>
      <c r="H27" s="16">
        <f t="shared" si="1"/>
        <v>0.31</v>
      </c>
      <c r="I27" s="15">
        <f t="shared" si="2"/>
        <v>1E-3</v>
      </c>
      <c r="J27" s="15">
        <f>ROUND(G27/1790-1,2)</f>
        <v>-0.5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3180</v>
      </c>
      <c r="F28" s="10"/>
      <c r="G28" s="10">
        <f t="shared" si="0"/>
        <v>3180</v>
      </c>
      <c r="H28" s="16">
        <f t="shared" si="1"/>
        <v>1.1000000000000001</v>
      </c>
      <c r="I28" s="15">
        <f t="shared" si="2"/>
        <v>4.0000000000000001E-3</v>
      </c>
      <c r="J28" s="15">
        <f>ROUND(G28/2420-1,2)</f>
        <v>0.31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1500</v>
      </c>
      <c r="F29" s="10"/>
      <c r="G29" s="10">
        <f t="shared" si="0"/>
        <v>1500</v>
      </c>
      <c r="H29" s="16">
        <f t="shared" si="1"/>
        <v>0.52</v>
      </c>
      <c r="I29" s="15">
        <f t="shared" si="2"/>
        <v>2E-3</v>
      </c>
      <c r="J29" s="15">
        <f>ROUND(G29/6157-1,2)</f>
        <v>-0.76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42180</v>
      </c>
      <c r="F30" s="10"/>
      <c r="G30" s="10">
        <f t="shared" si="0"/>
        <v>42180</v>
      </c>
      <c r="H30" s="16">
        <f t="shared" si="1"/>
        <v>14.65</v>
      </c>
      <c r="I30" s="15">
        <f t="shared" si="2"/>
        <v>5.2999999999999999E-2</v>
      </c>
      <c r="J30" s="15">
        <f>ROUND(G30/38430-1,2)</f>
        <v>0.1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4150</v>
      </c>
      <c r="F31" s="10"/>
      <c r="G31" s="10">
        <f t="shared" si="0"/>
        <v>4150</v>
      </c>
      <c r="H31" s="16">
        <f t="shared" si="1"/>
        <v>1.44</v>
      </c>
      <c r="I31" s="15">
        <f t="shared" si="2"/>
        <v>5.0000000000000001E-3</v>
      </c>
      <c r="J31" s="15">
        <f>ROUND(G31/4110-1,2)</f>
        <v>0.01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14020</v>
      </c>
      <c r="F32" s="10"/>
      <c r="G32" s="10">
        <f t="shared" si="0"/>
        <v>14020</v>
      </c>
      <c r="H32" s="16">
        <f t="shared" si="1"/>
        <v>4.87</v>
      </c>
      <c r="I32" s="15">
        <f t="shared" si="2"/>
        <v>1.7999999999999999E-2</v>
      </c>
      <c r="J32" s="15">
        <f>ROUND(G32/14300-1,2)</f>
        <v>-0.02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101240</v>
      </c>
      <c r="F33" s="10"/>
      <c r="G33" s="10">
        <f t="shared" si="0"/>
        <v>101240</v>
      </c>
      <c r="H33" s="16">
        <f t="shared" si="1"/>
        <v>35.15</v>
      </c>
      <c r="I33" s="15">
        <f t="shared" si="2"/>
        <v>0.128</v>
      </c>
      <c r="J33" s="15">
        <f>ROUND(G33/85310-1,2)</f>
        <v>0.19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90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176250</v>
      </c>
      <c r="D37" s="10"/>
      <c r="E37" s="10"/>
      <c r="F37" s="10"/>
      <c r="G37" s="10">
        <f t="shared" si="0"/>
        <v>176250</v>
      </c>
      <c r="H37" s="16">
        <f t="shared" si="1"/>
        <v>61.2</v>
      </c>
      <c r="I37" s="15">
        <f t="shared" si="2"/>
        <v>0.223</v>
      </c>
      <c r="J37" s="15">
        <f>ROUND(G37/171480-1,2)</f>
        <v>0.03</v>
      </c>
    </row>
    <row r="38" spans="1:10" x14ac:dyDescent="0.25">
      <c r="A38" s="1" t="s">
        <v>44</v>
      </c>
      <c r="B38" s="1" t="s">
        <v>47</v>
      </c>
      <c r="C38" s="10"/>
      <c r="D38" s="10"/>
      <c r="E38" s="10">
        <v>5700</v>
      </c>
      <c r="F38" s="10"/>
      <c r="G38" s="10">
        <f t="shared" si="0"/>
        <v>5700</v>
      </c>
      <c r="H38" s="16">
        <f t="shared" si="1"/>
        <v>1.98</v>
      </c>
      <c r="I38" s="15">
        <f t="shared" si="2"/>
        <v>7.0000000000000001E-3</v>
      </c>
      <c r="J38" s="15">
        <f>ROUND(G38/7510-1,2)</f>
        <v>-0.24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38130</v>
      </c>
      <c r="F39" s="10"/>
      <c r="G39" s="10">
        <f t="shared" si="0"/>
        <v>38130</v>
      </c>
      <c r="H39" s="16">
        <f t="shared" si="1"/>
        <v>13.24</v>
      </c>
      <c r="I39" s="15">
        <f t="shared" si="2"/>
        <v>4.8000000000000001E-2</v>
      </c>
      <c r="J39" s="15">
        <f>ROUND(G39/36260-1,2)</f>
        <v>0.05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ROUND(G40/470-1,2)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3" t="s">
        <v>12</v>
      </c>
      <c r="B42" s="23"/>
      <c r="C42" s="11">
        <f t="shared" ref="C42:H42" si="3">SUM(C8:C41)</f>
        <v>536560</v>
      </c>
      <c r="D42" s="11">
        <f t="shared" si="3"/>
        <v>161</v>
      </c>
      <c r="E42" s="11">
        <f t="shared" si="3"/>
        <v>254433</v>
      </c>
      <c r="F42" s="11">
        <f t="shared" si="3"/>
        <v>0</v>
      </c>
      <c r="G42" s="11">
        <f t="shared" si="3"/>
        <v>791154</v>
      </c>
      <c r="H42" s="14">
        <f t="shared" si="3"/>
        <v>274.71000000000004</v>
      </c>
      <c r="I42" s="17"/>
      <c r="J42" s="17"/>
    </row>
    <row r="43" spans="1:10" x14ac:dyDescent="0.25">
      <c r="A43" s="23" t="s">
        <v>14</v>
      </c>
      <c r="B43" s="23"/>
      <c r="C43" s="12">
        <f>ROUND(C42/G42,2)</f>
        <v>0.68</v>
      </c>
      <c r="D43" s="12">
        <f>ROUND(D42/G42,2)</f>
        <v>0</v>
      </c>
      <c r="E43" s="12">
        <f>ROUND(E42/G42,2)</f>
        <v>0.32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53</v>
      </c>
      <c r="B48" s="23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360310</v>
      </c>
      <c r="D49" s="10">
        <v>161</v>
      </c>
      <c r="E49" s="10">
        <v>210603</v>
      </c>
      <c r="F49" s="10">
        <v>0</v>
      </c>
      <c r="G49" s="10">
        <f>SUM(C49:F49)</f>
        <v>571074</v>
      </c>
      <c r="H49" s="16">
        <f>ROUND(G49/2880,2)</f>
        <v>198.29</v>
      </c>
      <c r="I49" s="9"/>
      <c r="J49" s="9"/>
    </row>
    <row r="50" spans="1:10" x14ac:dyDescent="0.25">
      <c r="A50" s="22" t="s">
        <v>55</v>
      </c>
      <c r="B50" s="22"/>
      <c r="C50" s="10">
        <v>176250</v>
      </c>
      <c r="D50" s="10">
        <v>0</v>
      </c>
      <c r="E50" s="10">
        <v>43830</v>
      </c>
      <c r="F50" s="10">
        <v>0</v>
      </c>
      <c r="G50" s="10">
        <f>SUM(C50:F50)</f>
        <v>220080</v>
      </c>
      <c r="H50" s="16">
        <f>ROUND(G50/2880,2)</f>
        <v>76.42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ROUND(G51/2880,2)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57</v>
      </c>
      <c r="B56" s="23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ROUND(0.7649, 4)</f>
        <v>0.76490000000000002</v>
      </c>
      <c r="D57" s="15">
        <f>ROUND(0.7477, 4)</f>
        <v>0.74770000000000003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4" t="s">
        <v>64</v>
      </c>
      <c r="J57" s="24" t="s">
        <v>65</v>
      </c>
    </row>
    <row r="58" spans="1:10" x14ac:dyDescent="0.25">
      <c r="A58" s="22" t="s">
        <v>66</v>
      </c>
      <c r="B58" s="22"/>
      <c r="C58" s="15">
        <f>ROUND(0.7553, 4)</f>
        <v>0.75529999999999997</v>
      </c>
      <c r="D58" s="15">
        <f>ROUND(0.7374, 4)</f>
        <v>0.73740000000000006</v>
      </c>
      <c r="E58" s="15">
        <f>ROUND(0.7608, 4)</f>
        <v>0.76080000000000003</v>
      </c>
      <c r="F58" s="8"/>
      <c r="G58" s="14" t="s">
        <v>67</v>
      </c>
      <c r="H58" s="27"/>
      <c r="I58" s="25"/>
      <c r="J58" s="25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68</v>
      </c>
      <c r="B62" s="23"/>
      <c r="C62" s="14" t="s">
        <v>2</v>
      </c>
      <c r="D62" s="14" t="s">
        <v>91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61.2</v>
      </c>
      <c r="D63" s="16">
        <v>78.790000000000006</v>
      </c>
      <c r="E63" s="16">
        <v>89.58</v>
      </c>
      <c r="F63" s="16">
        <v>53.73</v>
      </c>
      <c r="G63" s="16">
        <f>12/9*C63</f>
        <v>81.599999999999994</v>
      </c>
      <c r="H63" s="8"/>
      <c r="I63" s="9"/>
      <c r="J63" s="9"/>
    </row>
    <row r="64" spans="1:10" x14ac:dyDescent="0.25">
      <c r="A64" s="22" t="s">
        <v>74</v>
      </c>
      <c r="B64" s="22"/>
      <c r="C64" s="16">
        <v>40.32</v>
      </c>
      <c r="D64" s="16">
        <v>54.12</v>
      </c>
      <c r="E64" s="16">
        <v>60.32</v>
      </c>
      <c r="F64" s="16">
        <v>61.62</v>
      </c>
      <c r="G64" s="16">
        <f>12/9*C64</f>
        <v>53.76</v>
      </c>
      <c r="H64" s="8"/>
      <c r="I64" s="9"/>
      <c r="J64" s="9"/>
    </row>
    <row r="65" spans="1:10" x14ac:dyDescent="0.25">
      <c r="A65" s="22" t="s">
        <v>75</v>
      </c>
      <c r="B65" s="22"/>
      <c r="C65" s="16">
        <v>198.29</v>
      </c>
      <c r="D65" s="16">
        <v>264.57</v>
      </c>
      <c r="E65" s="16">
        <v>282.8</v>
      </c>
      <c r="F65" s="16">
        <v>273.33</v>
      </c>
      <c r="G65" s="16">
        <f>12/9*C65</f>
        <v>264.38666666666666</v>
      </c>
      <c r="H65" s="8"/>
      <c r="I65" s="9"/>
      <c r="J65" s="9"/>
    </row>
    <row r="66" spans="1:10" x14ac:dyDescent="0.25">
      <c r="A66" s="22" t="s">
        <v>76</v>
      </c>
      <c r="B66" s="22"/>
      <c r="C66" s="16">
        <v>76.42</v>
      </c>
      <c r="D66" s="16">
        <v>99.89</v>
      </c>
      <c r="E66" s="16">
        <v>112.72</v>
      </c>
      <c r="F66" s="16">
        <v>76.52</v>
      </c>
      <c r="G66" s="16">
        <f>12/9*C66</f>
        <v>101.89333333333333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8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92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7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5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5150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120</v>
      </c>
      <c r="G9" s="10">
        <f t="shared" ref="G9:G47" si="0">SUM(C9:F9)</f>
        <v>120</v>
      </c>
      <c r="H9" s="16">
        <f t="shared" ref="H9:H47" si="1">ROUND(G9/5150,2)</f>
        <v>0.02</v>
      </c>
      <c r="I9" s="15">
        <f t="shared" ref="I9:I47" si="2">ROUND(G9/$G$48,3)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>
        <v>280</v>
      </c>
      <c r="G10" s="10">
        <f t="shared" si="0"/>
        <v>280</v>
      </c>
      <c r="H10" s="16">
        <f t="shared" si="1"/>
        <v>0.05</v>
      </c>
      <c r="I10" s="15">
        <f t="shared" si="2"/>
        <v>0</v>
      </c>
      <c r="J10" s="15">
        <f>ROUND(G10/360-1,2)</f>
        <v>-0.22</v>
      </c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102</v>
      </c>
      <c r="F14" s="10"/>
      <c r="G14" s="10">
        <f t="shared" si="0"/>
        <v>102</v>
      </c>
      <c r="H14" s="16">
        <f t="shared" si="1"/>
        <v>0.02</v>
      </c>
      <c r="I14" s="15">
        <f t="shared" si="2"/>
        <v>0</v>
      </c>
      <c r="J14" s="15">
        <f>ROUND(G14/134-1,2)</f>
        <v>-0.24</v>
      </c>
    </row>
    <row r="15" spans="1:10" x14ac:dyDescent="0.25">
      <c r="A15" s="1" t="s">
        <v>16</v>
      </c>
      <c r="B15" s="1" t="s">
        <v>19</v>
      </c>
      <c r="C15" s="10">
        <v>117830</v>
      </c>
      <c r="D15" s="10"/>
      <c r="E15" s="10">
        <v>13010</v>
      </c>
      <c r="F15" s="10">
        <v>100</v>
      </c>
      <c r="G15" s="10">
        <f t="shared" si="0"/>
        <v>130940</v>
      </c>
      <c r="H15" s="16">
        <f t="shared" si="1"/>
        <v>25.43</v>
      </c>
      <c r="I15" s="15">
        <f t="shared" si="2"/>
        <v>7.9000000000000001E-2</v>
      </c>
      <c r="J15" s="15">
        <f>ROUND(G15/119780-1,2)</f>
        <v>0.09</v>
      </c>
    </row>
    <row r="16" spans="1:10" x14ac:dyDescent="0.25">
      <c r="A16" s="1" t="s">
        <v>16</v>
      </c>
      <c r="B16" s="1" t="s">
        <v>20</v>
      </c>
      <c r="C16" s="10">
        <v>156990</v>
      </c>
      <c r="D16" s="10"/>
      <c r="E16" s="10"/>
      <c r="F16" s="10"/>
      <c r="G16" s="10">
        <f t="shared" si="0"/>
        <v>156990</v>
      </c>
      <c r="H16" s="16">
        <f t="shared" si="1"/>
        <v>30.48</v>
      </c>
      <c r="I16" s="15">
        <f t="shared" si="2"/>
        <v>9.5000000000000001E-2</v>
      </c>
      <c r="J16" s="15">
        <f>ROUND(G16/172420-1,2)</f>
        <v>-0.09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297</v>
      </c>
      <c r="F17" s="10"/>
      <c r="G17" s="10">
        <f t="shared" si="0"/>
        <v>297</v>
      </c>
      <c r="H17" s="16">
        <f t="shared" si="1"/>
        <v>0.06</v>
      </c>
      <c r="I17" s="15">
        <f t="shared" si="2"/>
        <v>0</v>
      </c>
      <c r="J17" s="15">
        <f>ROUND(G17/262-1,2)</f>
        <v>0.13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443</v>
      </c>
      <c r="F18" s="10"/>
      <c r="G18" s="10">
        <f t="shared" si="0"/>
        <v>443</v>
      </c>
      <c r="H18" s="16">
        <f t="shared" si="1"/>
        <v>0.09</v>
      </c>
      <c r="I18" s="15">
        <f t="shared" si="2"/>
        <v>0</v>
      </c>
      <c r="J18" s="15">
        <f>ROUND(G18/501-1,2)</f>
        <v>-0.12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4200</v>
      </c>
      <c r="F19" s="10"/>
      <c r="G19" s="10">
        <f t="shared" si="0"/>
        <v>4200</v>
      </c>
      <c r="H19" s="16">
        <f t="shared" si="1"/>
        <v>0.82</v>
      </c>
      <c r="I19" s="15">
        <f t="shared" si="2"/>
        <v>3.0000000000000001E-3</v>
      </c>
      <c r="J19" s="15">
        <f>ROUND(G19/2600-1,2)</f>
        <v>0.62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319</v>
      </c>
      <c r="G20" s="10">
        <f t="shared" si="0"/>
        <v>319</v>
      </c>
      <c r="H20" s="16">
        <f t="shared" si="1"/>
        <v>0.06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54</v>
      </c>
      <c r="G21" s="10">
        <f t="shared" si="0"/>
        <v>54</v>
      </c>
      <c r="H21" s="16">
        <f t="shared" si="1"/>
        <v>0.01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820</v>
      </c>
      <c r="G22" s="10">
        <f t="shared" si="0"/>
        <v>820</v>
      </c>
      <c r="H22" s="16">
        <f t="shared" si="1"/>
        <v>0.16</v>
      </c>
      <c r="I22" s="15">
        <f t="shared" si="2"/>
        <v>0</v>
      </c>
      <c r="J22" s="15">
        <f>ROUND(G22/215-1,2)</f>
        <v>2.81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151240</v>
      </c>
      <c r="F23" s="10"/>
      <c r="G23" s="10">
        <f t="shared" si="0"/>
        <v>151240</v>
      </c>
      <c r="H23" s="16">
        <f t="shared" si="1"/>
        <v>29.37</v>
      </c>
      <c r="I23" s="15">
        <f t="shared" si="2"/>
        <v>9.0999999999999998E-2</v>
      </c>
      <c r="J23" s="15">
        <f>ROUND(G23/186563-1,2)</f>
        <v>-0.19</v>
      </c>
    </row>
    <row r="24" spans="1:10" x14ac:dyDescent="0.25">
      <c r="A24" s="1" t="s">
        <v>16</v>
      </c>
      <c r="B24" s="1" t="s">
        <v>24</v>
      </c>
      <c r="C24" s="10">
        <v>133840</v>
      </c>
      <c r="D24" s="10"/>
      <c r="E24" s="10">
        <v>25120</v>
      </c>
      <c r="F24" s="10"/>
      <c r="G24" s="10">
        <f t="shared" si="0"/>
        <v>158960</v>
      </c>
      <c r="H24" s="16">
        <f t="shared" si="1"/>
        <v>30.87</v>
      </c>
      <c r="I24" s="15">
        <f t="shared" si="2"/>
        <v>9.6000000000000002E-2</v>
      </c>
      <c r="J24" s="15">
        <f>ROUND(G24/165030-1,2)</f>
        <v>-0.04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8890</v>
      </c>
      <c r="F25" s="10"/>
      <c r="G25" s="10">
        <f t="shared" si="0"/>
        <v>8890</v>
      </c>
      <c r="H25" s="16">
        <f t="shared" si="1"/>
        <v>1.73</v>
      </c>
      <c r="I25" s="15">
        <f t="shared" si="2"/>
        <v>5.0000000000000001E-3</v>
      </c>
      <c r="J25" s="15">
        <f>ROUND(G25/10810-1,2)</f>
        <v>-0.18</v>
      </c>
    </row>
    <row r="26" spans="1:10" x14ac:dyDescent="0.25">
      <c r="A26" s="1" t="s">
        <v>16</v>
      </c>
      <c r="B26" s="1" t="s">
        <v>26</v>
      </c>
      <c r="C26" s="10">
        <v>194400</v>
      </c>
      <c r="D26" s="10"/>
      <c r="E26" s="10"/>
      <c r="F26" s="10">
        <v>100</v>
      </c>
      <c r="G26" s="10">
        <f t="shared" si="0"/>
        <v>194500</v>
      </c>
      <c r="H26" s="16">
        <f t="shared" si="1"/>
        <v>37.770000000000003</v>
      </c>
      <c r="I26" s="15">
        <f t="shared" si="2"/>
        <v>0.11799999999999999</v>
      </c>
      <c r="J26" s="15">
        <f>ROUND(G26/191530-1,2)</f>
        <v>0.02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1959</v>
      </c>
      <c r="F27" s="10"/>
      <c r="G27" s="10">
        <f t="shared" si="0"/>
        <v>1959</v>
      </c>
      <c r="H27" s="16">
        <f t="shared" si="1"/>
        <v>0.38</v>
      </c>
      <c r="I27" s="15">
        <f t="shared" si="2"/>
        <v>1E-3</v>
      </c>
      <c r="J27" s="15">
        <f>ROUND(G27/2299-1,2)</f>
        <v>-0.15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1665</v>
      </c>
      <c r="F28" s="10"/>
      <c r="G28" s="10">
        <f t="shared" si="0"/>
        <v>1665</v>
      </c>
      <c r="H28" s="16">
        <f t="shared" si="1"/>
        <v>0.32</v>
      </c>
      <c r="I28" s="15">
        <f t="shared" si="2"/>
        <v>1E-3</v>
      </c>
      <c r="J28" s="15">
        <f>ROUND(G28/1531-1,2)</f>
        <v>0.09</v>
      </c>
    </row>
    <row r="29" spans="1:10" x14ac:dyDescent="0.25">
      <c r="A29" s="1" t="s">
        <v>16</v>
      </c>
      <c r="B29" s="1" t="s">
        <v>29</v>
      </c>
      <c r="C29" s="10"/>
      <c r="D29" s="10"/>
      <c r="E29" s="10">
        <v>4540</v>
      </c>
      <c r="F29" s="10"/>
      <c r="G29" s="10">
        <f t="shared" si="0"/>
        <v>4540</v>
      </c>
      <c r="H29" s="16">
        <f t="shared" si="1"/>
        <v>0.88</v>
      </c>
      <c r="I29" s="15">
        <f t="shared" si="2"/>
        <v>3.0000000000000001E-3</v>
      </c>
      <c r="J29" s="15">
        <f>ROUND(G29/11730-1,2)</f>
        <v>-0.61</v>
      </c>
    </row>
    <row r="30" spans="1:10" x14ac:dyDescent="0.25">
      <c r="A30" s="1" t="s">
        <v>16</v>
      </c>
      <c r="B30" s="1" t="s">
        <v>30</v>
      </c>
      <c r="C30" s="10"/>
      <c r="D30" s="10"/>
      <c r="E30" s="10">
        <v>1830</v>
      </c>
      <c r="F30" s="10"/>
      <c r="G30" s="10">
        <f t="shared" si="0"/>
        <v>1830</v>
      </c>
      <c r="H30" s="16">
        <f t="shared" si="1"/>
        <v>0.36</v>
      </c>
      <c r="I30" s="15">
        <f t="shared" si="2"/>
        <v>1E-3</v>
      </c>
      <c r="J30" s="15">
        <f>ROUND(G30/1950-1,2)</f>
        <v>-0.06</v>
      </c>
    </row>
    <row r="31" spans="1:10" x14ac:dyDescent="0.25">
      <c r="A31" s="1" t="s">
        <v>16</v>
      </c>
      <c r="B31" s="1" t="s">
        <v>31</v>
      </c>
      <c r="C31" s="10"/>
      <c r="D31" s="10"/>
      <c r="E31" s="10">
        <v>1200</v>
      </c>
      <c r="F31" s="10"/>
      <c r="G31" s="10">
        <f t="shared" si="0"/>
        <v>1200</v>
      </c>
      <c r="H31" s="16">
        <f t="shared" si="1"/>
        <v>0.23</v>
      </c>
      <c r="I31" s="15">
        <f t="shared" si="2"/>
        <v>1E-3</v>
      </c>
      <c r="J31" s="15">
        <f>ROUND(G31/1680-1,2)</f>
        <v>-0.28999999999999998</v>
      </c>
    </row>
    <row r="32" spans="1:10" x14ac:dyDescent="0.25">
      <c r="A32" s="1" t="s">
        <v>16</v>
      </c>
      <c r="B32" s="1" t="s">
        <v>32</v>
      </c>
      <c r="C32" s="10"/>
      <c r="D32" s="10"/>
      <c r="E32" s="10">
        <v>3470</v>
      </c>
      <c r="F32" s="10"/>
      <c r="G32" s="10">
        <f t="shared" si="0"/>
        <v>3470</v>
      </c>
      <c r="H32" s="16">
        <f t="shared" si="1"/>
        <v>0.67</v>
      </c>
      <c r="I32" s="15">
        <f t="shared" si="2"/>
        <v>2E-3</v>
      </c>
      <c r="J32" s="15">
        <f>ROUND(G32/2390-1,2)</f>
        <v>0.45</v>
      </c>
    </row>
    <row r="33" spans="1:10" x14ac:dyDescent="0.25">
      <c r="A33" s="1" t="s">
        <v>16</v>
      </c>
      <c r="B33" s="1" t="s">
        <v>33</v>
      </c>
      <c r="C33" s="10"/>
      <c r="D33" s="10">
        <v>288</v>
      </c>
      <c r="E33" s="10">
        <v>54</v>
      </c>
      <c r="F33" s="10"/>
      <c r="G33" s="10">
        <f t="shared" si="0"/>
        <v>342</v>
      </c>
      <c r="H33" s="16">
        <f t="shared" si="1"/>
        <v>7.0000000000000007E-2</v>
      </c>
      <c r="I33" s="15">
        <f t="shared" si="2"/>
        <v>0</v>
      </c>
      <c r="J33" s="15">
        <f>ROUND(G33/334-1,2)</f>
        <v>0.02</v>
      </c>
    </row>
    <row r="34" spans="1:10" x14ac:dyDescent="0.25">
      <c r="A34" s="1" t="s">
        <v>16</v>
      </c>
      <c r="B34" s="1" t="s">
        <v>35</v>
      </c>
      <c r="C34" s="10"/>
      <c r="D34" s="10"/>
      <c r="E34" s="10">
        <v>310</v>
      </c>
      <c r="F34" s="10"/>
      <c r="G34" s="10">
        <f t="shared" si="0"/>
        <v>310</v>
      </c>
      <c r="H34" s="16">
        <f t="shared" si="1"/>
        <v>0.06</v>
      </c>
      <c r="I34" s="15">
        <f t="shared" si="2"/>
        <v>0</v>
      </c>
      <c r="J34" s="15">
        <f>ROUND(G34/1113-1,2)</f>
        <v>-0.72</v>
      </c>
    </row>
    <row r="35" spans="1:10" x14ac:dyDescent="0.25">
      <c r="A35" s="1" t="s">
        <v>16</v>
      </c>
      <c r="B35" s="1" t="s">
        <v>37</v>
      </c>
      <c r="C35" s="10"/>
      <c r="D35" s="10"/>
      <c r="E35" s="10">
        <v>6400</v>
      </c>
      <c r="F35" s="10"/>
      <c r="G35" s="10">
        <f t="shared" si="0"/>
        <v>6400</v>
      </c>
      <c r="H35" s="16">
        <f t="shared" si="1"/>
        <v>1.24</v>
      </c>
      <c r="I35" s="15">
        <f t="shared" si="2"/>
        <v>4.0000000000000001E-3</v>
      </c>
      <c r="J35" s="15">
        <f>ROUND(G35/7200-1,2)</f>
        <v>-0.11</v>
      </c>
    </row>
    <row r="36" spans="1:10" x14ac:dyDescent="0.25">
      <c r="A36" s="1" t="s">
        <v>16</v>
      </c>
      <c r="B36" s="1" t="s">
        <v>43</v>
      </c>
      <c r="C36" s="10"/>
      <c r="D36" s="10"/>
      <c r="E36" s="10">
        <v>8345</v>
      </c>
      <c r="F36" s="10"/>
      <c r="G36" s="10">
        <f t="shared" si="0"/>
        <v>8345</v>
      </c>
      <c r="H36" s="16">
        <f t="shared" si="1"/>
        <v>1.62</v>
      </c>
      <c r="I36" s="15">
        <f t="shared" si="2"/>
        <v>5.0000000000000001E-3</v>
      </c>
      <c r="J36" s="15">
        <f>ROUND(G36/17161-1,2)</f>
        <v>-0.51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173670</v>
      </c>
      <c r="F37" s="10"/>
      <c r="G37" s="10">
        <f t="shared" si="0"/>
        <v>173670</v>
      </c>
      <c r="H37" s="16">
        <f t="shared" si="1"/>
        <v>33.72</v>
      </c>
      <c r="I37" s="15">
        <f t="shared" si="2"/>
        <v>0.105</v>
      </c>
      <c r="J37" s="15">
        <f>ROUND(G37/148970-1,2)</f>
        <v>0.17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13525</v>
      </c>
      <c r="F38" s="10"/>
      <c r="G38" s="10">
        <f t="shared" si="0"/>
        <v>13525</v>
      </c>
      <c r="H38" s="16">
        <f t="shared" si="1"/>
        <v>2.63</v>
      </c>
      <c r="I38" s="15">
        <f t="shared" si="2"/>
        <v>8.0000000000000002E-3</v>
      </c>
      <c r="J38" s="15">
        <f>ROUND(G38/13925-1,2)</f>
        <v>-0.03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35130</v>
      </c>
      <c r="F39" s="10"/>
      <c r="G39" s="10">
        <f t="shared" si="0"/>
        <v>35130</v>
      </c>
      <c r="H39" s="16">
        <f t="shared" si="1"/>
        <v>6.82</v>
      </c>
      <c r="I39" s="15">
        <f t="shared" si="2"/>
        <v>2.1000000000000001E-2</v>
      </c>
      <c r="J39" s="15">
        <f>ROUND(G39/25700-1,2)</f>
        <v>0.37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266610</v>
      </c>
      <c r="F40" s="10"/>
      <c r="G40" s="10">
        <f t="shared" si="0"/>
        <v>266610</v>
      </c>
      <c r="H40" s="16">
        <f t="shared" si="1"/>
        <v>51.77</v>
      </c>
      <c r="I40" s="15">
        <f t="shared" si="2"/>
        <v>0.161</v>
      </c>
      <c r="J40" s="15">
        <f>ROUND(G40/257800-1,2)</f>
        <v>0.03</v>
      </c>
    </row>
    <row r="41" spans="1:10" x14ac:dyDescent="0.25">
      <c r="A41" s="1" t="s">
        <v>16</v>
      </c>
      <c r="B41" s="1" t="s">
        <v>42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ROUND(G41/357-1,2)</f>
        <v>-1</v>
      </c>
    </row>
    <row r="42" spans="1:10" x14ac:dyDescent="0.25">
      <c r="A42" s="1" t="s">
        <v>16</v>
      </c>
      <c r="B42" s="1" t="s">
        <v>34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16</v>
      </c>
      <c r="B43" s="1" t="s">
        <v>36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ROUND(G43/5629-1,2)</f>
        <v>-1</v>
      </c>
    </row>
    <row r="44" spans="1:10" x14ac:dyDescent="0.25">
      <c r="A44" s="1" t="s">
        <v>16</v>
      </c>
      <c r="B44" s="1" t="s">
        <v>99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203640</v>
      </c>
      <c r="D45" s="10"/>
      <c r="E45" s="10"/>
      <c r="F45" s="10">
        <v>520</v>
      </c>
      <c r="G45" s="10">
        <f t="shared" si="0"/>
        <v>204160</v>
      </c>
      <c r="H45" s="16">
        <f t="shared" si="1"/>
        <v>39.64</v>
      </c>
      <c r="I45" s="15">
        <f t="shared" si="2"/>
        <v>0.123</v>
      </c>
      <c r="J45" s="15">
        <f>ROUND(G45/198810-1,2)</f>
        <v>0.03</v>
      </c>
    </row>
    <row r="46" spans="1:10" x14ac:dyDescent="0.25">
      <c r="A46" s="1" t="s">
        <v>44</v>
      </c>
      <c r="B46" s="1" t="s">
        <v>47</v>
      </c>
      <c r="C46" s="10"/>
      <c r="D46" s="10"/>
      <c r="E46" s="10">
        <v>11400</v>
      </c>
      <c r="F46" s="10">
        <v>12260</v>
      </c>
      <c r="G46" s="10">
        <f t="shared" si="0"/>
        <v>23660</v>
      </c>
      <c r="H46" s="16">
        <f t="shared" si="1"/>
        <v>4.59</v>
      </c>
      <c r="I46" s="15">
        <f t="shared" si="2"/>
        <v>1.4E-2</v>
      </c>
      <c r="J46" s="15">
        <f>ROUND(G46/46980-1,2)</f>
        <v>-0.5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99130</v>
      </c>
      <c r="F47" s="10"/>
      <c r="G47" s="10">
        <f t="shared" si="0"/>
        <v>99130</v>
      </c>
      <c r="H47" s="16">
        <f t="shared" si="1"/>
        <v>19.25</v>
      </c>
      <c r="I47" s="15">
        <f t="shared" si="2"/>
        <v>0.06</v>
      </c>
      <c r="J47" s="15">
        <f>ROUND(G47/100680-1,2)</f>
        <v>-0.02</v>
      </c>
    </row>
    <row r="48" spans="1:10" x14ac:dyDescent="0.25">
      <c r="A48" s="23" t="s">
        <v>12</v>
      </c>
      <c r="B48" s="23"/>
      <c r="C48" s="11">
        <f t="shared" ref="C48:H48" si="3">SUM(C8:C47)</f>
        <v>806700</v>
      </c>
      <c r="D48" s="11">
        <f t="shared" si="3"/>
        <v>288</v>
      </c>
      <c r="E48" s="11">
        <f t="shared" si="3"/>
        <v>832540</v>
      </c>
      <c r="F48" s="11">
        <f t="shared" si="3"/>
        <v>14573</v>
      </c>
      <c r="G48" s="11">
        <f t="shared" si="3"/>
        <v>1654101</v>
      </c>
      <c r="H48" s="14">
        <f t="shared" si="3"/>
        <v>321.18999999999994</v>
      </c>
      <c r="I48" s="17"/>
      <c r="J48" s="17"/>
    </row>
    <row r="49" spans="1:10" x14ac:dyDescent="0.25">
      <c r="A49" s="23" t="s">
        <v>14</v>
      </c>
      <c r="B49" s="23"/>
      <c r="C49" s="12">
        <f>ROUND(C48/G48,2)</f>
        <v>0.49</v>
      </c>
      <c r="D49" s="12">
        <f>ROUND(D48/G48,2)</f>
        <v>0</v>
      </c>
      <c r="E49" s="12">
        <f>ROUND(E48/G48,2)</f>
        <v>0.5</v>
      </c>
      <c r="F49" s="12">
        <f>ROUND(F48/G48,2)</f>
        <v>0.01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53</v>
      </c>
      <c r="B54" s="23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603060</v>
      </c>
      <c r="D55" s="10">
        <v>288</v>
      </c>
      <c r="E55" s="10">
        <v>722010</v>
      </c>
      <c r="F55" s="10">
        <v>1393</v>
      </c>
      <c r="G55" s="10">
        <f>SUM(C55:F55)</f>
        <v>1326751</v>
      </c>
      <c r="H55" s="16">
        <f>ROUND(G55/5150,2)</f>
        <v>257.62</v>
      </c>
      <c r="I55" s="9"/>
      <c r="J55" s="9"/>
    </row>
    <row r="56" spans="1:10" x14ac:dyDescent="0.25">
      <c r="A56" s="22" t="s">
        <v>55</v>
      </c>
      <c r="B56" s="22"/>
      <c r="C56" s="10">
        <v>203640</v>
      </c>
      <c r="D56" s="10">
        <v>0</v>
      </c>
      <c r="E56" s="10">
        <v>110530</v>
      </c>
      <c r="F56" s="10">
        <v>12780</v>
      </c>
      <c r="G56" s="10">
        <f>SUM(C56:F56)</f>
        <v>326950</v>
      </c>
      <c r="H56" s="16">
        <f>ROUND(G56/5150,2)</f>
        <v>63.49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400</v>
      </c>
      <c r="G57" s="10">
        <f>SUM(C57:F57)</f>
        <v>400</v>
      </c>
      <c r="H57" s="16">
        <f>ROUND(G57/5150,2)</f>
        <v>0.08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57</v>
      </c>
      <c r="B62" s="23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ROUND(0.8576, 4)</f>
        <v>0.85760000000000003</v>
      </c>
      <c r="D63" s="15">
        <f>ROUND(0.8502, 4)</f>
        <v>0.85019999999999996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4" t="s">
        <v>64</v>
      </c>
      <c r="J63" s="24" t="s">
        <v>65</v>
      </c>
    </row>
    <row r="64" spans="1:10" x14ac:dyDescent="0.25">
      <c r="A64" s="22" t="s">
        <v>66</v>
      </c>
      <c r="B64" s="22"/>
      <c r="C64" s="15">
        <f>ROUND(0.8465, 4)</f>
        <v>0.84650000000000003</v>
      </c>
      <c r="D64" s="15">
        <f>ROUND(0.8398, 4)</f>
        <v>0.83979999999999999</v>
      </c>
      <c r="E64" s="15">
        <f>ROUND(0.7608, 4)</f>
        <v>0.76080000000000003</v>
      </c>
      <c r="F64" s="8"/>
      <c r="G64" s="14" t="s">
        <v>67</v>
      </c>
      <c r="H64" s="27"/>
      <c r="I64" s="25"/>
      <c r="J64" s="25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68</v>
      </c>
      <c r="B68" s="23"/>
      <c r="C68" s="14" t="s">
        <v>2</v>
      </c>
      <c r="D68" s="14" t="s">
        <v>100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39.64</v>
      </c>
      <c r="D69" s="16">
        <v>48.8</v>
      </c>
      <c r="E69" s="16">
        <v>89.58</v>
      </c>
      <c r="F69" s="16">
        <v>53.73</v>
      </c>
      <c r="G69" s="16">
        <f>12/9*C69</f>
        <v>52.853333333333332</v>
      </c>
      <c r="H69" s="8"/>
      <c r="I69" s="9"/>
      <c r="J69" s="9"/>
    </row>
    <row r="70" spans="1:10" x14ac:dyDescent="0.25">
      <c r="A70" s="22" t="s">
        <v>74</v>
      </c>
      <c r="B70" s="22"/>
      <c r="C70" s="16">
        <v>37.770000000000003</v>
      </c>
      <c r="D70" s="16">
        <v>47.39</v>
      </c>
      <c r="E70" s="16">
        <v>60.32</v>
      </c>
      <c r="F70" s="16">
        <v>61.62</v>
      </c>
      <c r="G70" s="16">
        <f>12/9*C70</f>
        <v>50.36</v>
      </c>
      <c r="H70" s="8"/>
      <c r="I70" s="9"/>
      <c r="J70" s="9"/>
    </row>
    <row r="71" spans="1:10" x14ac:dyDescent="0.25">
      <c r="A71" s="22" t="s">
        <v>75</v>
      </c>
      <c r="B71" s="22"/>
      <c r="C71" s="16">
        <v>260.73</v>
      </c>
      <c r="D71" s="16">
        <v>319.52</v>
      </c>
      <c r="E71" s="16">
        <v>282.8</v>
      </c>
      <c r="F71" s="16">
        <v>273.33</v>
      </c>
      <c r="G71" s="16">
        <f>12/9*C71</f>
        <v>347.64</v>
      </c>
      <c r="H71" s="8"/>
      <c r="I71" s="9"/>
      <c r="J71" s="9"/>
    </row>
    <row r="72" spans="1:10" x14ac:dyDescent="0.25">
      <c r="A72" s="22" t="s">
        <v>76</v>
      </c>
      <c r="B72" s="22"/>
      <c r="C72" s="16">
        <v>63.49</v>
      </c>
      <c r="D72" s="16">
        <v>83.27</v>
      </c>
      <c r="E72" s="16">
        <v>112.72</v>
      </c>
      <c r="F72" s="16">
        <v>76.52</v>
      </c>
      <c r="G72" s="16">
        <f>12/9*C72</f>
        <v>84.653333333333336</v>
      </c>
      <c r="H72" s="8"/>
      <c r="I72" s="9"/>
      <c r="J72" s="9"/>
    </row>
    <row r="75" spans="1:10" x14ac:dyDescent="0.25">
      <c r="A75" s="21" t="s">
        <v>60</v>
      </c>
      <c r="B75" s="28"/>
    </row>
    <row r="76" spans="1:10" x14ac:dyDescent="0.25">
      <c r="A76" s="3" t="s">
        <v>77</v>
      </c>
      <c r="B76" s="1" t="s">
        <v>101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2:J72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102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2345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40" si="0">SUM(C9:F9)</f>
        <v>10</v>
      </c>
      <c r="H9" s="16">
        <f t="shared" ref="H9:H40" si="1">ROUND(G9/2345,2)</f>
        <v>0</v>
      </c>
      <c r="I9" s="15">
        <f t="shared" ref="I9:I40" si="2">ROUND(G9/$G$41,3)</f>
        <v>0</v>
      </c>
      <c r="J9" s="15">
        <f>ROUND(G9/15-1,2)</f>
        <v>-0.33</v>
      </c>
    </row>
    <row r="10" spans="1:10" x14ac:dyDescent="0.25">
      <c r="A10" s="1" t="s">
        <v>16</v>
      </c>
      <c r="B10" s="1" t="s">
        <v>19</v>
      </c>
      <c r="C10" s="10">
        <v>67770</v>
      </c>
      <c r="D10" s="10"/>
      <c r="E10" s="10"/>
      <c r="F10" s="10">
        <v>380</v>
      </c>
      <c r="G10" s="10">
        <f t="shared" si="0"/>
        <v>68150</v>
      </c>
      <c r="H10" s="16">
        <f t="shared" si="1"/>
        <v>29.06</v>
      </c>
      <c r="I10" s="15">
        <f t="shared" si="2"/>
        <v>0.10199999999999999</v>
      </c>
      <c r="J10" s="15">
        <f>ROUND(G10/64740-1,2)</f>
        <v>0.05</v>
      </c>
    </row>
    <row r="11" spans="1:10" x14ac:dyDescent="0.25">
      <c r="A11" s="1" t="s">
        <v>16</v>
      </c>
      <c r="B11" s="1" t="s">
        <v>20</v>
      </c>
      <c r="C11" s="10">
        <v>74560</v>
      </c>
      <c r="D11" s="10"/>
      <c r="E11" s="10"/>
      <c r="F11" s="10"/>
      <c r="G11" s="10">
        <f t="shared" si="0"/>
        <v>74560</v>
      </c>
      <c r="H11" s="16">
        <f t="shared" si="1"/>
        <v>31.8</v>
      </c>
      <c r="I11" s="15">
        <f t="shared" si="2"/>
        <v>0.111</v>
      </c>
      <c r="J11" s="15">
        <f>ROUND(G11/77620-1,2)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0.03</v>
      </c>
      <c r="I12" s="15">
        <f t="shared" si="2"/>
        <v>0</v>
      </c>
      <c r="J12" s="15">
        <f>ROUND(G12/65-1,2)</f>
        <v>-0.05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171</v>
      </c>
      <c r="F13" s="10"/>
      <c r="G13" s="10">
        <f t="shared" si="0"/>
        <v>171</v>
      </c>
      <c r="H13" s="16">
        <f t="shared" si="1"/>
        <v>7.0000000000000007E-2</v>
      </c>
      <c r="I13" s="15">
        <f t="shared" si="2"/>
        <v>0</v>
      </c>
      <c r="J13" s="15">
        <f>ROUND(G13/143-1,2)</f>
        <v>0.2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800</v>
      </c>
      <c r="F14" s="10"/>
      <c r="G14" s="10">
        <f t="shared" si="0"/>
        <v>800</v>
      </c>
      <c r="H14" s="16">
        <f t="shared" si="1"/>
        <v>0.34</v>
      </c>
      <c r="I14" s="15">
        <f t="shared" si="2"/>
        <v>1E-3</v>
      </c>
      <c r="J14" s="15">
        <f>ROUND(G14/1600-1,2)</f>
        <v>-0.5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35760</v>
      </c>
      <c r="F15" s="10"/>
      <c r="G15" s="10">
        <f t="shared" si="0"/>
        <v>35760</v>
      </c>
      <c r="H15" s="16">
        <f t="shared" si="1"/>
        <v>15.25</v>
      </c>
      <c r="I15" s="15">
        <f t="shared" si="2"/>
        <v>5.2999999999999999E-2</v>
      </c>
      <c r="J15" s="15">
        <f>ROUND(G15/30480-1,2)</f>
        <v>0.17</v>
      </c>
    </row>
    <row r="16" spans="1:10" x14ac:dyDescent="0.25">
      <c r="A16" s="1" t="s">
        <v>16</v>
      </c>
      <c r="B16" s="1" t="s">
        <v>24</v>
      </c>
      <c r="C16" s="10">
        <v>74460</v>
      </c>
      <c r="D16" s="10"/>
      <c r="E16" s="10">
        <v>9120</v>
      </c>
      <c r="F16" s="10">
        <v>470</v>
      </c>
      <c r="G16" s="10">
        <f t="shared" si="0"/>
        <v>84050</v>
      </c>
      <c r="H16" s="16">
        <f t="shared" si="1"/>
        <v>35.840000000000003</v>
      </c>
      <c r="I16" s="15">
        <f t="shared" si="2"/>
        <v>0.125</v>
      </c>
      <c r="J16" s="15">
        <f>ROUND(G16/85040-1,2)</f>
        <v>-0.01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2400</v>
      </c>
      <c r="F17" s="10"/>
      <c r="G17" s="10">
        <f t="shared" si="0"/>
        <v>2400</v>
      </c>
      <c r="H17" s="16">
        <f t="shared" si="1"/>
        <v>1.02</v>
      </c>
      <c r="I17" s="15">
        <f t="shared" si="2"/>
        <v>4.0000000000000001E-3</v>
      </c>
      <c r="J17" s="15">
        <f>ROUND(G17/1910-1,2)</f>
        <v>0.26</v>
      </c>
    </row>
    <row r="18" spans="1:10" x14ac:dyDescent="0.25">
      <c r="A18" s="1" t="s">
        <v>16</v>
      </c>
      <c r="B18" s="1" t="s">
        <v>26</v>
      </c>
      <c r="C18" s="10">
        <v>122280</v>
      </c>
      <c r="D18" s="10"/>
      <c r="E18" s="10"/>
      <c r="F18" s="10">
        <v>830</v>
      </c>
      <c r="G18" s="10">
        <f t="shared" si="0"/>
        <v>123110</v>
      </c>
      <c r="H18" s="16">
        <f t="shared" si="1"/>
        <v>52.5</v>
      </c>
      <c r="I18" s="15">
        <f t="shared" si="2"/>
        <v>0.184</v>
      </c>
      <c r="J18" s="15">
        <f>ROUND(G18/122520-1,2)</f>
        <v>0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1150</v>
      </c>
      <c r="F19" s="10"/>
      <c r="G19" s="10">
        <f t="shared" si="0"/>
        <v>1150</v>
      </c>
      <c r="H19" s="16">
        <f t="shared" si="1"/>
        <v>0.49</v>
      </c>
      <c r="I19" s="15">
        <f t="shared" si="2"/>
        <v>2E-3</v>
      </c>
      <c r="J19" s="15">
        <f>ROUND(G19/957-1,2)</f>
        <v>0.2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850</v>
      </c>
      <c r="F20" s="10"/>
      <c r="G20" s="10">
        <f t="shared" si="0"/>
        <v>850</v>
      </c>
      <c r="H20" s="16">
        <f t="shared" si="1"/>
        <v>0.36</v>
      </c>
      <c r="I20" s="15">
        <f t="shared" si="2"/>
        <v>1E-3</v>
      </c>
      <c r="J20" s="15">
        <f>ROUND(G20/303-1,2)</f>
        <v>1.81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1060</v>
      </c>
      <c r="F21" s="10"/>
      <c r="G21" s="10">
        <f t="shared" si="0"/>
        <v>1060</v>
      </c>
      <c r="H21" s="16">
        <f t="shared" si="1"/>
        <v>0.45</v>
      </c>
      <c r="I21" s="15">
        <f t="shared" si="2"/>
        <v>2E-3</v>
      </c>
      <c r="J21" s="15">
        <f>ROUND(G21/3120-1,2)</f>
        <v>-0.66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1100</v>
      </c>
      <c r="F22" s="10"/>
      <c r="G22" s="10">
        <f t="shared" si="0"/>
        <v>1100</v>
      </c>
      <c r="H22" s="16">
        <f t="shared" si="1"/>
        <v>0.47</v>
      </c>
      <c r="I22" s="15">
        <f t="shared" si="2"/>
        <v>2E-3</v>
      </c>
      <c r="J22" s="15">
        <f>ROUND(G22/810-1,2)</f>
        <v>0.36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1071</v>
      </c>
      <c r="F23" s="10"/>
      <c r="G23" s="10">
        <f t="shared" si="0"/>
        <v>1071</v>
      </c>
      <c r="H23" s="16">
        <f t="shared" si="1"/>
        <v>0.46</v>
      </c>
      <c r="I23" s="15">
        <f t="shared" si="2"/>
        <v>2E-3</v>
      </c>
      <c r="J23" s="15">
        <f>ROUND(G23/1130-1,2)</f>
        <v>-0.05</v>
      </c>
    </row>
    <row r="24" spans="1:10" x14ac:dyDescent="0.25">
      <c r="A24" s="1" t="s">
        <v>16</v>
      </c>
      <c r="B24" s="1" t="s">
        <v>33</v>
      </c>
      <c r="C24" s="10"/>
      <c r="D24" s="10">
        <v>203</v>
      </c>
      <c r="E24" s="10">
        <v>53</v>
      </c>
      <c r="F24" s="10"/>
      <c r="G24" s="10">
        <f t="shared" si="0"/>
        <v>256</v>
      </c>
      <c r="H24" s="16">
        <f t="shared" si="1"/>
        <v>0.11</v>
      </c>
      <c r="I24" s="15">
        <f t="shared" si="2"/>
        <v>0</v>
      </c>
      <c r="J24" s="15">
        <f>ROUND(G24/295-1,2)</f>
        <v>-0.13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200</v>
      </c>
      <c r="F25" s="10"/>
      <c r="G25" s="10">
        <f t="shared" si="0"/>
        <v>200</v>
      </c>
      <c r="H25" s="16">
        <f t="shared" si="1"/>
        <v>0.09</v>
      </c>
      <c r="I25" s="15">
        <f t="shared" si="2"/>
        <v>0</v>
      </c>
      <c r="J25" s="15">
        <f>ROUND(G25/600-1,2)</f>
        <v>-0.67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240</v>
      </c>
      <c r="F26" s="10"/>
      <c r="G26" s="10">
        <f t="shared" si="0"/>
        <v>240</v>
      </c>
      <c r="H26" s="16">
        <f t="shared" si="1"/>
        <v>0.1</v>
      </c>
      <c r="I26" s="15">
        <f t="shared" si="2"/>
        <v>0</v>
      </c>
      <c r="J26" s="15">
        <f>ROUND(G26/314-1,2)</f>
        <v>-0.24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2070</v>
      </c>
      <c r="F27" s="10"/>
      <c r="G27" s="10">
        <f t="shared" si="0"/>
        <v>2070</v>
      </c>
      <c r="H27" s="16">
        <f t="shared" si="1"/>
        <v>0.88</v>
      </c>
      <c r="I27" s="15">
        <f t="shared" si="2"/>
        <v>3.0000000000000001E-3</v>
      </c>
      <c r="J27" s="15">
        <f>ROUND(G27/3330-1,2)</f>
        <v>-0.38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55755</v>
      </c>
      <c r="F28" s="10"/>
      <c r="G28" s="10">
        <f t="shared" si="0"/>
        <v>55755</v>
      </c>
      <c r="H28" s="16">
        <f t="shared" si="1"/>
        <v>23.78</v>
      </c>
      <c r="I28" s="15">
        <f t="shared" si="2"/>
        <v>8.3000000000000004E-2</v>
      </c>
      <c r="J28" s="15">
        <f>ROUND(G28/49520-1,2)</f>
        <v>0.13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4990</v>
      </c>
      <c r="F29" s="10"/>
      <c r="G29" s="10">
        <f t="shared" si="0"/>
        <v>4990</v>
      </c>
      <c r="H29" s="16">
        <f t="shared" si="1"/>
        <v>2.13</v>
      </c>
      <c r="I29" s="15">
        <f t="shared" si="2"/>
        <v>7.0000000000000001E-3</v>
      </c>
      <c r="J29" s="15">
        <f>ROUND(G29/5095-1,2)</f>
        <v>-0.02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14690</v>
      </c>
      <c r="F30" s="10"/>
      <c r="G30" s="10">
        <f t="shared" si="0"/>
        <v>14690</v>
      </c>
      <c r="H30" s="16">
        <f t="shared" si="1"/>
        <v>6.26</v>
      </c>
      <c r="I30" s="15">
        <f t="shared" si="2"/>
        <v>2.1999999999999999E-2</v>
      </c>
      <c r="J30" s="15">
        <f>ROUND(G30/13770-1,2)</f>
        <v>7.0000000000000007E-2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56500</v>
      </c>
      <c r="F31" s="10"/>
      <c r="G31" s="10">
        <f t="shared" si="0"/>
        <v>56500</v>
      </c>
      <c r="H31" s="16">
        <f t="shared" si="1"/>
        <v>24.09</v>
      </c>
      <c r="I31" s="15">
        <f t="shared" si="2"/>
        <v>8.4000000000000005E-2</v>
      </c>
      <c r="J31" s="15">
        <f>ROUND(G31/73570-1,2)</f>
        <v>-0.23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ROUND(G32/3890-1,2)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ROUND(G33/6430-1,2)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ROUND(G34/140-1,2)</f>
        <v>-1</v>
      </c>
    </row>
    <row r="35" spans="1:10" x14ac:dyDescent="0.25">
      <c r="A35" s="1" t="s">
        <v>16</v>
      </c>
      <c r="B35" s="1" t="s">
        <v>98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ROUND(G35/160-1,2)</f>
        <v>-1</v>
      </c>
    </row>
    <row r="36" spans="1:10" x14ac:dyDescent="0.25">
      <c r="A36" s="1" t="s">
        <v>44</v>
      </c>
      <c r="B36" s="1" t="s">
        <v>45</v>
      </c>
      <c r="C36" s="10">
        <v>92890</v>
      </c>
      <c r="D36" s="10"/>
      <c r="E36" s="10"/>
      <c r="F36" s="10">
        <v>640</v>
      </c>
      <c r="G36" s="10">
        <f t="shared" si="0"/>
        <v>93530</v>
      </c>
      <c r="H36" s="16">
        <f t="shared" si="1"/>
        <v>39.880000000000003</v>
      </c>
      <c r="I36" s="15">
        <f t="shared" si="2"/>
        <v>0.14000000000000001</v>
      </c>
      <c r="J36" s="15">
        <f>ROUND(G36/82520-1,2)</f>
        <v>0.13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11860</v>
      </c>
      <c r="G37" s="10">
        <f t="shared" si="0"/>
        <v>11860</v>
      </c>
      <c r="H37" s="16">
        <f t="shared" si="1"/>
        <v>5.0599999999999996</v>
      </c>
      <c r="I37" s="15">
        <f t="shared" si="2"/>
        <v>1.7999999999999999E-2</v>
      </c>
      <c r="J37" s="15">
        <f>ROUND(G37/17940-1,2)</f>
        <v>-0.34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35730</v>
      </c>
      <c r="F38" s="10"/>
      <c r="G38" s="10">
        <f t="shared" si="0"/>
        <v>35730</v>
      </c>
      <c r="H38" s="16">
        <f t="shared" si="1"/>
        <v>15.24</v>
      </c>
      <c r="I38" s="15">
        <f t="shared" si="2"/>
        <v>5.2999999999999999E-2</v>
      </c>
      <c r="J38" s="15">
        <f>ROUND(G38/34070-1,2)</f>
        <v>0.05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3" t="s">
        <v>12</v>
      </c>
      <c r="B41" s="23"/>
      <c r="C41" s="11">
        <f t="shared" ref="C41:H41" si="3">SUM(C8:C40)</f>
        <v>431960</v>
      </c>
      <c r="D41" s="11">
        <f t="shared" si="3"/>
        <v>203</v>
      </c>
      <c r="E41" s="11">
        <f t="shared" si="3"/>
        <v>223782</v>
      </c>
      <c r="F41" s="11">
        <f t="shared" si="3"/>
        <v>14180</v>
      </c>
      <c r="G41" s="11">
        <f t="shared" si="3"/>
        <v>670125</v>
      </c>
      <c r="H41" s="14">
        <f t="shared" si="3"/>
        <v>285.76000000000005</v>
      </c>
      <c r="I41" s="17"/>
      <c r="J41" s="17"/>
    </row>
    <row r="42" spans="1:10" x14ac:dyDescent="0.25">
      <c r="A42" s="23" t="s">
        <v>14</v>
      </c>
      <c r="B42" s="23"/>
      <c r="C42" s="12">
        <f>ROUND(C41/G41,2)</f>
        <v>0.64</v>
      </c>
      <c r="D42" s="12">
        <f>ROUND(D41/G41,2)</f>
        <v>0</v>
      </c>
      <c r="E42" s="12">
        <f>ROUND(E41/G41,2)</f>
        <v>0.33</v>
      </c>
      <c r="F42" s="12">
        <f>ROUND(F41/G41,2)</f>
        <v>0.02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53</v>
      </c>
      <c r="B47" s="23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339070</v>
      </c>
      <c r="D48" s="10">
        <v>203</v>
      </c>
      <c r="E48" s="10">
        <v>188052</v>
      </c>
      <c r="F48" s="10">
        <v>1680</v>
      </c>
      <c r="G48" s="10">
        <f>SUM(C48:F48)</f>
        <v>529005</v>
      </c>
      <c r="H48" s="16">
        <f>ROUND(G48/2345,2)</f>
        <v>225.59</v>
      </c>
      <c r="I48" s="9"/>
      <c r="J48" s="9"/>
    </row>
    <row r="49" spans="1:10" x14ac:dyDescent="0.25">
      <c r="A49" s="22" t="s">
        <v>55</v>
      </c>
      <c r="B49" s="22"/>
      <c r="C49" s="10">
        <v>92890</v>
      </c>
      <c r="D49" s="10">
        <v>0</v>
      </c>
      <c r="E49" s="10">
        <v>35730</v>
      </c>
      <c r="F49" s="10">
        <v>12500</v>
      </c>
      <c r="G49" s="10">
        <f>SUM(C49:F49)</f>
        <v>141120</v>
      </c>
      <c r="H49" s="16">
        <f>ROUND(G49/2345,2)</f>
        <v>60.18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57</v>
      </c>
      <c r="B55" s="23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ROUND(0.8445, 4)</f>
        <v>0.84450000000000003</v>
      </c>
      <c r="D56" s="15">
        <f>ROUND(0.8574, 4)</f>
        <v>0.85740000000000005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4" t="s">
        <v>64</v>
      </c>
      <c r="J56" s="24" t="s">
        <v>65</v>
      </c>
    </row>
    <row r="57" spans="1:10" x14ac:dyDescent="0.25">
      <c r="A57" s="22" t="s">
        <v>66</v>
      </c>
      <c r="B57" s="22"/>
      <c r="C57" s="15">
        <f>ROUND(0.8307, 4)</f>
        <v>0.83069999999999999</v>
      </c>
      <c r="D57" s="15">
        <f>ROUND(0.8445, 4)</f>
        <v>0.84450000000000003</v>
      </c>
      <c r="E57" s="15">
        <f>ROUND(0.7608, 4)</f>
        <v>0.76080000000000003</v>
      </c>
      <c r="F57" s="8"/>
      <c r="G57" s="14" t="s">
        <v>67</v>
      </c>
      <c r="H57" s="27"/>
      <c r="I57" s="25"/>
      <c r="J57" s="25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68</v>
      </c>
      <c r="B61" s="23"/>
      <c r="C61" s="14" t="s">
        <v>2</v>
      </c>
      <c r="D61" s="14" t="s">
        <v>103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39.880000000000003</v>
      </c>
      <c r="D62" s="16">
        <v>76.150000000000006</v>
      </c>
      <c r="E62" s="16">
        <v>89.58</v>
      </c>
      <c r="F62" s="16">
        <v>53.73</v>
      </c>
      <c r="G62" s="16">
        <f>12/9*C62</f>
        <v>53.173333333333332</v>
      </c>
      <c r="H62" s="8"/>
      <c r="I62" s="9"/>
      <c r="J62" s="9"/>
    </row>
    <row r="63" spans="1:10" x14ac:dyDescent="0.25">
      <c r="A63" s="22" t="s">
        <v>74</v>
      </c>
      <c r="B63" s="22"/>
      <c r="C63" s="16">
        <v>52.5</v>
      </c>
      <c r="D63" s="16">
        <v>65.260000000000005</v>
      </c>
      <c r="E63" s="16">
        <v>60.32</v>
      </c>
      <c r="F63" s="16">
        <v>61.62</v>
      </c>
      <c r="G63" s="16">
        <f>12/9*C63</f>
        <v>70</v>
      </c>
      <c r="H63" s="8"/>
      <c r="I63" s="9"/>
      <c r="J63" s="9"/>
    </row>
    <row r="64" spans="1:10" x14ac:dyDescent="0.25">
      <c r="A64" s="22" t="s">
        <v>75</v>
      </c>
      <c r="B64" s="22"/>
      <c r="C64" s="16">
        <v>225.59</v>
      </c>
      <c r="D64" s="16">
        <v>274.79000000000002</v>
      </c>
      <c r="E64" s="16">
        <v>282.8</v>
      </c>
      <c r="F64" s="16">
        <v>273.33</v>
      </c>
      <c r="G64" s="16">
        <f>12/9*C64</f>
        <v>300.78666666666663</v>
      </c>
      <c r="H64" s="8"/>
      <c r="I64" s="9"/>
      <c r="J64" s="9"/>
    </row>
    <row r="65" spans="1:10" x14ac:dyDescent="0.25">
      <c r="A65" s="22" t="s">
        <v>76</v>
      </c>
      <c r="B65" s="22"/>
      <c r="C65" s="16">
        <v>60.18</v>
      </c>
      <c r="D65" s="16">
        <v>102.18</v>
      </c>
      <c r="E65" s="16">
        <v>112.72</v>
      </c>
      <c r="F65" s="16">
        <v>76.52</v>
      </c>
      <c r="G65" s="16">
        <f>12/9*C65</f>
        <v>80.239999999999995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8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104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A2:J72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699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81</v>
      </c>
      <c r="F9" s="10"/>
      <c r="G9" s="10">
        <f t="shared" ref="G9:G39" si="0">SUM(C9:F9)</f>
        <v>81</v>
      </c>
      <c r="H9" s="16">
        <f t="shared" ref="H9:H39" si="1">ROUND(G9/699,2)</f>
        <v>0.12</v>
      </c>
      <c r="I9" s="15">
        <f t="shared" ref="I9:I39" si="2">ROUND(G9/$G$40,3)</f>
        <v>0</v>
      </c>
      <c r="J9" s="15">
        <f>ROUND(G9/25-1,2)</f>
        <v>2.2400000000000002</v>
      </c>
    </row>
    <row r="10" spans="1:10" x14ac:dyDescent="0.25">
      <c r="A10" s="1" t="s">
        <v>16</v>
      </c>
      <c r="B10" s="1" t="s">
        <v>19</v>
      </c>
      <c r="C10" s="10">
        <v>17115</v>
      </c>
      <c r="D10" s="10"/>
      <c r="E10" s="10"/>
      <c r="F10" s="10"/>
      <c r="G10" s="10">
        <f t="shared" si="0"/>
        <v>17115</v>
      </c>
      <c r="H10" s="16">
        <f t="shared" si="1"/>
        <v>24.48</v>
      </c>
      <c r="I10" s="15">
        <f t="shared" si="2"/>
        <v>7.3999999999999996E-2</v>
      </c>
      <c r="J10" s="15">
        <f>ROUND(G10/18150-1,2)</f>
        <v>-0.06</v>
      </c>
    </row>
    <row r="11" spans="1:10" x14ac:dyDescent="0.25">
      <c r="A11" s="1" t="s">
        <v>16</v>
      </c>
      <c r="B11" s="1" t="s">
        <v>20</v>
      </c>
      <c r="C11" s="10">
        <v>25980</v>
      </c>
      <c r="D11" s="10"/>
      <c r="E11" s="10"/>
      <c r="F11" s="10"/>
      <c r="G11" s="10">
        <f t="shared" si="0"/>
        <v>25980</v>
      </c>
      <c r="H11" s="16">
        <f t="shared" si="1"/>
        <v>37.17</v>
      </c>
      <c r="I11" s="15">
        <f t="shared" si="2"/>
        <v>0.112</v>
      </c>
      <c r="J11" s="15">
        <f>ROUND(G11/25500-1,2)</f>
        <v>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79</v>
      </c>
      <c r="F12" s="10"/>
      <c r="G12" s="10">
        <f t="shared" si="0"/>
        <v>79</v>
      </c>
      <c r="H12" s="16">
        <f t="shared" si="1"/>
        <v>0.11</v>
      </c>
      <c r="I12" s="15">
        <f t="shared" si="2"/>
        <v>0</v>
      </c>
      <c r="J12" s="15">
        <f>ROUND(G12/74-1,2)</f>
        <v>7.0000000000000007E-2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77</v>
      </c>
      <c r="F13" s="10"/>
      <c r="G13" s="10">
        <f t="shared" si="0"/>
        <v>77</v>
      </c>
      <c r="H13" s="16">
        <f t="shared" si="1"/>
        <v>0.11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1.29</v>
      </c>
      <c r="I14" s="15">
        <f t="shared" si="2"/>
        <v>4.0000000000000001E-3</v>
      </c>
      <c r="J14" s="15">
        <f>ROUND(G14/1000-1,2)</f>
        <v>-0.1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34800</v>
      </c>
      <c r="F15" s="10"/>
      <c r="G15" s="10">
        <f t="shared" si="0"/>
        <v>34800</v>
      </c>
      <c r="H15" s="16">
        <f t="shared" si="1"/>
        <v>49.79</v>
      </c>
      <c r="I15" s="15">
        <f t="shared" si="2"/>
        <v>0.15</v>
      </c>
      <c r="J15" s="15">
        <f>ROUND(G15/45520-1,2)</f>
        <v>-0.24</v>
      </c>
    </row>
    <row r="16" spans="1:10" x14ac:dyDescent="0.25">
      <c r="A16" s="1" t="s">
        <v>16</v>
      </c>
      <c r="B16" s="1" t="s">
        <v>24</v>
      </c>
      <c r="C16" s="10">
        <v>21405</v>
      </c>
      <c r="D16" s="10"/>
      <c r="E16" s="10"/>
      <c r="F16" s="10"/>
      <c r="G16" s="10">
        <f t="shared" si="0"/>
        <v>21405</v>
      </c>
      <c r="H16" s="16">
        <f t="shared" si="1"/>
        <v>30.62</v>
      </c>
      <c r="I16" s="15">
        <f t="shared" si="2"/>
        <v>9.2999999999999999E-2</v>
      </c>
      <c r="J16" s="15">
        <f>ROUND(G16/24320-1,2)</f>
        <v>-0.12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1140</v>
      </c>
      <c r="F17" s="10"/>
      <c r="G17" s="10">
        <f t="shared" si="0"/>
        <v>1140</v>
      </c>
      <c r="H17" s="16">
        <f t="shared" si="1"/>
        <v>1.63</v>
      </c>
      <c r="I17" s="15">
        <f t="shared" si="2"/>
        <v>5.0000000000000001E-3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25660</v>
      </c>
      <c r="D18" s="10"/>
      <c r="E18" s="10"/>
      <c r="F18" s="10">
        <v>170</v>
      </c>
      <c r="G18" s="10">
        <f t="shared" si="0"/>
        <v>25830</v>
      </c>
      <c r="H18" s="16">
        <f t="shared" si="1"/>
        <v>36.950000000000003</v>
      </c>
      <c r="I18" s="15">
        <f t="shared" si="2"/>
        <v>0.112</v>
      </c>
      <c r="J18" s="15">
        <f>ROUND(G18/29350-1,2)</f>
        <v>-0.12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275</v>
      </c>
      <c r="F19" s="10"/>
      <c r="G19" s="10">
        <f t="shared" si="0"/>
        <v>275</v>
      </c>
      <c r="H19" s="16">
        <f t="shared" si="1"/>
        <v>0.39</v>
      </c>
      <c r="I19" s="15">
        <f t="shared" si="2"/>
        <v>1E-3</v>
      </c>
      <c r="J19" s="15">
        <f>ROUND(G19/32-1,2)</f>
        <v>7.59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191</v>
      </c>
      <c r="F20" s="10"/>
      <c r="G20" s="10">
        <f t="shared" si="0"/>
        <v>191</v>
      </c>
      <c r="H20" s="16">
        <f t="shared" si="1"/>
        <v>0.27</v>
      </c>
      <c r="I20" s="15">
        <f t="shared" si="2"/>
        <v>1E-3</v>
      </c>
      <c r="J20" s="15">
        <f>ROUND(G20/30-1,2)</f>
        <v>5.37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200</v>
      </c>
      <c r="F21" s="10"/>
      <c r="G21" s="10">
        <f t="shared" si="0"/>
        <v>200</v>
      </c>
      <c r="H21" s="16">
        <f t="shared" si="1"/>
        <v>0.28999999999999998</v>
      </c>
      <c r="I21" s="15">
        <f t="shared" si="2"/>
        <v>1E-3</v>
      </c>
      <c r="J21" s="15">
        <f>ROUND(G21/300-1,2)</f>
        <v>-0.33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725</v>
      </c>
      <c r="F22" s="10"/>
      <c r="G22" s="10">
        <f t="shared" si="0"/>
        <v>725</v>
      </c>
      <c r="H22" s="16">
        <f t="shared" si="1"/>
        <v>1.04</v>
      </c>
      <c r="I22" s="15">
        <f t="shared" si="2"/>
        <v>3.0000000000000001E-3</v>
      </c>
      <c r="J22" s="15">
        <f>ROUND(G22/460-1,2)</f>
        <v>0.57999999999999996</v>
      </c>
    </row>
    <row r="23" spans="1:10" x14ac:dyDescent="0.25">
      <c r="A23" s="1" t="s">
        <v>16</v>
      </c>
      <c r="B23" s="1" t="s">
        <v>33</v>
      </c>
      <c r="C23" s="10"/>
      <c r="D23" s="10">
        <v>60</v>
      </c>
      <c r="E23" s="10">
        <v>22</v>
      </c>
      <c r="F23" s="10"/>
      <c r="G23" s="10">
        <f t="shared" si="0"/>
        <v>82</v>
      </c>
      <c r="H23" s="16">
        <f t="shared" si="1"/>
        <v>0.12</v>
      </c>
      <c r="I23" s="15">
        <f t="shared" si="2"/>
        <v>0</v>
      </c>
      <c r="J23" s="15">
        <f>ROUND(G23/62-1,2)</f>
        <v>0.32</v>
      </c>
    </row>
    <row r="24" spans="1:10" x14ac:dyDescent="0.25">
      <c r="A24" s="1" t="s">
        <v>16</v>
      </c>
      <c r="B24" s="1" t="s">
        <v>35</v>
      </c>
      <c r="C24" s="10"/>
      <c r="D24" s="10">
        <v>30</v>
      </c>
      <c r="E24" s="10"/>
      <c r="F24" s="10"/>
      <c r="G24" s="10">
        <f t="shared" si="0"/>
        <v>30</v>
      </c>
      <c r="H24" s="16">
        <f t="shared" si="1"/>
        <v>0.04</v>
      </c>
      <c r="I24" s="15">
        <f t="shared" si="2"/>
        <v>0</v>
      </c>
      <c r="J24" s="15">
        <f>ROUND(G24/75-1,2)</f>
        <v>-0.6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1630</v>
      </c>
      <c r="F25" s="10"/>
      <c r="G25" s="10">
        <f t="shared" si="0"/>
        <v>1630</v>
      </c>
      <c r="H25" s="16">
        <f t="shared" si="1"/>
        <v>2.33</v>
      </c>
      <c r="I25" s="15">
        <f t="shared" si="2"/>
        <v>7.0000000000000001E-3</v>
      </c>
      <c r="J25" s="15">
        <f>ROUND(G25/1160-1,2)</f>
        <v>0.41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910</v>
      </c>
      <c r="F26" s="10"/>
      <c r="G26" s="10">
        <f t="shared" si="0"/>
        <v>910</v>
      </c>
      <c r="H26" s="16">
        <f t="shared" si="1"/>
        <v>1.3</v>
      </c>
      <c r="I26" s="15">
        <f t="shared" si="2"/>
        <v>4.0000000000000001E-3</v>
      </c>
      <c r="J26" s="15">
        <f>ROUND(G26/2380-1,2)</f>
        <v>-0.62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14340</v>
      </c>
      <c r="F27" s="10"/>
      <c r="G27" s="10">
        <f t="shared" si="0"/>
        <v>14340</v>
      </c>
      <c r="H27" s="16">
        <f t="shared" si="1"/>
        <v>20.52</v>
      </c>
      <c r="I27" s="15">
        <f t="shared" si="2"/>
        <v>6.2E-2</v>
      </c>
      <c r="J27" s="15">
        <f>ROUND(G27/9855-1,2)</f>
        <v>0.46</v>
      </c>
    </row>
    <row r="28" spans="1:10" x14ac:dyDescent="0.25">
      <c r="A28" s="1" t="s">
        <v>16</v>
      </c>
      <c r="B28" s="1" t="s">
        <v>39</v>
      </c>
      <c r="C28" s="10"/>
      <c r="D28" s="10"/>
      <c r="E28" s="10">
        <v>2820</v>
      </c>
      <c r="F28" s="10"/>
      <c r="G28" s="10">
        <f t="shared" si="0"/>
        <v>2820</v>
      </c>
      <c r="H28" s="16">
        <f t="shared" si="1"/>
        <v>4.03</v>
      </c>
      <c r="I28" s="15">
        <f t="shared" si="2"/>
        <v>1.2E-2</v>
      </c>
      <c r="J28" s="15">
        <f>ROUND(G28/1960-1,2)</f>
        <v>0.44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7140</v>
      </c>
      <c r="F29" s="10"/>
      <c r="G29" s="10">
        <f t="shared" si="0"/>
        <v>7140</v>
      </c>
      <c r="H29" s="16">
        <f t="shared" si="1"/>
        <v>10.210000000000001</v>
      </c>
      <c r="I29" s="15">
        <f t="shared" si="2"/>
        <v>3.1E-2</v>
      </c>
      <c r="J29" s="15">
        <f>ROUND(G29/8550-1,2)</f>
        <v>-0.16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16140</v>
      </c>
      <c r="F30" s="10"/>
      <c r="G30" s="10">
        <f t="shared" si="0"/>
        <v>16140</v>
      </c>
      <c r="H30" s="16">
        <f t="shared" si="1"/>
        <v>23.09</v>
      </c>
      <c r="I30" s="15">
        <f t="shared" si="2"/>
        <v>7.0000000000000007E-2</v>
      </c>
      <c r="J30" s="15">
        <f>ROUND(G30/5620-1,2)</f>
        <v>1.87</v>
      </c>
    </row>
    <row r="31" spans="1:10" x14ac:dyDescent="0.25">
      <c r="A31" s="1" t="s">
        <v>16</v>
      </c>
      <c r="B31" s="1" t="s">
        <v>29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ROUND(G32/830-1,2)</f>
        <v>-1</v>
      </c>
    </row>
    <row r="33" spans="1:10" x14ac:dyDescent="0.25">
      <c r="A33" s="1" t="s">
        <v>16</v>
      </c>
      <c r="B33" s="1" t="s">
        <v>34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ROUND(G33/460-1,2)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ROUND(G34/29-1,2)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ROUND(G35/230-1,2)</f>
        <v>-1</v>
      </c>
    </row>
    <row r="36" spans="1:10" x14ac:dyDescent="0.25">
      <c r="A36" s="1" t="s">
        <v>44</v>
      </c>
      <c r="B36" s="1" t="s">
        <v>45</v>
      </c>
      <c r="C36" s="10">
        <v>46215</v>
      </c>
      <c r="D36" s="10"/>
      <c r="E36" s="10"/>
      <c r="F36" s="10"/>
      <c r="G36" s="10">
        <f t="shared" si="0"/>
        <v>46215</v>
      </c>
      <c r="H36" s="16">
        <f t="shared" si="1"/>
        <v>66.12</v>
      </c>
      <c r="I36" s="15">
        <f t="shared" si="2"/>
        <v>0.2</v>
      </c>
      <c r="J36" s="15">
        <f>ROUND(G36/41900-1,2)</f>
        <v>0.1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5500</v>
      </c>
      <c r="G37" s="10">
        <f t="shared" si="0"/>
        <v>5500</v>
      </c>
      <c r="H37" s="16">
        <f t="shared" si="1"/>
        <v>7.87</v>
      </c>
      <c r="I37" s="15">
        <f t="shared" si="2"/>
        <v>2.4E-2</v>
      </c>
      <c r="J37" s="15"/>
    </row>
    <row r="38" spans="1:10" x14ac:dyDescent="0.25">
      <c r="A38" s="1" t="s">
        <v>44</v>
      </c>
      <c r="B38" s="1" t="s">
        <v>46</v>
      </c>
      <c r="C38" s="10"/>
      <c r="D38" s="10"/>
      <c r="E38" s="10">
        <v>7700</v>
      </c>
      <c r="F38" s="10"/>
      <c r="G38" s="10">
        <f t="shared" si="0"/>
        <v>7700</v>
      </c>
      <c r="H38" s="16">
        <f t="shared" si="1"/>
        <v>11.02</v>
      </c>
      <c r="I38" s="15">
        <f t="shared" si="2"/>
        <v>3.3000000000000002E-2</v>
      </c>
      <c r="J38" s="15">
        <f>ROUND(G38/7540-1,2)</f>
        <v>0.02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136375</v>
      </c>
      <c r="D40" s="11">
        <f t="shared" si="3"/>
        <v>90</v>
      </c>
      <c r="E40" s="11">
        <f t="shared" si="3"/>
        <v>89170</v>
      </c>
      <c r="F40" s="11">
        <f t="shared" si="3"/>
        <v>5670</v>
      </c>
      <c r="G40" s="11">
        <f t="shared" si="3"/>
        <v>231305</v>
      </c>
      <c r="H40" s="14">
        <f t="shared" si="3"/>
        <v>330.90999999999997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0.59</v>
      </c>
      <c r="D41" s="12">
        <f>ROUND(D40/G40,2)</f>
        <v>0</v>
      </c>
      <c r="E41" s="12">
        <f>ROUND(E40/G40,2)</f>
        <v>0.39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90160</v>
      </c>
      <c r="D47" s="10">
        <v>90</v>
      </c>
      <c r="E47" s="10">
        <v>81470</v>
      </c>
      <c r="F47" s="10">
        <v>170</v>
      </c>
      <c r="G47" s="10">
        <f>SUM(C47:F47)</f>
        <v>171890</v>
      </c>
      <c r="H47" s="16">
        <f>ROUND(G47/699,2)</f>
        <v>245.91</v>
      </c>
      <c r="I47" s="9"/>
      <c r="J47" s="9"/>
    </row>
    <row r="48" spans="1:10" x14ac:dyDescent="0.25">
      <c r="A48" s="22" t="s">
        <v>55</v>
      </c>
      <c r="B48" s="22"/>
      <c r="C48" s="10">
        <v>46215</v>
      </c>
      <c r="D48" s="10">
        <v>0</v>
      </c>
      <c r="E48" s="10">
        <v>7700</v>
      </c>
      <c r="F48" s="10">
        <v>5500</v>
      </c>
      <c r="G48" s="10">
        <f>SUM(C48:F48)</f>
        <v>59415</v>
      </c>
      <c r="H48" s="16">
        <f>ROUND(G48/699,2)</f>
        <v>85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ROUND(G49/699,2)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ROUND(0.7578, 4)</f>
        <v>0.75780000000000003</v>
      </c>
      <c r="D55" s="15">
        <f>ROUND(0.7642, 4)</f>
        <v>0.76419999999999999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ROUND(0.7465, 4)</f>
        <v>0.74650000000000005</v>
      </c>
      <c r="D56" s="15">
        <f>ROUND(0.7505, 4)</f>
        <v>0.75049999999999994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106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66.12</v>
      </c>
      <c r="D61" s="16">
        <v>82.4</v>
      </c>
      <c r="E61" s="16">
        <v>89.58</v>
      </c>
      <c r="F61" s="16">
        <v>53.73</v>
      </c>
      <c r="G61" s="16">
        <f>12/9*C61</f>
        <v>88.16</v>
      </c>
      <c r="H61" s="8"/>
      <c r="I61" s="9"/>
      <c r="J61" s="9"/>
    </row>
    <row r="62" spans="1:10" x14ac:dyDescent="0.25">
      <c r="A62" s="22" t="s">
        <v>74</v>
      </c>
      <c r="B62" s="22"/>
      <c r="C62" s="16">
        <v>36.950000000000003</v>
      </c>
      <c r="D62" s="16">
        <v>52.41</v>
      </c>
      <c r="E62" s="16">
        <v>60.32</v>
      </c>
      <c r="F62" s="16">
        <v>61.62</v>
      </c>
      <c r="G62" s="16">
        <f>12/9*C62</f>
        <v>49.266666666666666</v>
      </c>
      <c r="H62" s="8"/>
      <c r="I62" s="9"/>
      <c r="J62" s="9"/>
    </row>
    <row r="63" spans="1:10" x14ac:dyDescent="0.25">
      <c r="A63" s="22" t="s">
        <v>75</v>
      </c>
      <c r="B63" s="22"/>
      <c r="C63" s="16">
        <v>245.91</v>
      </c>
      <c r="D63" s="16">
        <v>303.11</v>
      </c>
      <c r="E63" s="16">
        <v>282.8</v>
      </c>
      <c r="F63" s="16">
        <v>273.33</v>
      </c>
      <c r="G63" s="16">
        <f>12/9*C63</f>
        <v>327.88</v>
      </c>
      <c r="H63" s="8"/>
      <c r="I63" s="9"/>
      <c r="J63" s="9"/>
    </row>
    <row r="64" spans="1:10" x14ac:dyDescent="0.25">
      <c r="A64" s="22" t="s">
        <v>76</v>
      </c>
      <c r="B64" s="22"/>
      <c r="C64" s="16">
        <v>85</v>
      </c>
      <c r="D64" s="16">
        <v>97.31</v>
      </c>
      <c r="E64" s="16">
        <v>112.72</v>
      </c>
      <c r="F64" s="16">
        <v>76.52</v>
      </c>
      <c r="G64" s="16">
        <f>12/9*C64</f>
        <v>113.33333333333333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107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0"/>
  <dimension ref="A2:J72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3926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159</v>
      </c>
      <c r="F9" s="10"/>
      <c r="G9" s="10">
        <f t="shared" ref="G9:G40" si="0">SUM(C9:F9)</f>
        <v>159</v>
      </c>
      <c r="H9" s="16">
        <f t="shared" ref="H9:H40" si="1">ROUND(G9/3926,2)</f>
        <v>0.04</v>
      </c>
      <c r="I9" s="15">
        <f t="shared" ref="I9:I40" si="2">ROUND(G9/$G$41,3)</f>
        <v>0</v>
      </c>
      <c r="J9" s="15">
        <f>ROUND(G9/29-1,2)</f>
        <v>4.4800000000000004</v>
      </c>
    </row>
    <row r="10" spans="1:10" x14ac:dyDescent="0.25">
      <c r="A10" s="1" t="s">
        <v>16</v>
      </c>
      <c r="B10" s="1" t="s">
        <v>19</v>
      </c>
      <c r="C10" s="10">
        <v>105380</v>
      </c>
      <c r="D10" s="10"/>
      <c r="E10" s="10">
        <v>22020</v>
      </c>
      <c r="F10" s="10"/>
      <c r="G10" s="10">
        <f t="shared" si="0"/>
        <v>127400</v>
      </c>
      <c r="H10" s="16">
        <f t="shared" si="1"/>
        <v>32.450000000000003</v>
      </c>
      <c r="I10" s="15">
        <f t="shared" si="2"/>
        <v>9.9000000000000005E-2</v>
      </c>
      <c r="J10" s="15">
        <f>ROUND(G10/121760-1,2)</f>
        <v>0.05</v>
      </c>
    </row>
    <row r="11" spans="1:10" x14ac:dyDescent="0.25">
      <c r="A11" s="1" t="s">
        <v>16</v>
      </c>
      <c r="B11" s="1" t="s">
        <v>20</v>
      </c>
      <c r="C11" s="10">
        <v>135180</v>
      </c>
      <c r="D11" s="10"/>
      <c r="E11" s="10"/>
      <c r="F11" s="10"/>
      <c r="G11" s="10">
        <f t="shared" si="0"/>
        <v>135180</v>
      </c>
      <c r="H11" s="16">
        <f t="shared" si="1"/>
        <v>34.43</v>
      </c>
      <c r="I11" s="15">
        <f t="shared" si="2"/>
        <v>0.105</v>
      </c>
      <c r="J11" s="15">
        <f>ROUND(G11/153670-1,2)</f>
        <v>-0.12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293</v>
      </c>
      <c r="F12" s="10"/>
      <c r="G12" s="10">
        <f t="shared" si="0"/>
        <v>293</v>
      </c>
      <c r="H12" s="16">
        <f t="shared" si="1"/>
        <v>7.0000000000000007E-2</v>
      </c>
      <c r="I12" s="15">
        <f t="shared" si="2"/>
        <v>0</v>
      </c>
      <c r="J12" s="15">
        <f>ROUND(G12/342-1,2)</f>
        <v>-0.14000000000000001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218</v>
      </c>
      <c r="F13" s="10"/>
      <c r="G13" s="10">
        <f t="shared" si="0"/>
        <v>218</v>
      </c>
      <c r="H13" s="16">
        <f t="shared" si="1"/>
        <v>0.06</v>
      </c>
      <c r="I13" s="15">
        <f t="shared" si="2"/>
        <v>0</v>
      </c>
      <c r="J13" s="15">
        <f>ROUND(G13/334-1,2)</f>
        <v>-0.35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1760</v>
      </c>
      <c r="F14" s="10"/>
      <c r="G14" s="10">
        <f t="shared" si="0"/>
        <v>1760</v>
      </c>
      <c r="H14" s="16">
        <f t="shared" si="1"/>
        <v>0.45</v>
      </c>
      <c r="I14" s="15">
        <f t="shared" si="2"/>
        <v>1E-3</v>
      </c>
      <c r="J14" s="15">
        <f>ROUND(G14/4000-1,2)</f>
        <v>-0.56000000000000005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21720</v>
      </c>
      <c r="F15" s="10"/>
      <c r="G15" s="10">
        <f t="shared" si="0"/>
        <v>21720</v>
      </c>
      <c r="H15" s="16">
        <f t="shared" si="1"/>
        <v>5.53</v>
      </c>
      <c r="I15" s="15">
        <f t="shared" si="2"/>
        <v>1.7000000000000001E-2</v>
      </c>
      <c r="J15" s="15">
        <f>ROUND(G15/47880-1,2)</f>
        <v>-0.55000000000000004</v>
      </c>
    </row>
    <row r="16" spans="1:10" x14ac:dyDescent="0.25">
      <c r="A16" s="1" t="s">
        <v>16</v>
      </c>
      <c r="B16" s="1" t="s">
        <v>24</v>
      </c>
      <c r="C16" s="10">
        <v>162500</v>
      </c>
      <c r="D16" s="10"/>
      <c r="E16" s="10">
        <v>39435</v>
      </c>
      <c r="F16" s="10"/>
      <c r="G16" s="10">
        <f t="shared" si="0"/>
        <v>201935</v>
      </c>
      <c r="H16" s="16">
        <f t="shared" si="1"/>
        <v>51.44</v>
      </c>
      <c r="I16" s="15">
        <f t="shared" si="2"/>
        <v>0.156</v>
      </c>
      <c r="J16" s="15">
        <f>ROUND(G16/208395-1,2)</f>
        <v>-0.03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6910</v>
      </c>
      <c r="F17" s="10"/>
      <c r="G17" s="10">
        <f t="shared" si="0"/>
        <v>6910</v>
      </c>
      <c r="H17" s="16">
        <f t="shared" si="1"/>
        <v>1.76</v>
      </c>
      <c r="I17" s="15">
        <f t="shared" si="2"/>
        <v>5.0000000000000001E-3</v>
      </c>
      <c r="J17" s="15">
        <f>ROUND(G17/5180-1,2)</f>
        <v>0.33</v>
      </c>
    </row>
    <row r="18" spans="1:10" x14ac:dyDescent="0.25">
      <c r="A18" s="1" t="s">
        <v>16</v>
      </c>
      <c r="B18" s="1" t="s">
        <v>26</v>
      </c>
      <c r="C18" s="10">
        <v>270620</v>
      </c>
      <c r="D18" s="10"/>
      <c r="E18" s="10"/>
      <c r="F18" s="10">
        <v>1240</v>
      </c>
      <c r="G18" s="10">
        <f t="shared" si="0"/>
        <v>271860</v>
      </c>
      <c r="H18" s="16">
        <f t="shared" si="1"/>
        <v>69.25</v>
      </c>
      <c r="I18" s="15">
        <f t="shared" si="2"/>
        <v>0.21</v>
      </c>
      <c r="J18" s="15">
        <f>ROUND(G18/274360-1,2)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651</v>
      </c>
      <c r="F19" s="10"/>
      <c r="G19" s="10">
        <f t="shared" si="0"/>
        <v>651</v>
      </c>
      <c r="H19" s="16">
        <f t="shared" si="1"/>
        <v>0.17</v>
      </c>
      <c r="I19" s="15">
        <f t="shared" si="2"/>
        <v>1E-3</v>
      </c>
      <c r="J19" s="15">
        <f>ROUND(G19/739-1,2)</f>
        <v>-0.12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299</v>
      </c>
      <c r="F20" s="10"/>
      <c r="G20" s="10">
        <f t="shared" si="0"/>
        <v>299</v>
      </c>
      <c r="H20" s="16">
        <f t="shared" si="1"/>
        <v>0.08</v>
      </c>
      <c r="I20" s="15">
        <f t="shared" si="2"/>
        <v>0</v>
      </c>
      <c r="J20" s="15">
        <f>ROUND(G20/527-1,2)</f>
        <v>-0.43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239</v>
      </c>
      <c r="F21" s="10"/>
      <c r="G21" s="10">
        <f t="shared" si="0"/>
        <v>239</v>
      </c>
      <c r="H21" s="16">
        <f t="shared" si="1"/>
        <v>0.06</v>
      </c>
      <c r="I21" s="15">
        <f t="shared" si="2"/>
        <v>0</v>
      </c>
      <c r="J21" s="15">
        <f>ROUND(G21/142-1,2)</f>
        <v>0.68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1600</v>
      </c>
      <c r="F22" s="10"/>
      <c r="G22" s="10">
        <f t="shared" si="0"/>
        <v>1600</v>
      </c>
      <c r="H22" s="16">
        <f t="shared" si="1"/>
        <v>0.41</v>
      </c>
      <c r="I22" s="15">
        <f t="shared" si="2"/>
        <v>1E-3</v>
      </c>
      <c r="J22" s="15">
        <f>ROUND(G22/2668-1,2)</f>
        <v>-0.4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830</v>
      </c>
      <c r="F23" s="10"/>
      <c r="G23" s="10">
        <f t="shared" si="0"/>
        <v>830</v>
      </c>
      <c r="H23" s="16">
        <f t="shared" si="1"/>
        <v>0.21</v>
      </c>
      <c r="I23" s="15">
        <f t="shared" si="2"/>
        <v>1E-3</v>
      </c>
      <c r="J23" s="15">
        <f>ROUND(G23/1430-1,2)</f>
        <v>-0.42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550</v>
      </c>
      <c r="F24" s="10"/>
      <c r="G24" s="10">
        <f t="shared" si="0"/>
        <v>550</v>
      </c>
      <c r="H24" s="16">
        <f t="shared" si="1"/>
        <v>0.14000000000000001</v>
      </c>
      <c r="I24" s="15">
        <f t="shared" si="2"/>
        <v>0</v>
      </c>
      <c r="J24" s="15">
        <f>ROUND(G24/1050-1,2)</f>
        <v>-0.48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1615</v>
      </c>
      <c r="F25" s="10"/>
      <c r="G25" s="10">
        <f t="shared" si="0"/>
        <v>1615</v>
      </c>
      <c r="H25" s="16">
        <f t="shared" si="1"/>
        <v>0.41</v>
      </c>
      <c r="I25" s="15">
        <f t="shared" si="2"/>
        <v>1E-3</v>
      </c>
      <c r="J25" s="15">
        <f>ROUND(G25/1645-1,2)</f>
        <v>-0.02</v>
      </c>
    </row>
    <row r="26" spans="1:10" x14ac:dyDescent="0.25">
      <c r="A26" s="1" t="s">
        <v>16</v>
      </c>
      <c r="B26" s="1" t="s">
        <v>33</v>
      </c>
      <c r="C26" s="10"/>
      <c r="D26" s="10">
        <v>232</v>
      </c>
      <c r="E26" s="10">
        <v>106</v>
      </c>
      <c r="F26" s="10"/>
      <c r="G26" s="10">
        <f t="shared" si="0"/>
        <v>338</v>
      </c>
      <c r="H26" s="16">
        <f t="shared" si="1"/>
        <v>0.09</v>
      </c>
      <c r="I26" s="15">
        <f t="shared" si="2"/>
        <v>0</v>
      </c>
      <c r="J26" s="15">
        <f>ROUND(G26/196-1,2)</f>
        <v>0.72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0.15</v>
      </c>
      <c r="I27" s="15">
        <f t="shared" si="2"/>
        <v>0</v>
      </c>
      <c r="J27" s="15">
        <f>ROUND(G27/220-1,2)</f>
        <v>1.73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1290</v>
      </c>
      <c r="F28" s="10"/>
      <c r="G28" s="10">
        <f t="shared" si="0"/>
        <v>1290</v>
      </c>
      <c r="H28" s="16">
        <f t="shared" si="1"/>
        <v>0.33</v>
      </c>
      <c r="I28" s="15">
        <f t="shared" si="2"/>
        <v>1E-3</v>
      </c>
      <c r="J28" s="15">
        <f>ROUND(G28/100-1,2)</f>
        <v>11.9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4405</v>
      </c>
      <c r="F29" s="10"/>
      <c r="G29" s="10">
        <f t="shared" si="0"/>
        <v>4405</v>
      </c>
      <c r="H29" s="16">
        <f t="shared" si="1"/>
        <v>1.1200000000000001</v>
      </c>
      <c r="I29" s="15">
        <f t="shared" si="2"/>
        <v>3.0000000000000001E-3</v>
      </c>
      <c r="J29" s="15">
        <f>ROUND(G29/8197-1,2)</f>
        <v>-0.46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4660</v>
      </c>
      <c r="F30" s="10"/>
      <c r="G30" s="10">
        <f t="shared" si="0"/>
        <v>4660</v>
      </c>
      <c r="H30" s="16">
        <f t="shared" si="1"/>
        <v>1.19</v>
      </c>
      <c r="I30" s="15">
        <f t="shared" si="2"/>
        <v>4.0000000000000001E-3</v>
      </c>
      <c r="J30" s="15">
        <f>ROUND(G30/4759-1,2)</f>
        <v>-0.02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79130</v>
      </c>
      <c r="F31" s="10"/>
      <c r="G31" s="10">
        <f t="shared" si="0"/>
        <v>79130</v>
      </c>
      <c r="H31" s="16">
        <f t="shared" si="1"/>
        <v>20.16</v>
      </c>
      <c r="I31" s="15">
        <f t="shared" si="2"/>
        <v>6.0999999999999999E-2</v>
      </c>
      <c r="J31" s="15">
        <f>ROUND(G31/64800-1,2)</f>
        <v>0.22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5585</v>
      </c>
      <c r="F32" s="10"/>
      <c r="G32" s="10">
        <f t="shared" si="0"/>
        <v>5585</v>
      </c>
      <c r="H32" s="16">
        <f t="shared" si="1"/>
        <v>1.42</v>
      </c>
      <c r="I32" s="15">
        <f t="shared" si="2"/>
        <v>4.0000000000000001E-3</v>
      </c>
      <c r="J32" s="15">
        <f>ROUND(G32/4910-1,2)</f>
        <v>0.14000000000000001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27570</v>
      </c>
      <c r="F33" s="10"/>
      <c r="G33" s="10">
        <f t="shared" si="0"/>
        <v>27570</v>
      </c>
      <c r="H33" s="16">
        <f t="shared" si="1"/>
        <v>7.02</v>
      </c>
      <c r="I33" s="15">
        <f t="shared" si="2"/>
        <v>2.1000000000000001E-2</v>
      </c>
      <c r="J33" s="15">
        <f>ROUND(G33/19410-1,2)</f>
        <v>0.42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137440</v>
      </c>
      <c r="F34" s="10">
        <v>1300</v>
      </c>
      <c r="G34" s="10">
        <f t="shared" si="0"/>
        <v>138740</v>
      </c>
      <c r="H34" s="16">
        <f t="shared" si="1"/>
        <v>35.340000000000003</v>
      </c>
      <c r="I34" s="15">
        <f t="shared" si="2"/>
        <v>0.107</v>
      </c>
      <c r="J34" s="15">
        <f>ROUND(G34/125040-1,2)</f>
        <v>0.11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ROUND(G35/2277-1,2)</f>
        <v>-1</v>
      </c>
    </row>
    <row r="36" spans="1:10" x14ac:dyDescent="0.25">
      <c r="A36" s="1" t="s">
        <v>44</v>
      </c>
      <c r="B36" s="1" t="s">
        <v>45</v>
      </c>
      <c r="C36" s="10">
        <v>176430</v>
      </c>
      <c r="D36" s="10"/>
      <c r="E36" s="10"/>
      <c r="F36" s="10">
        <v>1960</v>
      </c>
      <c r="G36" s="10">
        <f t="shared" si="0"/>
        <v>178390</v>
      </c>
      <c r="H36" s="16">
        <f t="shared" si="1"/>
        <v>45.44</v>
      </c>
      <c r="I36" s="15">
        <f t="shared" si="2"/>
        <v>0.13800000000000001</v>
      </c>
      <c r="J36" s="15">
        <f>ROUND(G36/169150-1,2)</f>
        <v>0.05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35680</v>
      </c>
      <c r="G37" s="10">
        <f t="shared" si="0"/>
        <v>35680</v>
      </c>
      <c r="H37" s="16">
        <f t="shared" si="1"/>
        <v>9.09</v>
      </c>
      <c r="I37" s="15">
        <f t="shared" si="2"/>
        <v>2.8000000000000001E-2</v>
      </c>
      <c r="J37" s="15">
        <f>ROUND(G37/26660-1,2)</f>
        <v>0.34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43105</v>
      </c>
      <c r="F38" s="10"/>
      <c r="G38" s="10">
        <f t="shared" si="0"/>
        <v>43105</v>
      </c>
      <c r="H38" s="16">
        <f t="shared" si="1"/>
        <v>10.98</v>
      </c>
      <c r="I38" s="15">
        <f t="shared" si="2"/>
        <v>3.3000000000000002E-2</v>
      </c>
      <c r="J38" s="15">
        <f>ROUND(G38/33270-1,2)</f>
        <v>0.3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3" t="s">
        <v>12</v>
      </c>
      <c r="B41" s="23"/>
      <c r="C41" s="11">
        <f t="shared" ref="C41:H41" si="3">SUM(C8:C40)</f>
        <v>850110</v>
      </c>
      <c r="D41" s="11">
        <f t="shared" si="3"/>
        <v>232</v>
      </c>
      <c r="E41" s="11">
        <f t="shared" si="3"/>
        <v>402190</v>
      </c>
      <c r="F41" s="11">
        <f t="shared" si="3"/>
        <v>40180</v>
      </c>
      <c r="G41" s="11">
        <f t="shared" si="3"/>
        <v>1292712</v>
      </c>
      <c r="H41" s="14">
        <f t="shared" si="3"/>
        <v>329.29</v>
      </c>
      <c r="I41" s="17"/>
      <c r="J41" s="17"/>
    </row>
    <row r="42" spans="1:10" x14ac:dyDescent="0.25">
      <c r="A42" s="23" t="s">
        <v>14</v>
      </c>
      <c r="B42" s="23"/>
      <c r="C42" s="12">
        <f>ROUND(C41/G41,2)</f>
        <v>0.66</v>
      </c>
      <c r="D42" s="12">
        <f>ROUND(D41/G41,2)</f>
        <v>0</v>
      </c>
      <c r="E42" s="12">
        <f>ROUND(E41/G41,2)</f>
        <v>0.31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53</v>
      </c>
      <c r="B47" s="23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673680</v>
      </c>
      <c r="D48" s="10">
        <v>232</v>
      </c>
      <c r="E48" s="10">
        <v>359085</v>
      </c>
      <c r="F48" s="10">
        <v>2540</v>
      </c>
      <c r="G48" s="10">
        <f>SUM(C48:F48)</f>
        <v>1035537</v>
      </c>
      <c r="H48" s="16">
        <f>ROUND(G48/3926,2)</f>
        <v>263.76</v>
      </c>
      <c r="I48" s="9"/>
      <c r="J48" s="9"/>
    </row>
    <row r="49" spans="1:10" x14ac:dyDescent="0.25">
      <c r="A49" s="22" t="s">
        <v>55</v>
      </c>
      <c r="B49" s="22"/>
      <c r="C49" s="10">
        <v>176430</v>
      </c>
      <c r="D49" s="10">
        <v>0</v>
      </c>
      <c r="E49" s="10">
        <v>43105</v>
      </c>
      <c r="F49" s="10">
        <v>37640</v>
      </c>
      <c r="G49" s="10">
        <f>SUM(C49:F49)</f>
        <v>257175</v>
      </c>
      <c r="H49" s="16">
        <f>ROUND(G49/3926,2)</f>
        <v>65.510000000000005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ROUND(G50/3926,2)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57</v>
      </c>
      <c r="B55" s="23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ROUND(0.852, 4)</f>
        <v>0.85199999999999998</v>
      </c>
      <c r="D56" s="15">
        <f>ROUND(0.8544, 4)</f>
        <v>0.85440000000000005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4" t="s">
        <v>64</v>
      </c>
      <c r="J56" s="24" t="s">
        <v>65</v>
      </c>
    </row>
    <row r="57" spans="1:10" x14ac:dyDescent="0.25">
      <c r="A57" s="22" t="s">
        <v>66</v>
      </c>
      <c r="B57" s="22"/>
      <c r="C57" s="15">
        <f>ROUND(0.8391, 4)</f>
        <v>0.83909999999999996</v>
      </c>
      <c r="D57" s="15">
        <f>ROUND(0.8414, 4)</f>
        <v>0.84140000000000004</v>
      </c>
      <c r="E57" s="15">
        <f>ROUND(0.7608, 4)</f>
        <v>0.76080000000000003</v>
      </c>
      <c r="F57" s="8"/>
      <c r="G57" s="14" t="s">
        <v>67</v>
      </c>
      <c r="H57" s="27"/>
      <c r="I57" s="25"/>
      <c r="J57" s="25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68</v>
      </c>
      <c r="B61" s="23"/>
      <c r="C61" s="14" t="s">
        <v>2</v>
      </c>
      <c r="D61" s="14" t="s">
        <v>109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45.44</v>
      </c>
      <c r="D62" s="16">
        <v>58.44</v>
      </c>
      <c r="E62" s="16">
        <v>89.58</v>
      </c>
      <c r="F62" s="16">
        <v>53.73</v>
      </c>
      <c r="G62" s="16">
        <f>12/9*C62</f>
        <v>60.586666666666659</v>
      </c>
      <c r="H62" s="8"/>
      <c r="I62" s="9"/>
      <c r="J62" s="9"/>
    </row>
    <row r="63" spans="1:10" x14ac:dyDescent="0.25">
      <c r="A63" s="22" t="s">
        <v>74</v>
      </c>
      <c r="B63" s="22"/>
      <c r="C63" s="16">
        <v>69.25</v>
      </c>
      <c r="D63" s="16">
        <v>80.69</v>
      </c>
      <c r="E63" s="16">
        <v>60.32</v>
      </c>
      <c r="F63" s="16">
        <v>61.62</v>
      </c>
      <c r="G63" s="16">
        <f>12/9*C63</f>
        <v>92.333333333333329</v>
      </c>
      <c r="H63" s="8"/>
      <c r="I63" s="9"/>
      <c r="J63" s="9"/>
    </row>
    <row r="64" spans="1:10" x14ac:dyDescent="0.25">
      <c r="A64" s="22" t="s">
        <v>75</v>
      </c>
      <c r="B64" s="22"/>
      <c r="C64" s="16">
        <v>263.76</v>
      </c>
      <c r="D64" s="16">
        <v>336.68</v>
      </c>
      <c r="E64" s="16">
        <v>282.8</v>
      </c>
      <c r="F64" s="16">
        <v>273.33</v>
      </c>
      <c r="G64" s="16">
        <f>12/9*C64</f>
        <v>351.67999999999995</v>
      </c>
      <c r="H64" s="8"/>
      <c r="I64" s="9"/>
      <c r="J64" s="9"/>
    </row>
    <row r="65" spans="1:10" x14ac:dyDescent="0.25">
      <c r="A65" s="22" t="s">
        <v>76</v>
      </c>
      <c r="B65" s="22"/>
      <c r="C65" s="16">
        <v>65.510000000000005</v>
      </c>
      <c r="D65" s="16">
        <v>82.41</v>
      </c>
      <c r="E65" s="16">
        <v>112.72</v>
      </c>
      <c r="F65" s="16">
        <v>76.52</v>
      </c>
      <c r="G65" s="16">
        <f>12/9*C65</f>
        <v>87.346666666666664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8"/>
    </row>
    <row r="69" spans="1:10" x14ac:dyDescent="0.25">
      <c r="A69" s="3" t="s">
        <v>77</v>
      </c>
      <c r="B69" s="1" t="s">
        <v>110</v>
      </c>
    </row>
    <row r="70" spans="1:10" x14ac:dyDescent="0.25">
      <c r="A70" s="3" t="s">
        <v>70</v>
      </c>
      <c r="B70" s="1" t="s">
        <v>79</v>
      </c>
    </row>
    <row r="71" spans="1:10" x14ac:dyDescent="0.25">
      <c r="A71" s="3" t="s">
        <v>71</v>
      </c>
      <c r="B71" s="1" t="s">
        <v>80</v>
      </c>
    </row>
    <row r="72" spans="1:10" x14ac:dyDescent="0.25">
      <c r="A72" s="3" t="s">
        <v>72</v>
      </c>
      <c r="B72" s="1" t="s">
        <v>81</v>
      </c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1"/>
  <dimension ref="A2:J78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61.28515625" bestFit="1" customWidth="1"/>
    <col min="3" max="3" width="14" bestFit="1" customWidth="1"/>
    <col min="4" max="4" width="38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1533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36840</v>
      </c>
      <c r="D9" s="10"/>
      <c r="E9" s="10"/>
      <c r="F9" s="10"/>
      <c r="G9" s="10">
        <f t="shared" ref="G9:G35" si="0">SUM(C9:F9)</f>
        <v>36840</v>
      </c>
      <c r="H9" s="16">
        <f t="shared" ref="H9:H35" si="1">ROUND(G9/1533,2)</f>
        <v>24.03</v>
      </c>
      <c r="I9" s="15">
        <f t="shared" ref="I9:I35" si="2">ROUND(G9/$G$36,3)</f>
        <v>7.5999999999999998E-2</v>
      </c>
      <c r="J9" s="15">
        <f>ROUND(G9/39400-1,2)</f>
        <v>-0.06</v>
      </c>
    </row>
    <row r="10" spans="1:10" x14ac:dyDescent="0.25">
      <c r="A10" s="1" t="s">
        <v>16</v>
      </c>
      <c r="B10" s="1" t="s">
        <v>20</v>
      </c>
      <c r="C10" s="10">
        <v>51350</v>
      </c>
      <c r="D10" s="10"/>
      <c r="E10" s="10"/>
      <c r="F10" s="10"/>
      <c r="G10" s="10">
        <f t="shared" si="0"/>
        <v>51350</v>
      </c>
      <c r="H10" s="16">
        <f t="shared" si="1"/>
        <v>33.5</v>
      </c>
      <c r="I10" s="15">
        <f t="shared" si="2"/>
        <v>0.105</v>
      </c>
      <c r="J10" s="15">
        <f>ROUND(G10/50830-1,2)</f>
        <v>0.01</v>
      </c>
    </row>
    <row r="11" spans="1:10" x14ac:dyDescent="0.25">
      <c r="A11" s="1" t="s">
        <v>16</v>
      </c>
      <c r="B11" s="1" t="s">
        <v>22</v>
      </c>
      <c r="C11" s="10"/>
      <c r="D11" s="10"/>
      <c r="E11" s="10">
        <v>320</v>
      </c>
      <c r="F11" s="10"/>
      <c r="G11" s="10">
        <f t="shared" si="0"/>
        <v>320</v>
      </c>
      <c r="H11" s="16">
        <f t="shared" si="1"/>
        <v>0.21</v>
      </c>
      <c r="I11" s="15">
        <f t="shared" si="2"/>
        <v>1E-3</v>
      </c>
      <c r="J11" s="15"/>
    </row>
    <row r="12" spans="1:10" x14ac:dyDescent="0.25">
      <c r="A12" s="1" t="s">
        <v>16</v>
      </c>
      <c r="B12" s="1" t="s">
        <v>24</v>
      </c>
      <c r="C12" s="10">
        <v>52380</v>
      </c>
      <c r="D12" s="10"/>
      <c r="E12" s="10"/>
      <c r="F12" s="10"/>
      <c r="G12" s="10">
        <f t="shared" si="0"/>
        <v>52380</v>
      </c>
      <c r="H12" s="16">
        <f t="shared" si="1"/>
        <v>34.17</v>
      </c>
      <c r="I12" s="15">
        <f t="shared" si="2"/>
        <v>0.108</v>
      </c>
      <c r="J12" s="15">
        <f>ROUND(G12/50540-1,2)</f>
        <v>0.04</v>
      </c>
    </row>
    <row r="13" spans="1:10" x14ac:dyDescent="0.25">
      <c r="A13" s="1" t="s">
        <v>16</v>
      </c>
      <c r="B13" s="1" t="s">
        <v>25</v>
      </c>
      <c r="C13" s="10"/>
      <c r="D13" s="10"/>
      <c r="E13" s="10">
        <v>900</v>
      </c>
      <c r="F13" s="10"/>
      <c r="G13" s="10">
        <f t="shared" si="0"/>
        <v>900</v>
      </c>
      <c r="H13" s="16">
        <f t="shared" si="1"/>
        <v>0.59</v>
      </c>
      <c r="I13" s="15">
        <f t="shared" si="2"/>
        <v>2E-3</v>
      </c>
      <c r="J13" s="15">
        <f>ROUND(G13/805-1,2)</f>
        <v>0.12</v>
      </c>
    </row>
    <row r="14" spans="1:10" x14ac:dyDescent="0.25">
      <c r="A14" s="1" t="s">
        <v>16</v>
      </c>
      <c r="B14" s="1" t="s">
        <v>26</v>
      </c>
      <c r="C14" s="10">
        <v>105810</v>
      </c>
      <c r="D14" s="10"/>
      <c r="E14" s="10"/>
      <c r="F14" s="10">
        <v>280</v>
      </c>
      <c r="G14" s="10">
        <f t="shared" si="0"/>
        <v>106090</v>
      </c>
      <c r="H14" s="16">
        <f t="shared" si="1"/>
        <v>69.2</v>
      </c>
      <c r="I14" s="15">
        <f t="shared" si="2"/>
        <v>0.218</v>
      </c>
      <c r="J14" s="15">
        <f>ROUND(G14/108380-1,2)</f>
        <v>-0.02</v>
      </c>
    </row>
    <row r="15" spans="1:10" x14ac:dyDescent="0.25">
      <c r="A15" s="1" t="s">
        <v>16</v>
      </c>
      <c r="B15" s="1" t="s">
        <v>27</v>
      </c>
      <c r="C15" s="10"/>
      <c r="D15" s="10"/>
      <c r="E15" s="10">
        <v>403</v>
      </c>
      <c r="F15" s="10"/>
      <c r="G15" s="10">
        <f t="shared" si="0"/>
        <v>403</v>
      </c>
      <c r="H15" s="16">
        <f t="shared" si="1"/>
        <v>0.26</v>
      </c>
      <c r="I15" s="15">
        <f t="shared" si="2"/>
        <v>1E-3</v>
      </c>
      <c r="J15" s="15">
        <f>ROUND(G15/281-1,2)</f>
        <v>0.43</v>
      </c>
    </row>
    <row r="16" spans="1:10" x14ac:dyDescent="0.25">
      <c r="A16" s="1" t="s">
        <v>16</v>
      </c>
      <c r="B16" s="1" t="s">
        <v>28</v>
      </c>
      <c r="C16" s="10"/>
      <c r="D16" s="10"/>
      <c r="E16" s="10">
        <v>189</v>
      </c>
      <c r="F16" s="10"/>
      <c r="G16" s="10">
        <f t="shared" si="0"/>
        <v>189</v>
      </c>
      <c r="H16" s="16">
        <f t="shared" si="1"/>
        <v>0.12</v>
      </c>
      <c r="I16" s="15">
        <f t="shared" si="2"/>
        <v>0</v>
      </c>
      <c r="J16" s="15">
        <f>ROUND(G16/30-1,2)</f>
        <v>5.3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2060</v>
      </c>
      <c r="F17" s="10"/>
      <c r="G17" s="10">
        <f t="shared" si="0"/>
        <v>2060</v>
      </c>
      <c r="H17" s="16">
        <f t="shared" si="1"/>
        <v>1.34</v>
      </c>
      <c r="I17" s="15">
        <f t="shared" si="2"/>
        <v>4.0000000000000001E-3</v>
      </c>
      <c r="J17" s="15">
        <f>ROUND(G17/1790-1,2)</f>
        <v>0.15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320</v>
      </c>
      <c r="F18" s="10"/>
      <c r="G18" s="10">
        <f t="shared" si="0"/>
        <v>320</v>
      </c>
      <c r="H18" s="16">
        <f t="shared" si="1"/>
        <v>0.21</v>
      </c>
      <c r="I18" s="15">
        <f t="shared" si="2"/>
        <v>1E-3</v>
      </c>
      <c r="J18" s="15">
        <f>ROUND(G18/720-1,2)</f>
        <v>-0.56000000000000005</v>
      </c>
    </row>
    <row r="19" spans="1:10" x14ac:dyDescent="0.25">
      <c r="A19" s="1" t="s">
        <v>16</v>
      </c>
      <c r="B19" s="1" t="s">
        <v>33</v>
      </c>
      <c r="C19" s="10"/>
      <c r="D19" s="10">
        <v>190</v>
      </c>
      <c r="E19" s="10">
        <v>13</v>
      </c>
      <c r="F19" s="10"/>
      <c r="G19" s="10">
        <f t="shared" si="0"/>
        <v>203</v>
      </c>
      <c r="H19" s="16">
        <f t="shared" si="1"/>
        <v>0.13</v>
      </c>
      <c r="I19" s="15">
        <f t="shared" si="2"/>
        <v>0</v>
      </c>
      <c r="J19" s="15">
        <f>ROUND(G19/155-1,2)</f>
        <v>0.31</v>
      </c>
    </row>
    <row r="20" spans="1:10" x14ac:dyDescent="0.25">
      <c r="A20" s="1" t="s">
        <v>16</v>
      </c>
      <c r="B20" s="1" t="s">
        <v>35</v>
      </c>
      <c r="C20" s="10"/>
      <c r="D20" s="10"/>
      <c r="E20" s="10">
        <v>270</v>
      </c>
      <c r="F20" s="10"/>
      <c r="G20" s="10">
        <f t="shared" si="0"/>
        <v>270</v>
      </c>
      <c r="H20" s="16">
        <f t="shared" si="1"/>
        <v>0.18</v>
      </c>
      <c r="I20" s="15">
        <f t="shared" si="2"/>
        <v>1E-3</v>
      </c>
      <c r="J20" s="15"/>
    </row>
    <row r="21" spans="1:10" x14ac:dyDescent="0.25">
      <c r="A21" s="1" t="s">
        <v>16</v>
      </c>
      <c r="B21" s="1" t="s">
        <v>34</v>
      </c>
      <c r="C21" s="10"/>
      <c r="D21" s="10"/>
      <c r="E21" s="10">
        <v>270</v>
      </c>
      <c r="F21" s="10"/>
      <c r="G21" s="10">
        <f t="shared" si="0"/>
        <v>270</v>
      </c>
      <c r="H21" s="16">
        <f t="shared" si="1"/>
        <v>0.18</v>
      </c>
      <c r="I21" s="15">
        <f t="shared" si="2"/>
        <v>1E-3</v>
      </c>
      <c r="J21" s="15">
        <f>ROUND(G21/700-1,2)</f>
        <v>-0.61</v>
      </c>
    </row>
    <row r="22" spans="1:10" x14ac:dyDescent="0.25">
      <c r="A22" s="1" t="s">
        <v>16</v>
      </c>
      <c r="B22" s="1" t="s">
        <v>37</v>
      </c>
      <c r="C22" s="10"/>
      <c r="D22" s="10"/>
      <c r="E22" s="10">
        <v>730</v>
      </c>
      <c r="F22" s="10"/>
      <c r="G22" s="10">
        <f t="shared" si="0"/>
        <v>730</v>
      </c>
      <c r="H22" s="16">
        <f t="shared" si="1"/>
        <v>0.48</v>
      </c>
      <c r="I22" s="15">
        <f t="shared" si="2"/>
        <v>1E-3</v>
      </c>
      <c r="J22" s="15">
        <f>ROUND(G22/700-1,2)</f>
        <v>0.04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31530</v>
      </c>
      <c r="F23" s="10"/>
      <c r="G23" s="10">
        <f t="shared" si="0"/>
        <v>31530</v>
      </c>
      <c r="H23" s="16">
        <f t="shared" si="1"/>
        <v>20.57</v>
      </c>
      <c r="I23" s="15">
        <f t="shared" si="2"/>
        <v>6.5000000000000002E-2</v>
      </c>
      <c r="J23" s="15">
        <f>ROUND(G23/23720-1,2)</f>
        <v>0.33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2095</v>
      </c>
      <c r="F24" s="10"/>
      <c r="G24" s="10">
        <f t="shared" si="0"/>
        <v>2095</v>
      </c>
      <c r="H24" s="16">
        <f t="shared" si="1"/>
        <v>1.37</v>
      </c>
      <c r="I24" s="15">
        <f t="shared" si="2"/>
        <v>4.0000000000000001E-3</v>
      </c>
      <c r="J24" s="15">
        <f>ROUND(G24/1865-1,2)</f>
        <v>0.12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4480</v>
      </c>
      <c r="F25" s="10"/>
      <c r="G25" s="10">
        <f t="shared" si="0"/>
        <v>4480</v>
      </c>
      <c r="H25" s="16">
        <f t="shared" si="1"/>
        <v>2.92</v>
      </c>
      <c r="I25" s="15">
        <f t="shared" si="2"/>
        <v>8.9999999999999993E-3</v>
      </c>
      <c r="J25" s="15">
        <f>ROUND(G25/6310-1,2)</f>
        <v>-0.28999999999999998</v>
      </c>
    </row>
    <row r="26" spans="1:10" x14ac:dyDescent="0.25">
      <c r="A26" s="1" t="s">
        <v>16</v>
      </c>
      <c r="B26" s="1" t="s">
        <v>41</v>
      </c>
      <c r="C26" s="10"/>
      <c r="D26" s="10"/>
      <c r="E26" s="10">
        <v>43570</v>
      </c>
      <c r="F26" s="10">
        <v>1680</v>
      </c>
      <c r="G26" s="10">
        <f t="shared" si="0"/>
        <v>45250</v>
      </c>
      <c r="H26" s="16">
        <f t="shared" si="1"/>
        <v>29.52</v>
      </c>
      <c r="I26" s="15">
        <f t="shared" si="2"/>
        <v>9.2999999999999999E-2</v>
      </c>
      <c r="J26" s="15">
        <f>ROUND(G26/28640-1,2)</f>
        <v>0.57999999999999996</v>
      </c>
    </row>
    <row r="27" spans="1:10" x14ac:dyDescent="0.25">
      <c r="A27" s="1" t="s">
        <v>16</v>
      </c>
      <c r="B27" s="1" t="s">
        <v>42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ROUND(G27/68-1,2)</f>
        <v>-1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ROUND(G28/1130-1,2)</f>
        <v>-1</v>
      </c>
    </row>
    <row r="29" spans="1:10" x14ac:dyDescent="0.25">
      <c r="A29" s="1" t="s">
        <v>16</v>
      </c>
      <c r="B29" s="1" t="s">
        <v>43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ROUND(G29/2550-1,2)</f>
        <v>-1</v>
      </c>
    </row>
    <row r="30" spans="1:10" x14ac:dyDescent="0.25">
      <c r="A30" s="1" t="s">
        <v>16</v>
      </c>
      <c r="B30" s="1" t="s">
        <v>95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17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114160</v>
      </c>
      <c r="D33" s="10"/>
      <c r="E33" s="10"/>
      <c r="F33" s="10"/>
      <c r="G33" s="10">
        <f t="shared" si="0"/>
        <v>114160</v>
      </c>
      <c r="H33" s="16">
        <f t="shared" si="1"/>
        <v>74.47</v>
      </c>
      <c r="I33" s="15">
        <f t="shared" si="2"/>
        <v>0.23400000000000001</v>
      </c>
      <c r="J33" s="15">
        <f>ROUND(G33/113880-1,2)</f>
        <v>0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12500</v>
      </c>
      <c r="G34" s="10">
        <f t="shared" si="0"/>
        <v>12500</v>
      </c>
      <c r="H34" s="16">
        <f t="shared" si="1"/>
        <v>8.15</v>
      </c>
      <c r="I34" s="15">
        <f t="shared" si="2"/>
        <v>2.5999999999999999E-2</v>
      </c>
      <c r="J34" s="15">
        <f>ROUND(G34/20080-1,2)</f>
        <v>-0.38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24510</v>
      </c>
      <c r="F35" s="10"/>
      <c r="G35" s="10">
        <f t="shared" si="0"/>
        <v>24510</v>
      </c>
      <c r="H35" s="16">
        <f t="shared" si="1"/>
        <v>15.99</v>
      </c>
      <c r="I35" s="15">
        <f t="shared" si="2"/>
        <v>0.05</v>
      </c>
      <c r="J35" s="15">
        <f>ROUND(G35/13060-1,2)</f>
        <v>0.88</v>
      </c>
    </row>
    <row r="36" spans="1:10" x14ac:dyDescent="0.25">
      <c r="A36" s="23" t="s">
        <v>12</v>
      </c>
      <c r="B36" s="23"/>
      <c r="C36" s="11">
        <f t="shared" ref="C36:H36" si="3">SUM(C8:C35)</f>
        <v>360540</v>
      </c>
      <c r="D36" s="11">
        <f t="shared" si="3"/>
        <v>190</v>
      </c>
      <c r="E36" s="11">
        <f t="shared" si="3"/>
        <v>111660</v>
      </c>
      <c r="F36" s="11">
        <f t="shared" si="3"/>
        <v>14460</v>
      </c>
      <c r="G36" s="11">
        <f t="shared" si="3"/>
        <v>486850</v>
      </c>
      <c r="H36" s="14">
        <f t="shared" si="3"/>
        <v>317.58999999999997</v>
      </c>
      <c r="I36" s="17"/>
      <c r="J36" s="17"/>
    </row>
    <row r="37" spans="1:10" x14ac:dyDescent="0.25">
      <c r="A37" s="23" t="s">
        <v>14</v>
      </c>
      <c r="B37" s="23"/>
      <c r="C37" s="12">
        <f>ROUND(C36/G36,2)</f>
        <v>0.74</v>
      </c>
      <c r="D37" s="12">
        <f>ROUND(D36/G36,2)</f>
        <v>0</v>
      </c>
      <c r="E37" s="12">
        <f>ROUND(E36/G36,2)</f>
        <v>0.23</v>
      </c>
      <c r="F37" s="12">
        <f>ROUND(F36/G36,2)</f>
        <v>0.03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23" t="s">
        <v>53</v>
      </c>
      <c r="B42" s="23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2" t="s">
        <v>54</v>
      </c>
      <c r="B43" s="22"/>
      <c r="C43" s="10">
        <v>246380</v>
      </c>
      <c r="D43" s="10">
        <v>190</v>
      </c>
      <c r="E43" s="10">
        <v>87150</v>
      </c>
      <c r="F43" s="10">
        <v>1960</v>
      </c>
      <c r="G43" s="10">
        <f>SUM(C43:F43)</f>
        <v>335680</v>
      </c>
      <c r="H43" s="16">
        <f>ROUND(G43/1533,2)</f>
        <v>218.97</v>
      </c>
      <c r="I43" s="9"/>
      <c r="J43" s="9"/>
    </row>
    <row r="44" spans="1:10" x14ac:dyDescent="0.25">
      <c r="A44" s="22" t="s">
        <v>55</v>
      </c>
      <c r="B44" s="22"/>
      <c r="C44" s="10">
        <v>114160</v>
      </c>
      <c r="D44" s="10">
        <v>0</v>
      </c>
      <c r="E44" s="10">
        <v>24510</v>
      </c>
      <c r="F44" s="10">
        <v>12500</v>
      </c>
      <c r="G44" s="10">
        <f>SUM(C44:F44)</f>
        <v>151170</v>
      </c>
      <c r="H44" s="16">
        <f>ROUND(G44/1533,2)</f>
        <v>98.61</v>
      </c>
      <c r="I44" s="9"/>
      <c r="J44" s="9"/>
    </row>
    <row r="45" spans="1:10" x14ac:dyDescent="0.25">
      <c r="A45" s="22" t="s">
        <v>56</v>
      </c>
      <c r="B45" s="22"/>
      <c r="C45" s="10"/>
      <c r="D45" s="10"/>
      <c r="E45" s="10"/>
      <c r="F45" s="10"/>
      <c r="G45" s="10">
        <f>SUM(C45:F45)</f>
        <v>0</v>
      </c>
      <c r="H45" s="16">
        <f>ROUND(G45/1533,2)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57</v>
      </c>
      <c r="B50" s="23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2" t="s">
        <v>58</v>
      </c>
      <c r="B51" s="22"/>
      <c r="C51" s="15">
        <f>ROUND(0.7611, 4)</f>
        <v>0.7611</v>
      </c>
      <c r="D51" s="15">
        <f>ROUND(0.7468, 4)</f>
        <v>0.74680000000000002</v>
      </c>
      <c r="E51" s="15">
        <f>ROUND(0.777, 4)</f>
        <v>0.77700000000000002</v>
      </c>
      <c r="F51" s="8"/>
      <c r="G51" s="14" t="s">
        <v>62</v>
      </c>
      <c r="H51" s="26" t="s">
        <v>63</v>
      </c>
      <c r="I51" s="24" t="s">
        <v>64</v>
      </c>
      <c r="J51" s="24" t="s">
        <v>65</v>
      </c>
    </row>
    <row r="52" spans="1:10" x14ac:dyDescent="0.25">
      <c r="A52" s="22" t="s">
        <v>66</v>
      </c>
      <c r="B52" s="22"/>
      <c r="C52" s="15">
        <f>ROUND(0.7513, 4)</f>
        <v>0.75129999999999997</v>
      </c>
      <c r="D52" s="15">
        <f>ROUND(0.7361, 4)</f>
        <v>0.73609999999999998</v>
      </c>
      <c r="E52" s="15">
        <f>ROUND(0.7608, 4)</f>
        <v>0.76080000000000003</v>
      </c>
      <c r="F52" s="8"/>
      <c r="G52" s="14" t="s">
        <v>67</v>
      </c>
      <c r="H52" s="27"/>
      <c r="I52" s="25"/>
      <c r="J52" s="25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68</v>
      </c>
      <c r="B56" s="23"/>
      <c r="C56" s="14" t="s">
        <v>2</v>
      </c>
      <c r="D56" s="14" t="s">
        <v>112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2" t="s">
        <v>73</v>
      </c>
      <c r="B57" s="22"/>
      <c r="C57" s="16">
        <v>74.47</v>
      </c>
      <c r="D57" s="16">
        <v>92.91</v>
      </c>
      <c r="E57" s="16">
        <v>89.58</v>
      </c>
      <c r="F57" s="16">
        <v>53.73</v>
      </c>
      <c r="G57" s="16">
        <f>12/9*C57</f>
        <v>99.293333333333322</v>
      </c>
      <c r="H57" s="8"/>
      <c r="I57" s="9"/>
      <c r="J57" s="9"/>
    </row>
    <row r="58" spans="1:10" x14ac:dyDescent="0.25">
      <c r="A58" s="22" t="s">
        <v>74</v>
      </c>
      <c r="B58" s="22"/>
      <c r="C58" s="16">
        <v>69.2</v>
      </c>
      <c r="D58" s="16">
        <v>91.97</v>
      </c>
      <c r="E58" s="16">
        <v>60.32</v>
      </c>
      <c r="F58" s="16">
        <v>61.62</v>
      </c>
      <c r="G58" s="16">
        <f>12/9*C58</f>
        <v>92.266666666666666</v>
      </c>
      <c r="H58" s="8"/>
      <c r="I58" s="9"/>
      <c r="J58" s="9"/>
    </row>
    <row r="59" spans="1:10" x14ac:dyDescent="0.25">
      <c r="A59" s="22" t="s">
        <v>75</v>
      </c>
      <c r="B59" s="22"/>
      <c r="C59" s="16">
        <v>218.97</v>
      </c>
      <c r="D59" s="16">
        <v>271</v>
      </c>
      <c r="E59" s="16">
        <v>282.8</v>
      </c>
      <c r="F59" s="16">
        <v>273.33</v>
      </c>
      <c r="G59" s="16">
        <f>12/9*C59</f>
        <v>291.95999999999998</v>
      </c>
      <c r="H59" s="8"/>
      <c r="I59" s="9"/>
      <c r="J59" s="9"/>
    </row>
    <row r="60" spans="1:10" x14ac:dyDescent="0.25">
      <c r="A60" s="22" t="s">
        <v>76</v>
      </c>
      <c r="B60" s="22"/>
      <c r="C60" s="16">
        <v>98.61</v>
      </c>
      <c r="D60" s="16">
        <v>118.7</v>
      </c>
      <c r="E60" s="16">
        <v>112.72</v>
      </c>
      <c r="F60" s="16">
        <v>76.52</v>
      </c>
      <c r="G60" s="16">
        <f>12/9*C60</f>
        <v>131.47999999999999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1" t="s">
        <v>60</v>
      </c>
      <c r="B63" s="28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113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</sheetData>
  <mergeCells count="19">
    <mergeCell ref="A58:B58"/>
    <mergeCell ref="A59:B59"/>
    <mergeCell ref="A60:B60"/>
    <mergeCell ref="A63:B63"/>
    <mergeCell ref="I51:I52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C7:G7"/>
    <mergeCell ref="A36:B36"/>
    <mergeCell ref="A37:B37"/>
    <mergeCell ref="A42:B42"/>
    <mergeCell ref="A43:B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2"/>
  <dimension ref="A2:J78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0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7869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128</v>
      </c>
      <c r="F9" s="10"/>
      <c r="G9" s="10">
        <f t="shared" ref="G9:G46" si="0">SUM(C9:F9)</f>
        <v>128</v>
      </c>
      <c r="H9" s="16">
        <f t="shared" ref="H9:H46" si="1">ROUND(G9/7869,2)</f>
        <v>0.02</v>
      </c>
      <c r="I9" s="15">
        <f t="shared" ref="I9:I46" si="2">ROUND(G9/$G$47,3)</f>
        <v>0</v>
      </c>
      <c r="J9" s="15">
        <f>ROUND(G9/115-1,2)</f>
        <v>0.11</v>
      </c>
    </row>
    <row r="10" spans="1:10" x14ac:dyDescent="0.25">
      <c r="A10" s="1" t="s">
        <v>16</v>
      </c>
      <c r="B10" s="1" t="s">
        <v>90</v>
      </c>
      <c r="C10" s="10"/>
      <c r="D10" s="10"/>
      <c r="E10" s="10"/>
      <c r="F10" s="10">
        <v>12060</v>
      </c>
      <c r="G10" s="10">
        <f t="shared" si="0"/>
        <v>12060</v>
      </c>
      <c r="H10" s="16">
        <f t="shared" si="1"/>
        <v>1.53</v>
      </c>
      <c r="I10" s="15">
        <f t="shared" si="2"/>
        <v>6.0000000000000001E-3</v>
      </c>
      <c r="J10" s="15">
        <f>ROUND(G10/19340-1,2)</f>
        <v>-0.38</v>
      </c>
    </row>
    <row r="11" spans="1:10" x14ac:dyDescent="0.25">
      <c r="A11" s="1" t="s">
        <v>16</v>
      </c>
      <c r="B11" s="1" t="s">
        <v>19</v>
      </c>
      <c r="C11" s="10">
        <v>181500</v>
      </c>
      <c r="D11" s="10"/>
      <c r="E11" s="10">
        <v>5010</v>
      </c>
      <c r="F11" s="10">
        <v>40</v>
      </c>
      <c r="G11" s="10">
        <f t="shared" si="0"/>
        <v>186550</v>
      </c>
      <c r="H11" s="16">
        <f t="shared" si="1"/>
        <v>23.71</v>
      </c>
      <c r="I11" s="15">
        <f t="shared" si="2"/>
        <v>8.6999999999999994E-2</v>
      </c>
      <c r="J11" s="15">
        <f>ROUND(G11/180400-1,2)</f>
        <v>0.03</v>
      </c>
    </row>
    <row r="12" spans="1:10" x14ac:dyDescent="0.25">
      <c r="A12" s="1" t="s">
        <v>16</v>
      </c>
      <c r="B12" s="1" t="s">
        <v>20</v>
      </c>
      <c r="C12" s="10">
        <v>204300</v>
      </c>
      <c r="D12" s="10"/>
      <c r="E12" s="10"/>
      <c r="F12" s="10"/>
      <c r="G12" s="10">
        <f t="shared" si="0"/>
        <v>204300</v>
      </c>
      <c r="H12" s="16">
        <f t="shared" si="1"/>
        <v>25.96</v>
      </c>
      <c r="I12" s="15">
        <f t="shared" si="2"/>
        <v>9.6000000000000002E-2</v>
      </c>
      <c r="J12" s="15">
        <f>ROUND(G12/201270-1,2)</f>
        <v>0.02</v>
      </c>
    </row>
    <row r="13" spans="1:10" x14ac:dyDescent="0.25">
      <c r="A13" s="1" t="s">
        <v>16</v>
      </c>
      <c r="B13" s="1" t="s">
        <v>95</v>
      </c>
      <c r="C13" s="10"/>
      <c r="D13" s="10"/>
      <c r="E13" s="10">
        <v>25</v>
      </c>
      <c r="F13" s="10"/>
      <c r="G13" s="10">
        <f t="shared" si="0"/>
        <v>25</v>
      </c>
      <c r="H13" s="16">
        <f t="shared" si="1"/>
        <v>0</v>
      </c>
      <c r="I13" s="15">
        <f t="shared" si="2"/>
        <v>0</v>
      </c>
      <c r="J13" s="15">
        <f>ROUND(G13/38-1,2)</f>
        <v>-0.34</v>
      </c>
    </row>
    <row r="14" spans="1:10" x14ac:dyDescent="0.25">
      <c r="A14" s="1" t="s">
        <v>16</v>
      </c>
      <c r="B14" s="1" t="s">
        <v>21</v>
      </c>
      <c r="C14" s="10"/>
      <c r="D14" s="10"/>
      <c r="E14" s="10">
        <v>342</v>
      </c>
      <c r="F14" s="10"/>
      <c r="G14" s="10">
        <f t="shared" si="0"/>
        <v>342</v>
      </c>
      <c r="H14" s="16">
        <f t="shared" si="1"/>
        <v>0.04</v>
      </c>
      <c r="I14" s="15">
        <f t="shared" si="2"/>
        <v>0</v>
      </c>
      <c r="J14" s="15">
        <f>ROUND(G14/268-1,2)</f>
        <v>0.28000000000000003</v>
      </c>
    </row>
    <row r="15" spans="1:10" x14ac:dyDescent="0.25">
      <c r="A15" s="1" t="s">
        <v>16</v>
      </c>
      <c r="B15" s="1" t="s">
        <v>22</v>
      </c>
      <c r="C15" s="10"/>
      <c r="D15" s="10"/>
      <c r="E15" s="10">
        <v>1700</v>
      </c>
      <c r="F15" s="10"/>
      <c r="G15" s="10">
        <f t="shared" si="0"/>
        <v>1700</v>
      </c>
      <c r="H15" s="16">
        <f t="shared" si="1"/>
        <v>0.22</v>
      </c>
      <c r="I15" s="15">
        <f t="shared" si="2"/>
        <v>1E-3</v>
      </c>
      <c r="J15" s="15">
        <f>ROUND(G15/2100-1,2)</f>
        <v>-0.19</v>
      </c>
    </row>
    <row r="16" spans="1:10" x14ac:dyDescent="0.25">
      <c r="A16" s="1" t="s">
        <v>16</v>
      </c>
      <c r="B16" s="1" t="s">
        <v>23</v>
      </c>
      <c r="C16" s="10"/>
      <c r="D16" s="10"/>
      <c r="E16" s="10">
        <v>100580</v>
      </c>
      <c r="F16" s="10"/>
      <c r="G16" s="10">
        <f t="shared" si="0"/>
        <v>100580</v>
      </c>
      <c r="H16" s="16">
        <f t="shared" si="1"/>
        <v>12.78</v>
      </c>
      <c r="I16" s="15">
        <f t="shared" si="2"/>
        <v>4.7E-2</v>
      </c>
      <c r="J16" s="15">
        <f>ROUND(G16/77080-1,2)</f>
        <v>0.3</v>
      </c>
    </row>
    <row r="17" spans="1:10" x14ac:dyDescent="0.25">
      <c r="A17" s="1" t="s">
        <v>16</v>
      </c>
      <c r="B17" s="1" t="s">
        <v>24</v>
      </c>
      <c r="C17" s="10">
        <v>275690</v>
      </c>
      <c r="D17" s="10"/>
      <c r="E17" s="10">
        <v>23760</v>
      </c>
      <c r="F17" s="10">
        <v>250</v>
      </c>
      <c r="G17" s="10">
        <f t="shared" si="0"/>
        <v>299700</v>
      </c>
      <c r="H17" s="16">
        <f t="shared" si="1"/>
        <v>38.090000000000003</v>
      </c>
      <c r="I17" s="15">
        <f t="shared" si="2"/>
        <v>0.14000000000000001</v>
      </c>
      <c r="J17" s="15">
        <f>ROUND(G17/293620-1,2)</f>
        <v>0.02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5880</v>
      </c>
      <c r="F18" s="10"/>
      <c r="G18" s="10">
        <f t="shared" si="0"/>
        <v>5880</v>
      </c>
      <c r="H18" s="16">
        <f t="shared" si="1"/>
        <v>0.75</v>
      </c>
      <c r="I18" s="15">
        <f t="shared" si="2"/>
        <v>3.0000000000000001E-3</v>
      </c>
      <c r="J18" s="15">
        <f>ROUND(G18/4690-1,2)</f>
        <v>0.25</v>
      </c>
    </row>
    <row r="19" spans="1:10" x14ac:dyDescent="0.25">
      <c r="A19" s="1" t="s">
        <v>16</v>
      </c>
      <c r="B19" s="1" t="s">
        <v>26</v>
      </c>
      <c r="C19" s="10">
        <v>385500</v>
      </c>
      <c r="D19" s="10"/>
      <c r="E19" s="10"/>
      <c r="F19" s="10">
        <v>50</v>
      </c>
      <c r="G19" s="10">
        <f t="shared" si="0"/>
        <v>385550</v>
      </c>
      <c r="H19" s="16">
        <f t="shared" si="1"/>
        <v>49</v>
      </c>
      <c r="I19" s="15">
        <f t="shared" si="2"/>
        <v>0.18099999999999999</v>
      </c>
      <c r="J19" s="15">
        <f>ROUND(G19/386620-1,2)</f>
        <v>0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1851</v>
      </c>
      <c r="F20" s="10"/>
      <c r="G20" s="10">
        <f t="shared" si="0"/>
        <v>1851</v>
      </c>
      <c r="H20" s="16">
        <f t="shared" si="1"/>
        <v>0.24</v>
      </c>
      <c r="I20" s="15">
        <f t="shared" si="2"/>
        <v>1E-3</v>
      </c>
      <c r="J20" s="15">
        <f>ROUND(G20/2044-1,2)</f>
        <v>-0.09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1568</v>
      </c>
      <c r="F21" s="10"/>
      <c r="G21" s="10">
        <f t="shared" si="0"/>
        <v>1568</v>
      </c>
      <c r="H21" s="16">
        <f t="shared" si="1"/>
        <v>0.2</v>
      </c>
      <c r="I21" s="15">
        <f t="shared" si="2"/>
        <v>1E-3</v>
      </c>
      <c r="J21" s="15">
        <f>ROUND(G21/1693-1,2)</f>
        <v>-7.0000000000000007E-2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2910</v>
      </c>
      <c r="F22" s="10"/>
      <c r="G22" s="10">
        <f t="shared" si="0"/>
        <v>2910</v>
      </c>
      <c r="H22" s="16">
        <f t="shared" si="1"/>
        <v>0.37</v>
      </c>
      <c r="I22" s="15">
        <f t="shared" si="2"/>
        <v>1E-3</v>
      </c>
      <c r="J22" s="15">
        <f>ROUND(G22/5540-1,2)</f>
        <v>-0.47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1750</v>
      </c>
      <c r="F23" s="10"/>
      <c r="G23" s="10">
        <f t="shared" si="0"/>
        <v>1750</v>
      </c>
      <c r="H23" s="16">
        <f t="shared" si="1"/>
        <v>0.22</v>
      </c>
      <c r="I23" s="15">
        <f t="shared" si="2"/>
        <v>1E-3</v>
      </c>
      <c r="J23" s="15">
        <f>ROUND(G23/1960-1,2)</f>
        <v>-0.11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790</v>
      </c>
      <c r="F24" s="10"/>
      <c r="G24" s="10">
        <f t="shared" si="0"/>
        <v>790</v>
      </c>
      <c r="H24" s="16">
        <f t="shared" si="1"/>
        <v>0.1</v>
      </c>
      <c r="I24" s="15">
        <f t="shared" si="2"/>
        <v>0</v>
      </c>
      <c r="J24" s="15">
        <f>ROUND(G24/520-1,2)</f>
        <v>0.52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1694</v>
      </c>
      <c r="F25" s="10"/>
      <c r="G25" s="10">
        <f t="shared" si="0"/>
        <v>1694</v>
      </c>
      <c r="H25" s="16">
        <f t="shared" si="1"/>
        <v>0.22</v>
      </c>
      <c r="I25" s="15">
        <f t="shared" si="2"/>
        <v>1E-3</v>
      </c>
      <c r="J25" s="15">
        <f>ROUND(G25/1515-1,2)</f>
        <v>0.12</v>
      </c>
    </row>
    <row r="26" spans="1:10" x14ac:dyDescent="0.25">
      <c r="A26" s="1" t="s">
        <v>16</v>
      </c>
      <c r="B26" s="1" t="s">
        <v>33</v>
      </c>
      <c r="C26" s="10"/>
      <c r="D26" s="10">
        <v>407</v>
      </c>
      <c r="E26" s="10">
        <v>124</v>
      </c>
      <c r="F26" s="10"/>
      <c r="G26" s="10">
        <f t="shared" si="0"/>
        <v>531</v>
      </c>
      <c r="H26" s="16">
        <f t="shared" si="1"/>
        <v>7.0000000000000007E-2</v>
      </c>
      <c r="I26" s="15">
        <f t="shared" si="2"/>
        <v>0</v>
      </c>
      <c r="J26" s="15">
        <f>ROUND(G26/615-1,2)</f>
        <v>-0.14000000000000001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860</v>
      </c>
      <c r="F27" s="10"/>
      <c r="G27" s="10">
        <f t="shared" si="0"/>
        <v>860</v>
      </c>
      <c r="H27" s="16">
        <f t="shared" si="1"/>
        <v>0.11</v>
      </c>
      <c r="I27" s="15">
        <f t="shared" si="2"/>
        <v>0</v>
      </c>
      <c r="J27" s="15">
        <f>ROUND(G27/1045-1,2)</f>
        <v>-0.18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270</v>
      </c>
      <c r="F28" s="10"/>
      <c r="G28" s="10">
        <f t="shared" si="0"/>
        <v>270</v>
      </c>
      <c r="H28" s="16">
        <f t="shared" si="1"/>
        <v>0.03</v>
      </c>
      <c r="I28" s="15">
        <f t="shared" si="2"/>
        <v>0</v>
      </c>
      <c r="J28" s="15">
        <f>ROUND(G28/670-1,2)</f>
        <v>-0.6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1650</v>
      </c>
      <c r="F29" s="10"/>
      <c r="G29" s="10">
        <f t="shared" si="0"/>
        <v>1650</v>
      </c>
      <c r="H29" s="16">
        <f t="shared" si="1"/>
        <v>0.21</v>
      </c>
      <c r="I29" s="15">
        <f t="shared" si="2"/>
        <v>1E-3</v>
      </c>
      <c r="J29" s="15">
        <f>ROUND(G29/3320-1,2)</f>
        <v>-0.5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8270</v>
      </c>
      <c r="F30" s="10"/>
      <c r="G30" s="10">
        <f t="shared" si="0"/>
        <v>8270</v>
      </c>
      <c r="H30" s="16">
        <f t="shared" si="1"/>
        <v>1.05</v>
      </c>
      <c r="I30" s="15">
        <f t="shared" si="2"/>
        <v>4.0000000000000001E-3</v>
      </c>
      <c r="J30" s="15">
        <f>ROUND(G30/5460-1,2)</f>
        <v>0.51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7779</v>
      </c>
      <c r="F31" s="10"/>
      <c r="G31" s="10">
        <f t="shared" si="0"/>
        <v>7779</v>
      </c>
      <c r="H31" s="16">
        <f t="shared" si="1"/>
        <v>0.99</v>
      </c>
      <c r="I31" s="15">
        <f t="shared" si="2"/>
        <v>4.0000000000000001E-3</v>
      </c>
      <c r="J31" s="15">
        <f>ROUND(G31/17261-1,2)</f>
        <v>-0.55000000000000004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121780</v>
      </c>
      <c r="F32" s="10"/>
      <c r="G32" s="10">
        <f t="shared" si="0"/>
        <v>121780</v>
      </c>
      <c r="H32" s="16">
        <f t="shared" si="1"/>
        <v>15.48</v>
      </c>
      <c r="I32" s="15">
        <f t="shared" si="2"/>
        <v>5.7000000000000002E-2</v>
      </c>
      <c r="J32" s="15">
        <f>ROUND(G32/105650-1,2)</f>
        <v>0.15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6910</v>
      </c>
      <c r="F33" s="10"/>
      <c r="G33" s="10">
        <f t="shared" si="0"/>
        <v>6910</v>
      </c>
      <c r="H33" s="16">
        <f t="shared" si="1"/>
        <v>0.88</v>
      </c>
      <c r="I33" s="15">
        <f t="shared" si="2"/>
        <v>3.0000000000000001E-3</v>
      </c>
      <c r="J33" s="15">
        <f>ROUND(G33/8925-1,2)</f>
        <v>-0.23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25020</v>
      </c>
      <c r="F34" s="10"/>
      <c r="G34" s="10">
        <f t="shared" si="0"/>
        <v>25020</v>
      </c>
      <c r="H34" s="16">
        <f t="shared" si="1"/>
        <v>3.18</v>
      </c>
      <c r="I34" s="15">
        <f t="shared" si="2"/>
        <v>1.2E-2</v>
      </c>
      <c r="J34" s="15">
        <f>ROUND(G34/27240-1,2)</f>
        <v>-0.08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335910</v>
      </c>
      <c r="F35" s="10">
        <v>1540</v>
      </c>
      <c r="G35" s="10">
        <f t="shared" si="0"/>
        <v>337450</v>
      </c>
      <c r="H35" s="16">
        <f t="shared" si="1"/>
        <v>42.88</v>
      </c>
      <c r="I35" s="15">
        <f t="shared" si="2"/>
        <v>0.158</v>
      </c>
      <c r="J35" s="15">
        <f>ROUND(G35/301870-1,2)</f>
        <v>0.12</v>
      </c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ROUND(G36/160-1,2)</f>
        <v>-1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ROUND(G37/271-1,2)</f>
        <v>-1</v>
      </c>
    </row>
    <row r="38" spans="1:10" x14ac:dyDescent="0.25">
      <c r="A38" s="1" t="s">
        <v>16</v>
      </c>
      <c r="B38" s="1" t="s">
        <v>115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116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305800</v>
      </c>
      <c r="D40" s="10"/>
      <c r="E40" s="10"/>
      <c r="F40" s="10">
        <v>50</v>
      </c>
      <c r="G40" s="10">
        <f t="shared" si="0"/>
        <v>305850</v>
      </c>
      <c r="H40" s="16">
        <f t="shared" si="1"/>
        <v>38.869999999999997</v>
      </c>
      <c r="I40" s="15">
        <f t="shared" si="2"/>
        <v>0.14299999999999999</v>
      </c>
      <c r="J40" s="15">
        <f>ROUND(G40/295930-1,2)</f>
        <v>0.03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30010</v>
      </c>
      <c r="G41" s="10">
        <f t="shared" si="0"/>
        <v>30010</v>
      </c>
      <c r="H41" s="16">
        <f t="shared" si="1"/>
        <v>3.81</v>
      </c>
      <c r="I41" s="15">
        <f t="shared" si="2"/>
        <v>1.4E-2</v>
      </c>
      <c r="J41" s="15">
        <f>ROUND(G41/63115-1,2)</f>
        <v>-0.52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80140</v>
      </c>
      <c r="F42" s="10"/>
      <c r="G42" s="10">
        <f t="shared" si="0"/>
        <v>80140</v>
      </c>
      <c r="H42" s="16">
        <f t="shared" si="1"/>
        <v>10.18</v>
      </c>
      <c r="I42" s="15">
        <f t="shared" si="2"/>
        <v>3.7999999999999999E-2</v>
      </c>
      <c r="J42" s="15">
        <f>ROUND(G42/67160-1,2)</f>
        <v>0.19</v>
      </c>
    </row>
    <row r="43" spans="1:10" x14ac:dyDescent="0.25">
      <c r="A43" s="1" t="s">
        <v>48</v>
      </c>
      <c r="B43" s="1" t="s">
        <v>51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ROUND(G43/29-1,2)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ROUND(G45/1130-1,2)</f>
        <v>-1</v>
      </c>
    </row>
    <row r="46" spans="1:10" x14ac:dyDescent="0.25">
      <c r="A46" s="1" t="s">
        <v>48</v>
      </c>
      <c r="B46" s="1" t="s">
        <v>49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ROUND(G46/20-1,2)</f>
        <v>-1</v>
      </c>
    </row>
    <row r="47" spans="1:10" x14ac:dyDescent="0.25">
      <c r="A47" s="23" t="s">
        <v>12</v>
      </c>
      <c r="B47" s="23"/>
      <c r="C47" s="11">
        <f t="shared" ref="C47:H47" si="3">SUM(C8:C46)</f>
        <v>1352790</v>
      </c>
      <c r="D47" s="11">
        <f t="shared" si="3"/>
        <v>407</v>
      </c>
      <c r="E47" s="11">
        <f t="shared" si="3"/>
        <v>736701</v>
      </c>
      <c r="F47" s="11">
        <f t="shared" si="3"/>
        <v>44000</v>
      </c>
      <c r="G47" s="11">
        <f t="shared" si="3"/>
        <v>2133898</v>
      </c>
      <c r="H47" s="14">
        <f t="shared" si="3"/>
        <v>271.19</v>
      </c>
      <c r="I47" s="17"/>
      <c r="J47" s="17"/>
    </row>
    <row r="48" spans="1:10" x14ac:dyDescent="0.25">
      <c r="A48" s="23" t="s">
        <v>14</v>
      </c>
      <c r="B48" s="23"/>
      <c r="C48" s="12">
        <f>ROUND(C47/G47,2)</f>
        <v>0.63</v>
      </c>
      <c r="D48" s="12">
        <f>ROUND(D47/G47,2)</f>
        <v>0</v>
      </c>
      <c r="E48" s="12">
        <f>ROUND(E47/G47,2)</f>
        <v>0.35</v>
      </c>
      <c r="F48" s="12">
        <f>ROUND(F47/G47,2)</f>
        <v>0.02</v>
      </c>
      <c r="G48" s="13"/>
      <c r="H48" s="13"/>
      <c r="I48" s="17"/>
      <c r="J48" s="17"/>
    </row>
    <row r="49" spans="1:10" x14ac:dyDescent="0.25">
      <c r="A49" s="2" t="s">
        <v>52</v>
      </c>
      <c r="B49" s="2"/>
      <c r="C49" s="13"/>
      <c r="D49" s="13"/>
      <c r="E49" s="13"/>
      <c r="F49" s="13"/>
      <c r="G49" s="13"/>
      <c r="H49" s="13"/>
      <c r="I49" s="17"/>
      <c r="J49" s="17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53</v>
      </c>
      <c r="B53" s="23"/>
      <c r="C53" s="11" t="s">
        <v>8</v>
      </c>
      <c r="D53" s="11" t="s">
        <v>9</v>
      </c>
      <c r="E53" s="11" t="s">
        <v>10</v>
      </c>
      <c r="F53" s="11" t="s">
        <v>11</v>
      </c>
      <c r="G53" s="11" t="s">
        <v>12</v>
      </c>
      <c r="H53" s="14" t="s">
        <v>13</v>
      </c>
      <c r="I53" s="17"/>
      <c r="J53" s="17"/>
    </row>
    <row r="54" spans="1:10" x14ac:dyDescent="0.25">
      <c r="A54" s="22" t="s">
        <v>54</v>
      </c>
      <c r="B54" s="22"/>
      <c r="C54" s="10">
        <v>1046990</v>
      </c>
      <c r="D54" s="10">
        <v>407</v>
      </c>
      <c r="E54" s="10">
        <v>656561</v>
      </c>
      <c r="F54" s="10">
        <v>13940</v>
      </c>
      <c r="G54" s="10">
        <f>SUM(C54:F54)</f>
        <v>1717898</v>
      </c>
      <c r="H54" s="16">
        <f>ROUND(G54/7869,2)</f>
        <v>218.31</v>
      </c>
      <c r="I54" s="9"/>
      <c r="J54" s="9"/>
    </row>
    <row r="55" spans="1:10" x14ac:dyDescent="0.25">
      <c r="A55" s="22" t="s">
        <v>55</v>
      </c>
      <c r="B55" s="22"/>
      <c r="C55" s="10">
        <v>305800</v>
      </c>
      <c r="D55" s="10">
        <v>0</v>
      </c>
      <c r="E55" s="10">
        <v>80140</v>
      </c>
      <c r="F55" s="10">
        <v>30060</v>
      </c>
      <c r="G55" s="10">
        <f>SUM(C55:F55)</f>
        <v>416000</v>
      </c>
      <c r="H55" s="16">
        <f>ROUND(G55/7869,2)</f>
        <v>52.87</v>
      </c>
      <c r="I55" s="9"/>
      <c r="J55" s="9"/>
    </row>
    <row r="56" spans="1:10" x14ac:dyDescent="0.25">
      <c r="A56" s="22" t="s">
        <v>56</v>
      </c>
      <c r="B56" s="22"/>
      <c r="C56" s="10">
        <v>0</v>
      </c>
      <c r="D56" s="10">
        <v>0</v>
      </c>
      <c r="E56" s="10">
        <v>0</v>
      </c>
      <c r="F56" s="10">
        <v>0</v>
      </c>
      <c r="G56" s="10">
        <f>SUM(C56:F56)</f>
        <v>0</v>
      </c>
      <c r="H56" s="16">
        <f>ROUND(G56/7869,2)</f>
        <v>0</v>
      </c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57</v>
      </c>
      <c r="B61" s="23"/>
      <c r="C61" s="14" t="s">
        <v>2</v>
      </c>
      <c r="D61" s="14">
        <v>2023</v>
      </c>
      <c r="E61" s="14" t="s">
        <v>59</v>
      </c>
      <c r="F61" s="13"/>
      <c r="G61" s="14" t="s">
        <v>60</v>
      </c>
      <c r="H61" s="14" t="s">
        <v>2</v>
      </c>
      <c r="I61" s="12" t="s">
        <v>61</v>
      </c>
      <c r="J61" s="12" t="s">
        <v>59</v>
      </c>
    </row>
    <row r="62" spans="1:10" x14ac:dyDescent="0.25">
      <c r="A62" s="22" t="s">
        <v>58</v>
      </c>
      <c r="B62" s="22"/>
      <c r="C62" s="15">
        <f>ROUND(0.845, 4)</f>
        <v>0.84499999999999997</v>
      </c>
      <c r="D62" s="15">
        <f>ROUND(0.8445, 4)</f>
        <v>0.84450000000000003</v>
      </c>
      <c r="E62" s="15">
        <f>ROUND(0.777, 4)</f>
        <v>0.77700000000000002</v>
      </c>
      <c r="F62" s="8"/>
      <c r="G62" s="14" t="s">
        <v>62</v>
      </c>
      <c r="H62" s="26" t="s">
        <v>63</v>
      </c>
      <c r="I62" s="24" t="s">
        <v>64</v>
      </c>
      <c r="J62" s="24" t="s">
        <v>65</v>
      </c>
    </row>
    <row r="63" spans="1:10" x14ac:dyDescent="0.25">
      <c r="A63" s="22" t="s">
        <v>66</v>
      </c>
      <c r="B63" s="22"/>
      <c r="C63" s="15">
        <f>ROUND(0.8331, 4)</f>
        <v>0.83309999999999995</v>
      </c>
      <c r="D63" s="15">
        <f>ROUND(0.8321, 4)</f>
        <v>0.83209999999999995</v>
      </c>
      <c r="E63" s="15">
        <f>ROUND(0.7608, 4)</f>
        <v>0.76080000000000003</v>
      </c>
      <c r="F63" s="8"/>
      <c r="G63" s="14" t="s">
        <v>67</v>
      </c>
      <c r="H63" s="27"/>
      <c r="I63" s="25"/>
      <c r="J63" s="25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68</v>
      </c>
      <c r="B67" s="23"/>
      <c r="C67" s="14" t="s">
        <v>2</v>
      </c>
      <c r="D67" s="14" t="s">
        <v>117</v>
      </c>
      <c r="E67" s="14" t="s">
        <v>70</v>
      </c>
      <c r="F67" s="14" t="s">
        <v>71</v>
      </c>
      <c r="G67" s="14" t="s">
        <v>72</v>
      </c>
      <c r="H67" s="13"/>
      <c r="I67" s="17"/>
      <c r="J67" s="17"/>
    </row>
    <row r="68" spans="1:10" x14ac:dyDescent="0.25">
      <c r="A68" s="22" t="s">
        <v>73</v>
      </c>
      <c r="B68" s="22"/>
      <c r="C68" s="16">
        <v>38.869999999999997</v>
      </c>
      <c r="D68" s="16">
        <v>47.46</v>
      </c>
      <c r="E68" s="16">
        <v>89.58</v>
      </c>
      <c r="F68" s="16">
        <v>53.73</v>
      </c>
      <c r="G68" s="16">
        <f>12/9*C68</f>
        <v>51.826666666666661</v>
      </c>
      <c r="H68" s="8"/>
      <c r="I68" s="9"/>
      <c r="J68" s="9"/>
    </row>
    <row r="69" spans="1:10" x14ac:dyDescent="0.25">
      <c r="A69" s="22" t="s">
        <v>74</v>
      </c>
      <c r="B69" s="22"/>
      <c r="C69" s="16">
        <v>49</v>
      </c>
      <c r="D69" s="16">
        <v>63.61</v>
      </c>
      <c r="E69" s="16">
        <v>60.32</v>
      </c>
      <c r="F69" s="16">
        <v>61.62</v>
      </c>
      <c r="G69" s="16">
        <f>12/9*C69</f>
        <v>65.333333333333329</v>
      </c>
      <c r="H69" s="8"/>
      <c r="I69" s="9"/>
      <c r="J69" s="9"/>
    </row>
    <row r="70" spans="1:10" x14ac:dyDescent="0.25">
      <c r="A70" s="22" t="s">
        <v>75</v>
      </c>
      <c r="B70" s="22"/>
      <c r="C70" s="16">
        <v>218.31</v>
      </c>
      <c r="D70" s="16">
        <v>249.92</v>
      </c>
      <c r="E70" s="16">
        <v>282.8</v>
      </c>
      <c r="F70" s="16">
        <v>273.33</v>
      </c>
      <c r="G70" s="16">
        <f>12/9*C70</f>
        <v>291.08</v>
      </c>
      <c r="H70" s="8"/>
      <c r="I70" s="9"/>
      <c r="J70" s="9"/>
    </row>
    <row r="71" spans="1:10" x14ac:dyDescent="0.25">
      <c r="A71" s="22" t="s">
        <v>76</v>
      </c>
      <c r="B71" s="22"/>
      <c r="C71" s="16">
        <v>52.87</v>
      </c>
      <c r="D71" s="16">
        <v>65.5</v>
      </c>
      <c r="E71" s="16">
        <v>112.72</v>
      </c>
      <c r="F71" s="16">
        <v>76.52</v>
      </c>
      <c r="G71" s="16">
        <f>12/9*C71</f>
        <v>70.493333333333325</v>
      </c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4" spans="1:10" x14ac:dyDescent="0.25">
      <c r="A74" s="21" t="s">
        <v>60</v>
      </c>
      <c r="B74" s="28"/>
    </row>
    <row r="75" spans="1:10" x14ac:dyDescent="0.25">
      <c r="A75" s="3" t="s">
        <v>77</v>
      </c>
      <c r="B75" s="1" t="s">
        <v>118</v>
      </c>
    </row>
    <row r="76" spans="1:10" x14ac:dyDescent="0.25">
      <c r="A76" s="3" t="s">
        <v>70</v>
      </c>
      <c r="B76" s="1" t="s">
        <v>79</v>
      </c>
    </row>
    <row r="77" spans="1:10" x14ac:dyDescent="0.25">
      <c r="A77" s="3" t="s">
        <v>71</v>
      </c>
      <c r="B77" s="1" t="s">
        <v>80</v>
      </c>
    </row>
    <row r="78" spans="1:10" x14ac:dyDescent="0.25">
      <c r="A78" s="3" t="s">
        <v>72</v>
      </c>
      <c r="B78" s="1" t="s">
        <v>81</v>
      </c>
    </row>
  </sheetData>
  <mergeCells count="19">
    <mergeCell ref="A69:B69"/>
    <mergeCell ref="A70:B70"/>
    <mergeCell ref="A71:B71"/>
    <mergeCell ref="A74:B74"/>
    <mergeCell ref="I62:I63"/>
    <mergeCell ref="J62:J63"/>
    <mergeCell ref="A63:B63"/>
    <mergeCell ref="A67:B67"/>
    <mergeCell ref="A68:B68"/>
    <mergeCell ref="A55:B55"/>
    <mergeCell ref="A56:B56"/>
    <mergeCell ref="A61:B61"/>
    <mergeCell ref="A62:B62"/>
    <mergeCell ref="H62:H63"/>
    <mergeCell ref="C7:G7"/>
    <mergeCell ref="A47:B47"/>
    <mergeCell ref="A48:B48"/>
    <mergeCell ref="A53:B53"/>
    <mergeCell ref="A54:B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3"/>
  <dimension ref="A2:J72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3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119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955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32</v>
      </c>
      <c r="F9" s="10"/>
      <c r="G9" s="10">
        <f t="shared" ref="G9:G40" si="0">SUM(C9:F9)</f>
        <v>32</v>
      </c>
      <c r="H9" s="16">
        <f t="shared" ref="H9:H40" si="1">ROUND(G9/955,2)</f>
        <v>0.03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3034</v>
      </c>
      <c r="F10" s="10"/>
      <c r="G10" s="10">
        <f t="shared" si="0"/>
        <v>3034</v>
      </c>
      <c r="H10" s="16">
        <f t="shared" si="1"/>
        <v>3.18</v>
      </c>
      <c r="I10" s="15">
        <f t="shared" si="2"/>
        <v>0.01</v>
      </c>
      <c r="J10" s="15"/>
    </row>
    <row r="11" spans="1:10" x14ac:dyDescent="0.25">
      <c r="A11" s="1" t="s">
        <v>16</v>
      </c>
      <c r="B11" s="1" t="s">
        <v>19</v>
      </c>
      <c r="C11" s="10">
        <v>24500</v>
      </c>
      <c r="D11" s="10"/>
      <c r="E11" s="10">
        <v>5296</v>
      </c>
      <c r="F11" s="10"/>
      <c r="G11" s="10">
        <f t="shared" si="0"/>
        <v>29796</v>
      </c>
      <c r="H11" s="16">
        <f t="shared" si="1"/>
        <v>31.2</v>
      </c>
      <c r="I11" s="15">
        <f t="shared" si="2"/>
        <v>9.7000000000000003E-2</v>
      </c>
      <c r="J11" s="15">
        <f>ROUND(G11/25906.85-1,2)</f>
        <v>0.15</v>
      </c>
    </row>
    <row r="12" spans="1:10" x14ac:dyDescent="0.25">
      <c r="A12" s="1" t="s">
        <v>16</v>
      </c>
      <c r="B12" s="1" t="s">
        <v>20</v>
      </c>
      <c r="C12" s="10">
        <v>31785</v>
      </c>
      <c r="D12" s="10"/>
      <c r="E12" s="10"/>
      <c r="F12" s="10"/>
      <c r="G12" s="10">
        <f t="shared" si="0"/>
        <v>31785</v>
      </c>
      <c r="H12" s="16">
        <f t="shared" si="1"/>
        <v>33.28</v>
      </c>
      <c r="I12" s="15">
        <f t="shared" si="2"/>
        <v>0.10299999999999999</v>
      </c>
      <c r="J12" s="15">
        <f>ROUND(G12/37286.11-1,2)</f>
        <v>-0.15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93</v>
      </c>
      <c r="F13" s="10"/>
      <c r="G13" s="10">
        <f t="shared" si="0"/>
        <v>93</v>
      </c>
      <c r="H13" s="16">
        <f t="shared" si="1"/>
        <v>0.1</v>
      </c>
      <c r="I13" s="15">
        <f t="shared" si="2"/>
        <v>0</v>
      </c>
      <c r="J13" s="15">
        <f>ROUND(G13/10.38-1,2)</f>
        <v>7.96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584</v>
      </c>
      <c r="F14" s="10"/>
      <c r="G14" s="10">
        <f t="shared" si="0"/>
        <v>584</v>
      </c>
      <c r="H14" s="16">
        <f t="shared" si="1"/>
        <v>0.61</v>
      </c>
      <c r="I14" s="15">
        <f t="shared" si="2"/>
        <v>2E-3</v>
      </c>
      <c r="J14" s="15">
        <f>ROUND(G14/156.25-1,2)</f>
        <v>2.74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23425</v>
      </c>
      <c r="F15" s="10"/>
      <c r="G15" s="10">
        <f t="shared" si="0"/>
        <v>23425</v>
      </c>
      <c r="H15" s="16">
        <f t="shared" si="1"/>
        <v>24.53</v>
      </c>
      <c r="I15" s="15">
        <f t="shared" si="2"/>
        <v>7.5999999999999998E-2</v>
      </c>
      <c r="J15" s="15">
        <f>ROUND(G15/14471.28-1,2)</f>
        <v>0.62</v>
      </c>
    </row>
    <row r="16" spans="1:10" x14ac:dyDescent="0.25">
      <c r="A16" s="1" t="s">
        <v>16</v>
      </c>
      <c r="B16" s="1" t="s">
        <v>24</v>
      </c>
      <c r="C16" s="10">
        <v>26610</v>
      </c>
      <c r="D16" s="10"/>
      <c r="E16" s="10">
        <v>12548</v>
      </c>
      <c r="F16" s="10"/>
      <c r="G16" s="10">
        <f t="shared" si="0"/>
        <v>39158</v>
      </c>
      <c r="H16" s="16">
        <f t="shared" si="1"/>
        <v>41</v>
      </c>
      <c r="I16" s="15">
        <f t="shared" si="2"/>
        <v>0.128</v>
      </c>
      <c r="J16" s="15">
        <f>ROUND(G16/32968.82-1,2)</f>
        <v>0.19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1414</v>
      </c>
      <c r="F17" s="10"/>
      <c r="G17" s="10">
        <f t="shared" si="0"/>
        <v>1414</v>
      </c>
      <c r="H17" s="16">
        <f t="shared" si="1"/>
        <v>1.48</v>
      </c>
      <c r="I17" s="15">
        <f t="shared" si="2"/>
        <v>5.0000000000000001E-3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35230</v>
      </c>
      <c r="D18" s="10"/>
      <c r="E18" s="10"/>
      <c r="F18" s="10"/>
      <c r="G18" s="10">
        <f t="shared" si="0"/>
        <v>35230</v>
      </c>
      <c r="H18" s="16">
        <f t="shared" si="1"/>
        <v>36.89</v>
      </c>
      <c r="I18" s="15">
        <f t="shared" si="2"/>
        <v>0.115</v>
      </c>
      <c r="J18" s="15">
        <f>ROUND(G18/35830-1,2)</f>
        <v>-0.02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174</v>
      </c>
      <c r="F19" s="10"/>
      <c r="G19" s="10">
        <f t="shared" si="0"/>
        <v>174</v>
      </c>
      <c r="H19" s="16">
        <f t="shared" si="1"/>
        <v>0.18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86</v>
      </c>
      <c r="F20" s="10"/>
      <c r="G20" s="10">
        <f t="shared" si="0"/>
        <v>86</v>
      </c>
      <c r="H20" s="16">
        <f t="shared" si="1"/>
        <v>0.09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486</v>
      </c>
      <c r="F21" s="10"/>
      <c r="G21" s="10">
        <f t="shared" si="0"/>
        <v>486</v>
      </c>
      <c r="H21" s="16">
        <f t="shared" si="1"/>
        <v>0.51</v>
      </c>
      <c r="I21" s="15">
        <f t="shared" si="2"/>
        <v>2E-3</v>
      </c>
      <c r="J21" s="15">
        <f>ROUND(G21/431.82-1,2)</f>
        <v>0.13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343</v>
      </c>
      <c r="F22" s="10"/>
      <c r="G22" s="10">
        <f t="shared" si="0"/>
        <v>343</v>
      </c>
      <c r="H22" s="16">
        <f t="shared" si="1"/>
        <v>0.36</v>
      </c>
      <c r="I22" s="15">
        <f t="shared" si="2"/>
        <v>1E-3</v>
      </c>
      <c r="J22" s="15">
        <f>ROUND(G22/118.46-1,2)</f>
        <v>1.9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113</v>
      </c>
      <c r="F23" s="10"/>
      <c r="G23" s="10">
        <f t="shared" si="0"/>
        <v>113</v>
      </c>
      <c r="H23" s="16">
        <f t="shared" si="1"/>
        <v>0.12</v>
      </c>
      <c r="I23" s="15">
        <f t="shared" si="2"/>
        <v>0</v>
      </c>
      <c r="J23" s="15">
        <f>ROUND(G23/16.48-1,2)</f>
        <v>5.86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392</v>
      </c>
      <c r="F24" s="10"/>
      <c r="G24" s="10">
        <f t="shared" si="0"/>
        <v>392</v>
      </c>
      <c r="H24" s="16">
        <f t="shared" si="1"/>
        <v>0.41</v>
      </c>
      <c r="I24" s="15">
        <f t="shared" si="2"/>
        <v>1E-3</v>
      </c>
      <c r="J24" s="15">
        <f>ROUND(G24/742.88-1,2)</f>
        <v>-0.47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133</v>
      </c>
      <c r="F25" s="10"/>
      <c r="G25" s="10">
        <f t="shared" si="0"/>
        <v>133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410</v>
      </c>
      <c r="F26" s="10"/>
      <c r="G26" s="10">
        <f t="shared" si="0"/>
        <v>410</v>
      </c>
      <c r="H26" s="16">
        <f t="shared" si="1"/>
        <v>0.43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190</v>
      </c>
      <c r="F27" s="10"/>
      <c r="G27" s="10">
        <f t="shared" si="0"/>
        <v>190</v>
      </c>
      <c r="H27" s="16">
        <f t="shared" si="1"/>
        <v>0.2</v>
      </c>
      <c r="I27" s="15">
        <f t="shared" si="2"/>
        <v>1E-3</v>
      </c>
      <c r="J27" s="15">
        <f>ROUND(G27/20.66-1,2)</f>
        <v>8.1999999999999993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107</v>
      </c>
      <c r="F28" s="10"/>
      <c r="G28" s="10">
        <f t="shared" si="0"/>
        <v>107</v>
      </c>
      <c r="H28" s="16">
        <f t="shared" si="1"/>
        <v>0.11</v>
      </c>
      <c r="I28" s="15">
        <f t="shared" si="2"/>
        <v>0</v>
      </c>
      <c r="J28" s="15">
        <f>ROUND(G28/702.45-1,2)</f>
        <v>-0.85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27083</v>
      </c>
      <c r="F29" s="10"/>
      <c r="G29" s="10">
        <f t="shared" si="0"/>
        <v>27083</v>
      </c>
      <c r="H29" s="16">
        <f t="shared" si="1"/>
        <v>28.36</v>
      </c>
      <c r="I29" s="15">
        <f t="shared" si="2"/>
        <v>8.7999999999999995E-2</v>
      </c>
      <c r="J29" s="15">
        <f>ROUND(G29/8165.47-1,2)</f>
        <v>2.3199999999999998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2252</v>
      </c>
      <c r="F30" s="10"/>
      <c r="G30" s="10">
        <f t="shared" si="0"/>
        <v>2252</v>
      </c>
      <c r="H30" s="16">
        <f t="shared" si="1"/>
        <v>2.36</v>
      </c>
      <c r="I30" s="15">
        <f t="shared" si="2"/>
        <v>7.0000000000000001E-3</v>
      </c>
      <c r="J30" s="15">
        <f>ROUND(G30/1100.26-1,2)</f>
        <v>1.05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8522</v>
      </c>
      <c r="F31" s="10"/>
      <c r="G31" s="10">
        <f t="shared" si="0"/>
        <v>8522</v>
      </c>
      <c r="H31" s="16">
        <f t="shared" si="1"/>
        <v>8.92</v>
      </c>
      <c r="I31" s="15">
        <f t="shared" si="2"/>
        <v>2.8000000000000001E-2</v>
      </c>
      <c r="J31" s="15">
        <f>ROUND(G31/4485.29-1,2)</f>
        <v>0.9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17508</v>
      </c>
      <c r="F32" s="10"/>
      <c r="G32" s="10">
        <f t="shared" si="0"/>
        <v>17508</v>
      </c>
      <c r="H32" s="16">
        <f t="shared" si="1"/>
        <v>18.329999999999998</v>
      </c>
      <c r="I32" s="15">
        <f t="shared" si="2"/>
        <v>5.7000000000000002E-2</v>
      </c>
      <c r="J32" s="15">
        <f>ROUND(G32/7987-1,2)</f>
        <v>1.19</v>
      </c>
    </row>
    <row r="33" spans="1:10" x14ac:dyDescent="0.25">
      <c r="A33" s="1" t="s">
        <v>16</v>
      </c>
      <c r="B33" s="1" t="s">
        <v>37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ROUND(G33/617.96-1,2)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ROUND(G34/25.87-1,2)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65310</v>
      </c>
      <c r="D36" s="10"/>
      <c r="E36" s="10"/>
      <c r="F36" s="10"/>
      <c r="G36" s="10">
        <f t="shared" si="0"/>
        <v>65310</v>
      </c>
      <c r="H36" s="16">
        <f t="shared" si="1"/>
        <v>68.39</v>
      </c>
      <c r="I36" s="15">
        <f t="shared" si="2"/>
        <v>0.21299999999999999</v>
      </c>
      <c r="J36" s="15">
        <f>ROUND(G36/57240-1,2)</f>
        <v>0.14000000000000001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19461</v>
      </c>
      <c r="F37" s="10"/>
      <c r="G37" s="10">
        <f t="shared" si="0"/>
        <v>19461</v>
      </c>
      <c r="H37" s="16">
        <f t="shared" si="1"/>
        <v>20.38</v>
      </c>
      <c r="I37" s="15">
        <f t="shared" si="2"/>
        <v>6.3E-2</v>
      </c>
      <c r="J37" s="15">
        <f>ROUND(G37/10787.89-1,2)</f>
        <v>0.8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3" t="s">
        <v>12</v>
      </c>
      <c r="B41" s="23"/>
      <c r="C41" s="11">
        <f t="shared" ref="C41:H41" si="3">SUM(C8:C40)</f>
        <v>183435</v>
      </c>
      <c r="D41" s="11">
        <f t="shared" si="3"/>
        <v>0</v>
      </c>
      <c r="E41" s="11">
        <f t="shared" si="3"/>
        <v>123686</v>
      </c>
      <c r="F41" s="11">
        <f t="shared" si="3"/>
        <v>0</v>
      </c>
      <c r="G41" s="11">
        <f t="shared" si="3"/>
        <v>307121</v>
      </c>
      <c r="H41" s="14">
        <f t="shared" si="3"/>
        <v>321.59000000000003</v>
      </c>
      <c r="I41" s="17"/>
      <c r="J41" s="17"/>
    </row>
    <row r="42" spans="1:10" x14ac:dyDescent="0.25">
      <c r="A42" s="23" t="s">
        <v>14</v>
      </c>
      <c r="B42" s="23"/>
      <c r="C42" s="12">
        <f>ROUND(C41/G41,2)</f>
        <v>0.6</v>
      </c>
      <c r="D42" s="12">
        <f>ROUND(D41/G41,2)</f>
        <v>0</v>
      </c>
      <c r="E42" s="12">
        <f>ROUND(E41/G41,2)</f>
        <v>0.4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53</v>
      </c>
      <c r="B47" s="23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118125</v>
      </c>
      <c r="D48" s="10">
        <v>0</v>
      </c>
      <c r="E48" s="10">
        <v>104225</v>
      </c>
      <c r="F48" s="10">
        <v>0</v>
      </c>
      <c r="G48" s="10">
        <f>SUM(C48:F48)</f>
        <v>222350</v>
      </c>
      <c r="H48" s="16">
        <f>ROUND(G48/955,2)</f>
        <v>232.83</v>
      </c>
      <c r="I48" s="9"/>
      <c r="J48" s="9"/>
    </row>
    <row r="49" spans="1:10" x14ac:dyDescent="0.25">
      <c r="A49" s="22" t="s">
        <v>55</v>
      </c>
      <c r="B49" s="22"/>
      <c r="C49" s="10">
        <v>65310</v>
      </c>
      <c r="D49" s="10">
        <v>0</v>
      </c>
      <c r="E49" s="10">
        <v>19461</v>
      </c>
      <c r="F49" s="10">
        <v>0</v>
      </c>
      <c r="G49" s="10">
        <f>SUM(C49:F49)</f>
        <v>84771</v>
      </c>
      <c r="H49" s="16">
        <f>ROUND(G49/955,2)</f>
        <v>88.77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ROUND(G50/955,2)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57</v>
      </c>
      <c r="B55" s="23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ROUND(0.7619, 4)</f>
        <v>0.76190000000000002</v>
      </c>
      <c r="D56" s="15">
        <f>ROUND(0.7195, 4)</f>
        <v>0.71950000000000003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4" t="s">
        <v>64</v>
      </c>
      <c r="J56" s="24" t="s">
        <v>65</v>
      </c>
    </row>
    <row r="57" spans="1:10" x14ac:dyDescent="0.25">
      <c r="A57" s="22" t="s">
        <v>66</v>
      </c>
      <c r="B57" s="22"/>
      <c r="C57" s="15">
        <f>ROUND(0.7228, 4)</f>
        <v>0.7228</v>
      </c>
      <c r="D57" s="15">
        <f>ROUND(0.6757, 4)</f>
        <v>0.67569999999999997</v>
      </c>
      <c r="E57" s="15">
        <f>ROUND(0.7608, 4)</f>
        <v>0.76080000000000003</v>
      </c>
      <c r="F57" s="8"/>
      <c r="G57" s="14" t="s">
        <v>67</v>
      </c>
      <c r="H57" s="27"/>
      <c r="I57" s="25"/>
      <c r="J57" s="25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68</v>
      </c>
      <c r="B61" s="23"/>
      <c r="C61" s="14" t="s">
        <v>2</v>
      </c>
      <c r="D61" s="14" t="s">
        <v>121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68.39</v>
      </c>
      <c r="D62" s="16">
        <v>78.099999999999994</v>
      </c>
      <c r="E62" s="16">
        <v>89.58</v>
      </c>
      <c r="F62" s="16">
        <v>53.73</v>
      </c>
      <c r="G62" s="16">
        <f>12/9*C62</f>
        <v>91.186666666666667</v>
      </c>
      <c r="H62" s="8"/>
      <c r="I62" s="9"/>
      <c r="J62" s="9"/>
    </row>
    <row r="63" spans="1:10" x14ac:dyDescent="0.25">
      <c r="A63" s="22" t="s">
        <v>74</v>
      </c>
      <c r="B63" s="22"/>
      <c r="C63" s="16">
        <v>36.89</v>
      </c>
      <c r="D63" s="16">
        <v>45.68</v>
      </c>
      <c r="E63" s="16">
        <v>60.32</v>
      </c>
      <c r="F63" s="16">
        <v>61.62</v>
      </c>
      <c r="G63" s="16">
        <f>12/9*C63</f>
        <v>49.186666666666667</v>
      </c>
      <c r="H63" s="8"/>
      <c r="I63" s="9"/>
      <c r="J63" s="9"/>
    </row>
    <row r="64" spans="1:10" x14ac:dyDescent="0.25">
      <c r="A64" s="22" t="s">
        <v>75</v>
      </c>
      <c r="B64" s="22"/>
      <c r="C64" s="16">
        <v>232.83</v>
      </c>
      <c r="D64" s="16">
        <v>249.05</v>
      </c>
      <c r="E64" s="16">
        <v>282.8</v>
      </c>
      <c r="F64" s="16">
        <v>273.33</v>
      </c>
      <c r="G64" s="16">
        <f>12/9*C64</f>
        <v>310.44</v>
      </c>
      <c r="H64" s="8"/>
      <c r="I64" s="9"/>
      <c r="J64" s="9"/>
    </row>
    <row r="65" spans="1:10" x14ac:dyDescent="0.25">
      <c r="A65" s="22" t="s">
        <v>76</v>
      </c>
      <c r="B65" s="22"/>
      <c r="C65" s="16">
        <v>88.77</v>
      </c>
      <c r="D65" s="16">
        <v>97.48</v>
      </c>
      <c r="E65" s="16">
        <v>112.72</v>
      </c>
      <c r="F65" s="16">
        <v>76.52</v>
      </c>
      <c r="G65" s="16">
        <f>12/9*C65</f>
        <v>118.35999999999999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8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122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/>
  <dimension ref="A2:J8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640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</v>
      </c>
      <c r="F9" s="10"/>
      <c r="G9" s="10">
        <f t="shared" ref="G9:G39" si="0">SUM(C9:F9)</f>
        <v>13</v>
      </c>
      <c r="H9" s="16">
        <f t="shared" ref="H9:H39" si="1">ROUND(G9/640,2)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10840</v>
      </c>
      <c r="D10" s="10"/>
      <c r="E10" s="10">
        <v>2207</v>
      </c>
      <c r="F10" s="10"/>
      <c r="G10" s="10">
        <f t="shared" si="0"/>
        <v>13047</v>
      </c>
      <c r="H10" s="16">
        <f t="shared" si="1"/>
        <v>20.39</v>
      </c>
      <c r="I10" s="15">
        <f t="shared" si="2"/>
        <v>7.3999999999999996E-2</v>
      </c>
      <c r="J10" s="15">
        <f>ROUND(G10/11931.55-1,2)</f>
        <v>0.09</v>
      </c>
    </row>
    <row r="11" spans="1:10" x14ac:dyDescent="0.25">
      <c r="A11" s="1" t="s">
        <v>16</v>
      </c>
      <c r="B11" s="1" t="s">
        <v>20</v>
      </c>
      <c r="C11" s="10">
        <v>16135</v>
      </c>
      <c r="D11" s="10"/>
      <c r="E11" s="10"/>
      <c r="F11" s="10"/>
      <c r="G11" s="10">
        <f t="shared" si="0"/>
        <v>16135</v>
      </c>
      <c r="H11" s="16">
        <f t="shared" si="1"/>
        <v>25.21</v>
      </c>
      <c r="I11" s="15">
        <f t="shared" si="2"/>
        <v>9.0999999999999998E-2</v>
      </c>
      <c r="J11" s="15">
        <f>ROUND(G11/12945-1,2)</f>
        <v>0.25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0.1</v>
      </c>
      <c r="I12" s="15">
        <f t="shared" si="2"/>
        <v>0</v>
      </c>
      <c r="J12" s="15">
        <f>ROUND(G12/35.4-1,2)</f>
        <v>0.75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458</v>
      </c>
      <c r="F13" s="10"/>
      <c r="G13" s="10">
        <f t="shared" si="0"/>
        <v>458</v>
      </c>
      <c r="H13" s="16">
        <f t="shared" si="1"/>
        <v>0.72</v>
      </c>
      <c r="I13" s="15">
        <f t="shared" si="2"/>
        <v>3.0000000000000001E-3</v>
      </c>
      <c r="J13" s="15">
        <f>ROUND(G13/285.71-1,2)</f>
        <v>0.6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20847</v>
      </c>
      <c r="F14" s="10"/>
      <c r="G14" s="10">
        <f t="shared" si="0"/>
        <v>20847</v>
      </c>
      <c r="H14" s="16">
        <f t="shared" si="1"/>
        <v>32.57</v>
      </c>
      <c r="I14" s="15">
        <f t="shared" si="2"/>
        <v>0.11799999999999999</v>
      </c>
      <c r="J14" s="15">
        <f>ROUND(G14/13826.77-1,2)</f>
        <v>0.51</v>
      </c>
    </row>
    <row r="15" spans="1:10" x14ac:dyDescent="0.25">
      <c r="A15" s="1" t="s">
        <v>16</v>
      </c>
      <c r="B15" s="1" t="s">
        <v>24</v>
      </c>
      <c r="C15" s="10">
        <v>12420</v>
      </c>
      <c r="D15" s="10"/>
      <c r="E15" s="10">
        <v>7074</v>
      </c>
      <c r="F15" s="10"/>
      <c r="G15" s="10">
        <f t="shared" si="0"/>
        <v>19494</v>
      </c>
      <c r="H15" s="16">
        <f t="shared" si="1"/>
        <v>30.46</v>
      </c>
      <c r="I15" s="15">
        <f t="shared" si="2"/>
        <v>0.11</v>
      </c>
      <c r="J15" s="15">
        <f>ROUND(G15/14349.95-1,2)</f>
        <v>0.36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2044</v>
      </c>
      <c r="F16" s="10"/>
      <c r="G16" s="10">
        <f t="shared" si="0"/>
        <v>2044</v>
      </c>
      <c r="H16" s="16">
        <f t="shared" si="1"/>
        <v>3.19</v>
      </c>
      <c r="I16" s="15">
        <f t="shared" si="2"/>
        <v>1.2E-2</v>
      </c>
      <c r="J16" s="15"/>
    </row>
    <row r="17" spans="1:10" x14ac:dyDescent="0.25">
      <c r="A17" s="1" t="s">
        <v>16</v>
      </c>
      <c r="B17" s="1" t="s">
        <v>26</v>
      </c>
      <c r="C17" s="10">
        <v>11210</v>
      </c>
      <c r="D17" s="10"/>
      <c r="E17" s="10"/>
      <c r="F17" s="10"/>
      <c r="G17" s="10">
        <f t="shared" si="0"/>
        <v>11210</v>
      </c>
      <c r="H17" s="16">
        <f t="shared" si="1"/>
        <v>17.52</v>
      </c>
      <c r="I17" s="15">
        <f t="shared" si="2"/>
        <v>6.3E-2</v>
      </c>
      <c r="J17" s="15">
        <f>ROUND(G17/18980-1,2)</f>
        <v>-0.41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220</v>
      </c>
      <c r="F18" s="10"/>
      <c r="G18" s="10">
        <f t="shared" si="0"/>
        <v>220</v>
      </c>
      <c r="H18" s="16">
        <f t="shared" si="1"/>
        <v>0.34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118</v>
      </c>
      <c r="F19" s="10"/>
      <c r="G19" s="10">
        <f t="shared" si="0"/>
        <v>118</v>
      </c>
      <c r="H19" s="16">
        <f t="shared" si="1"/>
        <v>0.18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34</v>
      </c>
      <c r="F20" s="10"/>
      <c r="G20" s="10">
        <f t="shared" si="0"/>
        <v>34</v>
      </c>
      <c r="H20" s="16">
        <f t="shared" si="1"/>
        <v>0.05</v>
      </c>
      <c r="I20" s="15">
        <f t="shared" si="2"/>
        <v>0</v>
      </c>
      <c r="J20" s="15">
        <f>ROUND(G20/4.9-1,2)</f>
        <v>5.94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413</v>
      </c>
      <c r="F21" s="10"/>
      <c r="G21" s="10">
        <f t="shared" si="0"/>
        <v>413</v>
      </c>
      <c r="H21" s="16">
        <f t="shared" si="1"/>
        <v>0.65</v>
      </c>
      <c r="I21" s="15">
        <f t="shared" si="2"/>
        <v>2E-3</v>
      </c>
      <c r="J21" s="15">
        <f>ROUND(G21/481.98-1,2)</f>
        <v>-0.14000000000000001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119</v>
      </c>
      <c r="F22" s="10"/>
      <c r="G22" s="10">
        <f t="shared" si="0"/>
        <v>119</v>
      </c>
      <c r="H22" s="16">
        <f t="shared" si="1"/>
        <v>0.19</v>
      </c>
      <c r="I22" s="15">
        <f t="shared" si="2"/>
        <v>1E-3</v>
      </c>
      <c r="J22" s="15">
        <f>ROUND(G22/164.03-1,2)</f>
        <v>-0.27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546</v>
      </c>
      <c r="F23" s="10"/>
      <c r="G23" s="10">
        <f t="shared" si="0"/>
        <v>546</v>
      </c>
      <c r="H23" s="16">
        <f t="shared" si="1"/>
        <v>0.85</v>
      </c>
      <c r="I23" s="15">
        <f t="shared" si="2"/>
        <v>3.0000000000000001E-3</v>
      </c>
      <c r="J23" s="15">
        <f>ROUND(G23/362.87-1,2)</f>
        <v>0.5</v>
      </c>
    </row>
    <row r="24" spans="1:10" x14ac:dyDescent="0.25">
      <c r="A24" s="1" t="s">
        <v>16</v>
      </c>
      <c r="B24" s="1" t="s">
        <v>33</v>
      </c>
      <c r="C24" s="10"/>
      <c r="D24" s="10"/>
      <c r="E24" s="10">
        <v>47</v>
      </c>
      <c r="F24" s="10"/>
      <c r="G24" s="10">
        <f t="shared" si="0"/>
        <v>47</v>
      </c>
      <c r="H24" s="16">
        <f t="shared" si="1"/>
        <v>7.0000000000000007E-2</v>
      </c>
      <c r="I24" s="15">
        <f t="shared" si="2"/>
        <v>0</v>
      </c>
      <c r="J24" s="15">
        <f>ROUND(G24/5.45-1,2)</f>
        <v>7.62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69</v>
      </c>
      <c r="F25" s="10"/>
      <c r="G25" s="10">
        <f t="shared" si="0"/>
        <v>69</v>
      </c>
      <c r="H25" s="16">
        <f t="shared" si="1"/>
        <v>0.11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35</v>
      </c>
      <c r="C26" s="10"/>
      <c r="D26" s="10"/>
      <c r="E26" s="10">
        <v>103</v>
      </c>
      <c r="F26" s="10"/>
      <c r="G26" s="10">
        <f t="shared" si="0"/>
        <v>103</v>
      </c>
      <c r="H26" s="16">
        <f t="shared" si="1"/>
        <v>0.16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1286</v>
      </c>
      <c r="F27" s="10"/>
      <c r="G27" s="10">
        <f t="shared" si="0"/>
        <v>1286</v>
      </c>
      <c r="H27" s="16">
        <f t="shared" si="1"/>
        <v>2.0099999999999998</v>
      </c>
      <c r="I27" s="15">
        <f t="shared" si="2"/>
        <v>7.0000000000000001E-3</v>
      </c>
      <c r="J27" s="15">
        <f>ROUND(G27/694.63-1,2)</f>
        <v>0.85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721</v>
      </c>
      <c r="F28" s="10"/>
      <c r="G28" s="10">
        <f t="shared" si="0"/>
        <v>721</v>
      </c>
      <c r="H28" s="16">
        <f t="shared" si="1"/>
        <v>1.1299999999999999</v>
      </c>
      <c r="I28" s="15">
        <f t="shared" si="2"/>
        <v>4.0000000000000001E-3</v>
      </c>
      <c r="J28" s="15"/>
    </row>
    <row r="29" spans="1:10" x14ac:dyDescent="0.25">
      <c r="A29" s="1" t="s">
        <v>16</v>
      </c>
      <c r="B29" s="1" t="s">
        <v>38</v>
      </c>
      <c r="C29" s="10"/>
      <c r="D29" s="10"/>
      <c r="E29" s="10">
        <v>18149</v>
      </c>
      <c r="F29" s="10"/>
      <c r="G29" s="10">
        <f t="shared" si="0"/>
        <v>18149</v>
      </c>
      <c r="H29" s="16">
        <f t="shared" si="1"/>
        <v>28.36</v>
      </c>
      <c r="I29" s="15">
        <f t="shared" si="2"/>
        <v>0.10199999999999999</v>
      </c>
      <c r="J29" s="15">
        <f>ROUND(G29/10144.31-1,2)</f>
        <v>0.79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1523</v>
      </c>
      <c r="F30" s="10"/>
      <c r="G30" s="10">
        <f t="shared" si="0"/>
        <v>1523</v>
      </c>
      <c r="H30" s="16">
        <f t="shared" si="1"/>
        <v>2.38</v>
      </c>
      <c r="I30" s="15">
        <f t="shared" si="2"/>
        <v>8.9999999999999993E-3</v>
      </c>
      <c r="J30" s="15">
        <f>ROUND(G30/550.29-1,2)</f>
        <v>1.77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4676</v>
      </c>
      <c r="F31" s="10"/>
      <c r="G31" s="10">
        <f t="shared" si="0"/>
        <v>4676</v>
      </c>
      <c r="H31" s="16">
        <f t="shared" si="1"/>
        <v>7.31</v>
      </c>
      <c r="I31" s="15">
        <f t="shared" si="2"/>
        <v>2.5999999999999999E-2</v>
      </c>
      <c r="J31" s="15">
        <f>ROUND(G31/3150.74-1,2)</f>
        <v>0.48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5860</v>
      </c>
      <c r="F32" s="10"/>
      <c r="G32" s="10">
        <f t="shared" si="0"/>
        <v>5860</v>
      </c>
      <c r="H32" s="16">
        <f t="shared" si="1"/>
        <v>9.16</v>
      </c>
      <c r="I32" s="15">
        <f t="shared" si="2"/>
        <v>3.3000000000000002E-2</v>
      </c>
      <c r="J32" s="15">
        <f>ROUND(G32/2014.74-1,2)</f>
        <v>1.91</v>
      </c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ROUND(G33/464.09-1,2)</f>
        <v>-1</v>
      </c>
    </row>
    <row r="34" spans="1:10" x14ac:dyDescent="0.25">
      <c r="A34" s="1" t="s">
        <v>16</v>
      </c>
      <c r="B34" s="1" t="s">
        <v>120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49780</v>
      </c>
      <c r="D36" s="10"/>
      <c r="E36" s="10"/>
      <c r="F36" s="10"/>
      <c r="G36" s="10">
        <f t="shared" si="0"/>
        <v>49780</v>
      </c>
      <c r="H36" s="16">
        <f t="shared" si="1"/>
        <v>77.78</v>
      </c>
      <c r="I36" s="15">
        <f t="shared" si="2"/>
        <v>0.28100000000000003</v>
      </c>
      <c r="J36" s="15">
        <f>ROUND(G36/47710-1,2)</f>
        <v>0.04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10381</v>
      </c>
      <c r="F37" s="10"/>
      <c r="G37" s="10">
        <f t="shared" si="0"/>
        <v>10381</v>
      </c>
      <c r="H37" s="16">
        <f t="shared" si="1"/>
        <v>16.22</v>
      </c>
      <c r="I37" s="15">
        <f t="shared" si="2"/>
        <v>5.8999999999999997E-2</v>
      </c>
      <c r="J37" s="15">
        <f>ROUND(G37/5447.32-1,2)</f>
        <v>0.91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100385</v>
      </c>
      <c r="D40" s="11">
        <f t="shared" si="3"/>
        <v>0</v>
      </c>
      <c r="E40" s="11">
        <f t="shared" si="3"/>
        <v>76970</v>
      </c>
      <c r="F40" s="11">
        <f t="shared" si="3"/>
        <v>0</v>
      </c>
      <c r="G40" s="11">
        <f t="shared" si="3"/>
        <v>177355</v>
      </c>
      <c r="H40" s="14">
        <f t="shared" si="3"/>
        <v>277.13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0.56999999999999995</v>
      </c>
      <c r="D41" s="12">
        <f>ROUND(D40/G40,2)</f>
        <v>0</v>
      </c>
      <c r="E41" s="12">
        <f>ROUND(E40/G40,2)</f>
        <v>0.43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50605</v>
      </c>
      <c r="D47" s="10">
        <v>0</v>
      </c>
      <c r="E47" s="10">
        <v>66589</v>
      </c>
      <c r="F47" s="10">
        <v>0</v>
      </c>
      <c r="G47" s="10">
        <f>SUM(C47:F47)</f>
        <v>117194</v>
      </c>
      <c r="H47" s="16">
        <f>ROUND(G47/640,2)</f>
        <v>183.12</v>
      </c>
      <c r="I47" s="9"/>
      <c r="J47" s="9"/>
    </row>
    <row r="48" spans="1:10" x14ac:dyDescent="0.25">
      <c r="A48" s="22" t="s">
        <v>55</v>
      </c>
      <c r="B48" s="22"/>
      <c r="C48" s="10">
        <v>49780</v>
      </c>
      <c r="D48" s="10">
        <v>0</v>
      </c>
      <c r="E48" s="10">
        <v>10381</v>
      </c>
      <c r="F48" s="10">
        <v>0</v>
      </c>
      <c r="G48" s="10">
        <f>SUM(C48:F48)</f>
        <v>60161</v>
      </c>
      <c r="H48" s="16">
        <f>ROUND(G48/640,2)</f>
        <v>94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ROUND(G49/640,2)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ROUND(0.6787, 4)</f>
        <v>0.67869999999999997</v>
      </c>
      <c r="D55" s="15">
        <f>ROUND(0.6018, 4)</f>
        <v>0.6018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ROUND(0.6476, 4)</f>
        <v>0.64759999999999995</v>
      </c>
      <c r="D56" s="15">
        <f>ROUND(0.5671, 4)</f>
        <v>0.56710000000000005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124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77.78</v>
      </c>
      <c r="D61" s="16">
        <v>71.319999999999993</v>
      </c>
      <c r="E61" s="16">
        <v>89.58</v>
      </c>
      <c r="F61" s="16">
        <v>53.73</v>
      </c>
      <c r="G61" s="16">
        <f>12/9*C61</f>
        <v>103.70666666666666</v>
      </c>
      <c r="H61" s="8"/>
      <c r="I61" s="9"/>
      <c r="J61" s="9"/>
    </row>
    <row r="62" spans="1:10" x14ac:dyDescent="0.25">
      <c r="A62" s="22" t="s">
        <v>74</v>
      </c>
      <c r="B62" s="22"/>
      <c r="C62" s="16">
        <v>17.52</v>
      </c>
      <c r="D62" s="16">
        <v>32.950000000000003</v>
      </c>
      <c r="E62" s="16">
        <v>60.32</v>
      </c>
      <c r="F62" s="16">
        <v>61.62</v>
      </c>
      <c r="G62" s="16">
        <f>12/9*C62</f>
        <v>23.36</v>
      </c>
      <c r="H62" s="8"/>
      <c r="I62" s="9"/>
      <c r="J62" s="9"/>
    </row>
    <row r="63" spans="1:10" x14ac:dyDescent="0.25">
      <c r="A63" s="22" t="s">
        <v>75</v>
      </c>
      <c r="B63" s="22"/>
      <c r="C63" s="16">
        <v>183.12</v>
      </c>
      <c r="D63" s="16">
        <v>202.76</v>
      </c>
      <c r="E63" s="16">
        <v>282.8</v>
      </c>
      <c r="F63" s="16">
        <v>273.33</v>
      </c>
      <c r="G63" s="16">
        <f>12/9*C63</f>
        <v>244.16</v>
      </c>
      <c r="H63" s="8"/>
      <c r="I63" s="9"/>
      <c r="J63" s="9"/>
    </row>
    <row r="64" spans="1:10" x14ac:dyDescent="0.25">
      <c r="A64" s="22" t="s">
        <v>76</v>
      </c>
      <c r="B64" s="22"/>
      <c r="C64" s="16">
        <v>94</v>
      </c>
      <c r="D64" s="16">
        <v>88.51</v>
      </c>
      <c r="E64" s="16">
        <v>112.72</v>
      </c>
      <c r="F64" s="16">
        <v>76.52</v>
      </c>
      <c r="G64" s="16">
        <f>12/9*C64</f>
        <v>125.33333333333333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125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5"/>
  <dimension ref="A2:J8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15906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383</v>
      </c>
      <c r="F9" s="10"/>
      <c r="G9" s="10">
        <f t="shared" ref="G9:G48" si="0">SUM(C9:F9)</f>
        <v>383</v>
      </c>
      <c r="H9" s="16">
        <f t="shared" ref="H9:H48" si="1">ROUND(G9/15906,2)</f>
        <v>0.02</v>
      </c>
      <c r="I9" s="15">
        <f t="shared" ref="I9:I48" si="2">ROUND(G9/$G$49,3)</f>
        <v>0</v>
      </c>
      <c r="J9" s="15">
        <f>ROUND(G9/311-1,2)</f>
        <v>0.23</v>
      </c>
    </row>
    <row r="10" spans="1:10" x14ac:dyDescent="0.25">
      <c r="A10" s="1" t="s">
        <v>16</v>
      </c>
      <c r="B10" s="1" t="s">
        <v>19</v>
      </c>
      <c r="C10" s="10">
        <v>355430</v>
      </c>
      <c r="D10" s="10"/>
      <c r="E10" s="10">
        <v>22690</v>
      </c>
      <c r="F10" s="10">
        <v>3880</v>
      </c>
      <c r="G10" s="10">
        <f t="shared" si="0"/>
        <v>382000</v>
      </c>
      <c r="H10" s="16">
        <f t="shared" si="1"/>
        <v>24.02</v>
      </c>
      <c r="I10" s="15">
        <f t="shared" si="2"/>
        <v>6.9000000000000006E-2</v>
      </c>
      <c r="J10" s="15">
        <f>ROUND(G10/374970-1,2)</f>
        <v>0.02</v>
      </c>
    </row>
    <row r="11" spans="1:10" x14ac:dyDescent="0.25">
      <c r="A11" s="1" t="s">
        <v>16</v>
      </c>
      <c r="B11" s="1" t="s">
        <v>20</v>
      </c>
      <c r="C11" s="10">
        <v>485020</v>
      </c>
      <c r="D11" s="10"/>
      <c r="E11" s="10"/>
      <c r="F11" s="10"/>
      <c r="G11" s="10">
        <f t="shared" si="0"/>
        <v>485020</v>
      </c>
      <c r="H11" s="16">
        <f t="shared" si="1"/>
        <v>30.49</v>
      </c>
      <c r="I11" s="15">
        <f t="shared" si="2"/>
        <v>8.6999999999999994E-2</v>
      </c>
      <c r="J11" s="15">
        <f>ROUND(G11/494780-1,2)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355</v>
      </c>
      <c r="F12" s="10"/>
      <c r="G12" s="10">
        <f t="shared" si="0"/>
        <v>355</v>
      </c>
      <c r="H12" s="16">
        <f t="shared" si="1"/>
        <v>0.02</v>
      </c>
      <c r="I12" s="15">
        <f t="shared" si="2"/>
        <v>0</v>
      </c>
      <c r="J12" s="15">
        <f>ROUND(G12/400-1,2)</f>
        <v>-0.11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710</v>
      </c>
      <c r="F13" s="10"/>
      <c r="G13" s="10">
        <f t="shared" si="0"/>
        <v>710</v>
      </c>
      <c r="H13" s="16">
        <f t="shared" si="1"/>
        <v>0.04</v>
      </c>
      <c r="I13" s="15">
        <f t="shared" si="2"/>
        <v>0</v>
      </c>
      <c r="J13" s="15">
        <f>ROUND(G13/484-1,2)</f>
        <v>0.47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3300</v>
      </c>
      <c r="F14" s="10"/>
      <c r="G14" s="10">
        <f t="shared" si="0"/>
        <v>3300</v>
      </c>
      <c r="H14" s="16">
        <f t="shared" si="1"/>
        <v>0.21</v>
      </c>
      <c r="I14" s="15">
        <f t="shared" si="2"/>
        <v>1E-3</v>
      </c>
      <c r="J14" s="15">
        <f>ROUND(G14/3620-1,2)</f>
        <v>-0.09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265100</v>
      </c>
      <c r="F15" s="10"/>
      <c r="G15" s="10">
        <f t="shared" si="0"/>
        <v>265100</v>
      </c>
      <c r="H15" s="16">
        <f t="shared" si="1"/>
        <v>16.670000000000002</v>
      </c>
      <c r="I15" s="15">
        <f t="shared" si="2"/>
        <v>4.8000000000000001E-2</v>
      </c>
      <c r="J15" s="15">
        <f>ROUND(G15/181380-1,2)</f>
        <v>0.46</v>
      </c>
    </row>
    <row r="16" spans="1:10" x14ac:dyDescent="0.25">
      <c r="A16" s="1" t="s">
        <v>16</v>
      </c>
      <c r="B16" s="1" t="s">
        <v>24</v>
      </c>
      <c r="C16" s="10">
        <v>585190</v>
      </c>
      <c r="D16" s="10"/>
      <c r="E16" s="10">
        <v>100460</v>
      </c>
      <c r="F16" s="10">
        <v>21640</v>
      </c>
      <c r="G16" s="10">
        <f t="shared" si="0"/>
        <v>707290</v>
      </c>
      <c r="H16" s="16">
        <f t="shared" si="1"/>
        <v>44.47</v>
      </c>
      <c r="I16" s="15">
        <f t="shared" si="2"/>
        <v>0.127</v>
      </c>
      <c r="J16" s="15">
        <f>ROUND(G16/679780-1,2)</f>
        <v>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16955</v>
      </c>
      <c r="F17" s="10"/>
      <c r="G17" s="10">
        <f t="shared" si="0"/>
        <v>16955</v>
      </c>
      <c r="H17" s="16">
        <f t="shared" si="1"/>
        <v>1.07</v>
      </c>
      <c r="I17" s="15">
        <f t="shared" si="2"/>
        <v>3.0000000000000001E-3</v>
      </c>
      <c r="J17" s="15">
        <f>ROUND(G17/19490-1,2)</f>
        <v>-0.13</v>
      </c>
    </row>
    <row r="18" spans="1:10" x14ac:dyDescent="0.25">
      <c r="A18" s="1" t="s">
        <v>16</v>
      </c>
      <c r="B18" s="1" t="s">
        <v>26</v>
      </c>
      <c r="C18" s="10">
        <v>841350</v>
      </c>
      <c r="D18" s="10"/>
      <c r="E18" s="10"/>
      <c r="F18" s="10">
        <v>2000</v>
      </c>
      <c r="G18" s="10">
        <f t="shared" si="0"/>
        <v>843350</v>
      </c>
      <c r="H18" s="16">
        <f t="shared" si="1"/>
        <v>53.02</v>
      </c>
      <c r="I18" s="15">
        <f t="shared" si="2"/>
        <v>0.152</v>
      </c>
      <c r="J18" s="15">
        <f>ROUND(G18/841050-1,2)</f>
        <v>0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4422</v>
      </c>
      <c r="F19" s="10"/>
      <c r="G19" s="10">
        <f t="shared" si="0"/>
        <v>4422</v>
      </c>
      <c r="H19" s="16">
        <f t="shared" si="1"/>
        <v>0.28000000000000003</v>
      </c>
      <c r="I19" s="15">
        <f t="shared" si="2"/>
        <v>1E-3</v>
      </c>
      <c r="J19" s="15">
        <f>ROUND(G19/4330-1,2)</f>
        <v>0.02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2679</v>
      </c>
      <c r="F20" s="10"/>
      <c r="G20" s="10">
        <f t="shared" si="0"/>
        <v>2679</v>
      </c>
      <c r="H20" s="16">
        <f t="shared" si="1"/>
        <v>0.17</v>
      </c>
      <c r="I20" s="15">
        <f t="shared" si="2"/>
        <v>0</v>
      </c>
      <c r="J20" s="15">
        <f>ROUND(G20/2806-1,2)</f>
        <v>-0.05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607</v>
      </c>
      <c r="F21" s="10"/>
      <c r="G21" s="10">
        <f t="shared" si="0"/>
        <v>607</v>
      </c>
      <c r="H21" s="16">
        <f t="shared" si="1"/>
        <v>0.04</v>
      </c>
      <c r="I21" s="15">
        <f t="shared" si="2"/>
        <v>0</v>
      </c>
      <c r="J21" s="15">
        <f>ROUND(G21/510-1,2)</f>
        <v>0.19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11120</v>
      </c>
      <c r="F22" s="10"/>
      <c r="G22" s="10">
        <f t="shared" si="0"/>
        <v>11120</v>
      </c>
      <c r="H22" s="16">
        <f t="shared" si="1"/>
        <v>0.7</v>
      </c>
      <c r="I22" s="15">
        <f t="shared" si="2"/>
        <v>2E-3</v>
      </c>
      <c r="J22" s="15">
        <f>ROUND(G22/16730-1,2)</f>
        <v>-0.34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4830</v>
      </c>
      <c r="F23" s="10"/>
      <c r="G23" s="10">
        <f t="shared" si="0"/>
        <v>4830</v>
      </c>
      <c r="H23" s="16">
        <f t="shared" si="1"/>
        <v>0.3</v>
      </c>
      <c r="I23" s="15">
        <f t="shared" si="2"/>
        <v>1E-3</v>
      </c>
      <c r="J23" s="15">
        <f>ROUND(G23/5540-1,2)</f>
        <v>-0.13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1990</v>
      </c>
      <c r="F24" s="10"/>
      <c r="G24" s="10">
        <f t="shared" si="0"/>
        <v>1990</v>
      </c>
      <c r="H24" s="16">
        <f t="shared" si="1"/>
        <v>0.13</v>
      </c>
      <c r="I24" s="15">
        <f t="shared" si="2"/>
        <v>0</v>
      </c>
      <c r="J24" s="15">
        <f>ROUND(G24/1760-1,2)</f>
        <v>0.13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7084</v>
      </c>
      <c r="F25" s="10"/>
      <c r="G25" s="10">
        <f t="shared" si="0"/>
        <v>7084</v>
      </c>
      <c r="H25" s="16">
        <f t="shared" si="1"/>
        <v>0.45</v>
      </c>
      <c r="I25" s="15">
        <f t="shared" si="2"/>
        <v>1E-3</v>
      </c>
      <c r="J25" s="15">
        <f>ROUND(G25/7360-1,2)</f>
        <v>-0.04</v>
      </c>
    </row>
    <row r="26" spans="1:10" x14ac:dyDescent="0.25">
      <c r="A26" s="1" t="s">
        <v>16</v>
      </c>
      <c r="B26" s="1" t="s">
        <v>33</v>
      </c>
      <c r="C26" s="10"/>
      <c r="D26" s="10">
        <v>1080</v>
      </c>
      <c r="E26" s="10">
        <v>182</v>
      </c>
      <c r="F26" s="10"/>
      <c r="G26" s="10">
        <f t="shared" si="0"/>
        <v>1262</v>
      </c>
      <c r="H26" s="16">
        <f t="shared" si="1"/>
        <v>0.08</v>
      </c>
      <c r="I26" s="15">
        <f t="shared" si="2"/>
        <v>0</v>
      </c>
      <c r="J26" s="15">
        <f>ROUND(G26/1238-1,2)</f>
        <v>0.02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3530</v>
      </c>
      <c r="F27" s="10"/>
      <c r="G27" s="10">
        <f t="shared" si="0"/>
        <v>3530</v>
      </c>
      <c r="H27" s="16">
        <f t="shared" si="1"/>
        <v>0.22</v>
      </c>
      <c r="I27" s="15">
        <f t="shared" si="2"/>
        <v>1E-3</v>
      </c>
      <c r="J27" s="15">
        <f>ROUND(G27/2950-1,2)</f>
        <v>0.2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1530</v>
      </c>
      <c r="F28" s="10"/>
      <c r="G28" s="10">
        <f t="shared" si="0"/>
        <v>1530</v>
      </c>
      <c r="H28" s="16">
        <f t="shared" si="1"/>
        <v>0.1</v>
      </c>
      <c r="I28" s="15">
        <f t="shared" si="2"/>
        <v>0</v>
      </c>
      <c r="J28" s="15">
        <f>ROUND(G28/2174-1,2)</f>
        <v>-0.3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19240</v>
      </c>
      <c r="F29" s="10"/>
      <c r="G29" s="10">
        <f t="shared" si="0"/>
        <v>19240</v>
      </c>
      <c r="H29" s="16">
        <f t="shared" si="1"/>
        <v>1.21</v>
      </c>
      <c r="I29" s="15">
        <f t="shared" si="2"/>
        <v>3.0000000000000001E-3</v>
      </c>
      <c r="J29" s="15">
        <f>ROUND(G29/18400-1,2)</f>
        <v>0.05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2700</v>
      </c>
      <c r="F30" s="10"/>
      <c r="G30" s="10">
        <f t="shared" si="0"/>
        <v>2700</v>
      </c>
      <c r="H30" s="16">
        <f t="shared" si="1"/>
        <v>0.17</v>
      </c>
      <c r="I30" s="15">
        <f t="shared" si="2"/>
        <v>0</v>
      </c>
      <c r="J30" s="15">
        <f>ROUND(G30/34500-1,2)</f>
        <v>-0.92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370140</v>
      </c>
      <c r="F31" s="10"/>
      <c r="G31" s="10">
        <f t="shared" si="0"/>
        <v>370140</v>
      </c>
      <c r="H31" s="16">
        <f t="shared" si="1"/>
        <v>23.27</v>
      </c>
      <c r="I31" s="15">
        <f t="shared" si="2"/>
        <v>6.7000000000000004E-2</v>
      </c>
      <c r="J31" s="15">
        <f>ROUND(G31/324970-1,2)</f>
        <v>0.14000000000000001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20940</v>
      </c>
      <c r="F32" s="10"/>
      <c r="G32" s="10">
        <f t="shared" si="0"/>
        <v>20940</v>
      </c>
      <c r="H32" s="16">
        <f t="shared" si="1"/>
        <v>1.32</v>
      </c>
      <c r="I32" s="15">
        <f t="shared" si="2"/>
        <v>4.0000000000000001E-3</v>
      </c>
      <c r="J32" s="15">
        <f>ROUND(G32/22655-1,2)</f>
        <v>-0.08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80120</v>
      </c>
      <c r="F33" s="10"/>
      <c r="G33" s="10">
        <f t="shared" si="0"/>
        <v>80120</v>
      </c>
      <c r="H33" s="16">
        <f t="shared" si="1"/>
        <v>5.04</v>
      </c>
      <c r="I33" s="15">
        <f t="shared" si="2"/>
        <v>1.4E-2</v>
      </c>
      <c r="J33" s="15">
        <f>ROUND(G33/71690-1,2)</f>
        <v>0.12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897190</v>
      </c>
      <c r="F34" s="10"/>
      <c r="G34" s="10">
        <f t="shared" si="0"/>
        <v>897190</v>
      </c>
      <c r="H34" s="16">
        <f t="shared" si="1"/>
        <v>56.41</v>
      </c>
      <c r="I34" s="15">
        <f t="shared" si="2"/>
        <v>0.16200000000000001</v>
      </c>
      <c r="J34" s="15">
        <f>ROUND(G34/699200-1,2)</f>
        <v>0.28000000000000003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ROUND(G35/9500-1,2)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ROUND(G36/2292-1,2)</f>
        <v>-1</v>
      </c>
    </row>
    <row r="37" spans="1:10" x14ac:dyDescent="0.25">
      <c r="A37" s="1" t="s">
        <v>16</v>
      </c>
      <c r="B37" s="1" t="s">
        <v>115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ROUND(G38/216-1,2)</f>
        <v>-1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ROUND(G39/45-1,2)</f>
        <v>-1</v>
      </c>
    </row>
    <row r="40" spans="1:10" x14ac:dyDescent="0.25">
      <c r="A40" s="1" t="s">
        <v>16</v>
      </c>
      <c r="B40" s="1" t="s">
        <v>129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1099060</v>
      </c>
      <c r="D41" s="10"/>
      <c r="E41" s="10"/>
      <c r="F41" s="10">
        <v>15550</v>
      </c>
      <c r="G41" s="10">
        <f t="shared" si="0"/>
        <v>1114610</v>
      </c>
      <c r="H41" s="16">
        <f t="shared" si="1"/>
        <v>70.069999999999993</v>
      </c>
      <c r="I41" s="15">
        <f t="shared" si="2"/>
        <v>0.20100000000000001</v>
      </c>
      <c r="J41" s="15">
        <f>ROUND(G41/1095080-1,2)</f>
        <v>0.02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107115</v>
      </c>
      <c r="G42" s="10">
        <f t="shared" si="0"/>
        <v>107115</v>
      </c>
      <c r="H42" s="16">
        <f t="shared" si="1"/>
        <v>6.73</v>
      </c>
      <c r="I42" s="15">
        <f t="shared" si="2"/>
        <v>1.9E-2</v>
      </c>
      <c r="J42" s="15">
        <f>ROUND(G42/166530-1,2)</f>
        <v>-0.36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196820</v>
      </c>
      <c r="F43" s="10"/>
      <c r="G43" s="10">
        <f t="shared" si="0"/>
        <v>196820</v>
      </c>
      <c r="H43" s="16">
        <f t="shared" si="1"/>
        <v>12.37</v>
      </c>
      <c r="I43" s="15">
        <f t="shared" si="2"/>
        <v>3.5000000000000003E-2</v>
      </c>
      <c r="J43" s="15">
        <f>ROUND(G43/163780-1,2)</f>
        <v>0.2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94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ROUND(G46/1140-1,2)</f>
        <v>-1</v>
      </c>
    </row>
    <row r="47" spans="1:10" x14ac:dyDescent="0.25">
      <c r="A47" s="1" t="s">
        <v>48</v>
      </c>
      <c r="B47" s="1" t="s">
        <v>49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86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23" t="s">
        <v>12</v>
      </c>
      <c r="B49" s="23"/>
      <c r="C49" s="11">
        <f t="shared" ref="C49:H49" si="3">SUM(C8:C48)</f>
        <v>3366050</v>
      </c>
      <c r="D49" s="11">
        <f t="shared" si="3"/>
        <v>1080</v>
      </c>
      <c r="E49" s="11">
        <f t="shared" si="3"/>
        <v>2035077</v>
      </c>
      <c r="F49" s="11">
        <f t="shared" si="3"/>
        <v>150185</v>
      </c>
      <c r="G49" s="11">
        <f t="shared" si="3"/>
        <v>5552392</v>
      </c>
      <c r="H49" s="14">
        <f t="shared" si="3"/>
        <v>349.09</v>
      </c>
      <c r="I49" s="17"/>
      <c r="J49" s="17"/>
    </row>
    <row r="50" spans="1:10" x14ac:dyDescent="0.25">
      <c r="A50" s="23" t="s">
        <v>14</v>
      </c>
      <c r="B50" s="23"/>
      <c r="C50" s="12">
        <f>ROUND(C49/G49,2)</f>
        <v>0.61</v>
      </c>
      <c r="D50" s="12">
        <f>ROUND(D49/G49,2)</f>
        <v>0</v>
      </c>
      <c r="E50" s="12">
        <f>ROUND(E49/G49,2)</f>
        <v>0.37</v>
      </c>
      <c r="F50" s="12">
        <f>ROUND(F49/G49,2)</f>
        <v>0.03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53</v>
      </c>
      <c r="B55" s="23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2" t="s">
        <v>54</v>
      </c>
      <c r="B56" s="22"/>
      <c r="C56" s="10">
        <v>2266990</v>
      </c>
      <c r="D56" s="10">
        <v>1080</v>
      </c>
      <c r="E56" s="10">
        <v>1838257</v>
      </c>
      <c r="F56" s="10">
        <v>27520</v>
      </c>
      <c r="G56" s="10">
        <f>SUM(C56:F56)</f>
        <v>4133847</v>
      </c>
      <c r="H56" s="16">
        <f>ROUND(G56/15906,2)</f>
        <v>259.89</v>
      </c>
      <c r="I56" s="9"/>
      <c r="J56" s="9"/>
    </row>
    <row r="57" spans="1:10" x14ac:dyDescent="0.25">
      <c r="A57" s="22" t="s">
        <v>55</v>
      </c>
      <c r="B57" s="22"/>
      <c r="C57" s="10">
        <v>1099060</v>
      </c>
      <c r="D57" s="10">
        <v>0</v>
      </c>
      <c r="E57" s="10">
        <v>196820</v>
      </c>
      <c r="F57" s="10">
        <v>122665</v>
      </c>
      <c r="G57" s="10">
        <f>SUM(C57:F57)</f>
        <v>1418545</v>
      </c>
      <c r="H57" s="16">
        <f>ROUND(G57/15906,2)</f>
        <v>89.18</v>
      </c>
      <c r="I57" s="9"/>
      <c r="J57" s="9"/>
    </row>
    <row r="58" spans="1:10" x14ac:dyDescent="0.25">
      <c r="A58" s="22" t="s">
        <v>56</v>
      </c>
      <c r="B58" s="22"/>
      <c r="C58" s="10">
        <v>0</v>
      </c>
      <c r="D58" s="10">
        <v>0</v>
      </c>
      <c r="E58" s="10">
        <v>0</v>
      </c>
      <c r="F58" s="10">
        <v>0</v>
      </c>
      <c r="G58" s="10">
        <f>SUM(C58:F58)</f>
        <v>0</v>
      </c>
      <c r="H58" s="16">
        <f>ROUND(G58/15906,2)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57</v>
      </c>
      <c r="B63" s="23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2" t="s">
        <v>58</v>
      </c>
      <c r="B64" s="22"/>
      <c r="C64" s="15">
        <f>ROUND(0.7856, 4)</f>
        <v>0.78559999999999997</v>
      </c>
      <c r="D64" s="15">
        <f>ROUND(0.7813, 4)</f>
        <v>0.78129999999999999</v>
      </c>
      <c r="E64" s="15">
        <f>ROUND(0.777, 4)</f>
        <v>0.77700000000000002</v>
      </c>
      <c r="F64" s="8"/>
      <c r="G64" s="14" t="s">
        <v>62</v>
      </c>
      <c r="H64" s="26" t="s">
        <v>63</v>
      </c>
      <c r="I64" s="24" t="s">
        <v>64</v>
      </c>
      <c r="J64" s="24" t="s">
        <v>65</v>
      </c>
    </row>
    <row r="65" spans="1:10" x14ac:dyDescent="0.25">
      <c r="A65" s="22" t="s">
        <v>66</v>
      </c>
      <c r="B65" s="22"/>
      <c r="C65" s="15">
        <f>ROUND(0.7763, 4)</f>
        <v>0.77629999999999999</v>
      </c>
      <c r="D65" s="15">
        <f>ROUND(0.7721, 4)</f>
        <v>0.77210000000000001</v>
      </c>
      <c r="E65" s="15">
        <f>ROUND(0.7608, 4)</f>
        <v>0.76080000000000003</v>
      </c>
      <c r="F65" s="8"/>
      <c r="G65" s="14" t="s">
        <v>67</v>
      </c>
      <c r="H65" s="27"/>
      <c r="I65" s="25"/>
      <c r="J65" s="25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9" spans="1:10" x14ac:dyDescent="0.25">
      <c r="A69" s="23" t="s">
        <v>68</v>
      </c>
      <c r="B69" s="23"/>
      <c r="C69" s="3" t="s">
        <v>2</v>
      </c>
      <c r="D69" s="3" t="s">
        <v>130</v>
      </c>
      <c r="E69" s="3" t="s">
        <v>70</v>
      </c>
      <c r="F69" s="3" t="s">
        <v>71</v>
      </c>
      <c r="G69" s="3" t="s">
        <v>72</v>
      </c>
      <c r="H69" s="2"/>
      <c r="I69" s="2"/>
      <c r="J69" s="2"/>
    </row>
    <row r="70" spans="1:10" x14ac:dyDescent="0.25">
      <c r="A70" s="22" t="s">
        <v>73</v>
      </c>
      <c r="B70" s="22"/>
      <c r="C70" s="1">
        <v>70.069999999999993</v>
      </c>
      <c r="D70" s="1">
        <v>88.82</v>
      </c>
      <c r="E70" s="1">
        <v>89.58</v>
      </c>
      <c r="F70" s="1">
        <v>53.73</v>
      </c>
      <c r="G70" s="1">
        <f>12/9*C70</f>
        <v>93.426666666666648</v>
      </c>
    </row>
    <row r="71" spans="1:10" x14ac:dyDescent="0.25">
      <c r="A71" s="22" t="s">
        <v>74</v>
      </c>
      <c r="B71" s="22"/>
      <c r="C71" s="1">
        <v>53.02</v>
      </c>
      <c r="D71" s="1">
        <v>71.8</v>
      </c>
      <c r="E71" s="1">
        <v>60.32</v>
      </c>
      <c r="F71" s="1">
        <v>61.62</v>
      </c>
      <c r="G71" s="1">
        <f>12/9*C71</f>
        <v>70.693333333333328</v>
      </c>
    </row>
    <row r="72" spans="1:10" x14ac:dyDescent="0.25">
      <c r="A72" s="22" t="s">
        <v>75</v>
      </c>
      <c r="B72" s="22"/>
      <c r="C72" s="1">
        <v>259.89</v>
      </c>
      <c r="D72" s="1">
        <v>315.86</v>
      </c>
      <c r="E72" s="1">
        <v>282.8</v>
      </c>
      <c r="F72" s="1">
        <v>273.33</v>
      </c>
      <c r="G72" s="1">
        <f>12/9*C72</f>
        <v>346.52</v>
      </c>
    </row>
    <row r="73" spans="1:10" x14ac:dyDescent="0.25">
      <c r="A73" s="22" t="s">
        <v>76</v>
      </c>
      <c r="B73" s="22"/>
      <c r="C73" s="1">
        <v>89.18</v>
      </c>
      <c r="D73" s="1">
        <v>115.08</v>
      </c>
      <c r="E73" s="1">
        <v>112.72</v>
      </c>
      <c r="F73" s="1">
        <v>76.52</v>
      </c>
      <c r="G73" s="1">
        <f>12/9*C73</f>
        <v>118.90666666666667</v>
      </c>
    </row>
    <row r="76" spans="1:10" x14ac:dyDescent="0.25">
      <c r="A76" s="21" t="s">
        <v>60</v>
      </c>
      <c r="B76" s="28"/>
    </row>
    <row r="77" spans="1:10" x14ac:dyDescent="0.25">
      <c r="A77" s="3" t="s">
        <v>77</v>
      </c>
      <c r="B77" s="1" t="s">
        <v>131</v>
      </c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A71:B71"/>
    <mergeCell ref="A72:B72"/>
    <mergeCell ref="A73:B73"/>
    <mergeCell ref="A76:B76"/>
    <mergeCell ref="I64:I65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C7:G7"/>
    <mergeCell ref="A49:B49"/>
    <mergeCell ref="A50:B50"/>
    <mergeCell ref="A55:B55"/>
    <mergeCell ref="A56:B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65.7109375" bestFit="1" customWidth="1"/>
    <col min="3" max="3" width="14" bestFit="1" customWidth="1"/>
    <col min="4" max="4" width="4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2177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39</v>
      </c>
      <c r="F9" s="10"/>
      <c r="G9" s="10">
        <f t="shared" ref="G9:G34" si="0">SUM(C9:F9)</f>
        <v>39</v>
      </c>
      <c r="H9" s="16">
        <f t="shared" ref="H9:H34" si="1">ROUND(G9/2177,2)</f>
        <v>0.02</v>
      </c>
      <c r="I9" s="15">
        <f t="shared" ref="I9:I34" si="2">ROUND(G9/$G$35,3)</f>
        <v>0</v>
      </c>
      <c r="J9" s="15"/>
    </row>
    <row r="10" spans="1:10" x14ac:dyDescent="0.25">
      <c r="A10" s="1" t="s">
        <v>16</v>
      </c>
      <c r="B10" s="1" t="s">
        <v>90</v>
      </c>
      <c r="C10" s="10"/>
      <c r="D10" s="10">
        <v>80520</v>
      </c>
      <c r="E10" s="10"/>
      <c r="F10" s="10"/>
      <c r="G10" s="10">
        <f t="shared" si="0"/>
        <v>80520</v>
      </c>
      <c r="H10" s="16">
        <f t="shared" si="1"/>
        <v>36.99</v>
      </c>
      <c r="I10" s="15">
        <f t="shared" si="2"/>
        <v>0.13300000000000001</v>
      </c>
      <c r="J10" s="15">
        <f>ROUND(G10/76260-1,2)</f>
        <v>0.06</v>
      </c>
    </row>
    <row r="11" spans="1:10" x14ac:dyDescent="0.25">
      <c r="A11" s="1" t="s">
        <v>16</v>
      </c>
      <c r="B11" s="1" t="s">
        <v>133</v>
      </c>
      <c r="C11" s="10"/>
      <c r="D11" s="10">
        <v>3960</v>
      </c>
      <c r="E11" s="10">
        <v>1960</v>
      </c>
      <c r="F11" s="10"/>
      <c r="G11" s="10">
        <f t="shared" si="0"/>
        <v>5920</v>
      </c>
      <c r="H11" s="16">
        <f t="shared" si="1"/>
        <v>2.72</v>
      </c>
      <c r="I11" s="15">
        <f t="shared" si="2"/>
        <v>0.01</v>
      </c>
      <c r="J11" s="15">
        <f>ROUND(G11/5670-1,2)</f>
        <v>0.04</v>
      </c>
    </row>
    <row r="12" spans="1:10" x14ac:dyDescent="0.25">
      <c r="A12" s="1" t="s">
        <v>16</v>
      </c>
      <c r="B12" s="1" t="s">
        <v>20</v>
      </c>
      <c r="C12" s="10"/>
      <c r="D12" s="10">
        <v>72660</v>
      </c>
      <c r="E12" s="10"/>
      <c r="F12" s="10"/>
      <c r="G12" s="10">
        <f t="shared" si="0"/>
        <v>72660</v>
      </c>
      <c r="H12" s="16">
        <f t="shared" si="1"/>
        <v>33.380000000000003</v>
      </c>
      <c r="I12" s="15">
        <f t="shared" si="2"/>
        <v>0.12</v>
      </c>
      <c r="J12" s="15">
        <f>ROUND(G12/74010-1,2)</f>
        <v>-0.02</v>
      </c>
    </row>
    <row r="13" spans="1:10" x14ac:dyDescent="0.25">
      <c r="A13" s="1" t="s">
        <v>16</v>
      </c>
      <c r="B13" s="1" t="s">
        <v>24</v>
      </c>
      <c r="C13" s="10"/>
      <c r="D13" s="10">
        <v>79400</v>
      </c>
      <c r="E13" s="10"/>
      <c r="F13" s="10"/>
      <c r="G13" s="10">
        <f t="shared" si="0"/>
        <v>79400</v>
      </c>
      <c r="H13" s="16">
        <f t="shared" si="1"/>
        <v>36.47</v>
      </c>
      <c r="I13" s="15">
        <f t="shared" si="2"/>
        <v>0.13100000000000001</v>
      </c>
      <c r="J13" s="15">
        <f>ROUND(G13/77720-1,2)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655</v>
      </c>
      <c r="F14" s="10"/>
      <c r="G14" s="10">
        <f t="shared" si="0"/>
        <v>655</v>
      </c>
      <c r="H14" s="16">
        <f t="shared" si="1"/>
        <v>0.3</v>
      </c>
      <c r="I14" s="15">
        <f t="shared" si="2"/>
        <v>1E-3</v>
      </c>
      <c r="J14" s="15">
        <f>ROUND(G14/940-1,2)</f>
        <v>-0.3</v>
      </c>
    </row>
    <row r="15" spans="1:10" x14ac:dyDescent="0.25">
      <c r="A15" s="1" t="s">
        <v>16</v>
      </c>
      <c r="B15" s="1" t="s">
        <v>26</v>
      </c>
      <c r="C15" s="10"/>
      <c r="D15" s="10">
        <v>160220</v>
      </c>
      <c r="E15" s="10"/>
      <c r="F15" s="10"/>
      <c r="G15" s="10">
        <f t="shared" si="0"/>
        <v>160220</v>
      </c>
      <c r="H15" s="16">
        <f t="shared" si="1"/>
        <v>73.599999999999994</v>
      </c>
      <c r="I15" s="15">
        <f t="shared" si="2"/>
        <v>0.26400000000000001</v>
      </c>
      <c r="J15" s="15">
        <f>ROUND(G15/107760-1,2)</f>
        <v>0.49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1270</v>
      </c>
      <c r="F16" s="10"/>
      <c r="G16" s="10">
        <f t="shared" si="0"/>
        <v>1270</v>
      </c>
      <c r="H16" s="16">
        <f t="shared" si="1"/>
        <v>0.57999999999999996</v>
      </c>
      <c r="I16" s="15">
        <f t="shared" si="2"/>
        <v>2E-3</v>
      </c>
      <c r="J16" s="15">
        <f>ROUND(G16/2120-1,2)</f>
        <v>-0.4</v>
      </c>
    </row>
    <row r="17" spans="1:10" x14ac:dyDescent="0.25">
      <c r="A17" s="1" t="s">
        <v>16</v>
      </c>
      <c r="B17" s="1" t="s">
        <v>33</v>
      </c>
      <c r="C17" s="10"/>
      <c r="D17" s="10">
        <v>116</v>
      </c>
      <c r="E17" s="10">
        <v>11</v>
      </c>
      <c r="F17" s="10"/>
      <c r="G17" s="10">
        <f t="shared" si="0"/>
        <v>127</v>
      </c>
      <c r="H17" s="16">
        <f t="shared" si="1"/>
        <v>0.06</v>
      </c>
      <c r="I17" s="15">
        <f t="shared" si="2"/>
        <v>0</v>
      </c>
      <c r="J17" s="15">
        <f>ROUND(G17/99-1,2)</f>
        <v>0.28000000000000003</v>
      </c>
    </row>
    <row r="18" spans="1:10" x14ac:dyDescent="0.25">
      <c r="A18" s="1" t="s">
        <v>16</v>
      </c>
      <c r="B18" s="1" t="s">
        <v>35</v>
      </c>
      <c r="C18" s="10"/>
      <c r="D18" s="10">
        <v>50</v>
      </c>
      <c r="E18" s="10"/>
      <c r="F18" s="10"/>
      <c r="G18" s="10">
        <f t="shared" si="0"/>
        <v>50</v>
      </c>
      <c r="H18" s="16">
        <f t="shared" si="1"/>
        <v>0.02</v>
      </c>
      <c r="I18" s="15">
        <f t="shared" si="2"/>
        <v>0</v>
      </c>
      <c r="J18" s="15">
        <f>ROUND(G18/170-1,2)</f>
        <v>-0.71</v>
      </c>
    </row>
    <row r="19" spans="1:10" x14ac:dyDescent="0.25">
      <c r="A19" s="1" t="s">
        <v>16</v>
      </c>
      <c r="B19" s="1" t="s">
        <v>36</v>
      </c>
      <c r="C19" s="10"/>
      <c r="D19" s="10"/>
      <c r="E19" s="10">
        <v>900</v>
      </c>
      <c r="F19" s="10"/>
      <c r="G19" s="10">
        <f t="shared" si="0"/>
        <v>900</v>
      </c>
      <c r="H19" s="16">
        <f t="shared" si="1"/>
        <v>0.41</v>
      </c>
      <c r="I19" s="15">
        <f t="shared" si="2"/>
        <v>1E-3</v>
      </c>
      <c r="J19" s="15">
        <f>ROUND(G19/930-1,2)</f>
        <v>-0.03</v>
      </c>
    </row>
    <row r="20" spans="1:10" x14ac:dyDescent="0.25">
      <c r="A20" s="1" t="s">
        <v>16</v>
      </c>
      <c r="B20" s="1" t="s">
        <v>37</v>
      </c>
      <c r="C20" s="10"/>
      <c r="D20" s="10"/>
      <c r="E20" s="10">
        <v>1260</v>
      </c>
      <c r="F20" s="10"/>
      <c r="G20" s="10">
        <f t="shared" si="0"/>
        <v>1260</v>
      </c>
      <c r="H20" s="16">
        <f t="shared" si="1"/>
        <v>0.57999999999999996</v>
      </c>
      <c r="I20" s="15">
        <f t="shared" si="2"/>
        <v>2E-3</v>
      </c>
      <c r="J20" s="15">
        <f>ROUND(G20/1170-1,2)</f>
        <v>0.08</v>
      </c>
    </row>
    <row r="21" spans="1:10" x14ac:dyDescent="0.25">
      <c r="A21" s="1" t="s">
        <v>16</v>
      </c>
      <c r="B21" s="1" t="s">
        <v>43</v>
      </c>
      <c r="C21" s="10"/>
      <c r="D21" s="10"/>
      <c r="E21" s="10">
        <v>2080</v>
      </c>
      <c r="F21" s="10"/>
      <c r="G21" s="10">
        <f t="shared" si="0"/>
        <v>2080</v>
      </c>
      <c r="H21" s="16">
        <f t="shared" si="1"/>
        <v>0.96</v>
      </c>
      <c r="I21" s="15">
        <f t="shared" si="2"/>
        <v>3.0000000000000001E-3</v>
      </c>
      <c r="J21" s="15">
        <f>ROUND(G21/3352-1,2)</f>
        <v>-0.38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27380</v>
      </c>
      <c r="F22" s="10"/>
      <c r="G22" s="10">
        <f t="shared" si="0"/>
        <v>27380</v>
      </c>
      <c r="H22" s="16">
        <f t="shared" si="1"/>
        <v>12.58</v>
      </c>
      <c r="I22" s="15">
        <f t="shared" si="2"/>
        <v>4.4999999999999998E-2</v>
      </c>
      <c r="J22" s="15">
        <f>ROUND(G22/12200-1,2)</f>
        <v>1.24</v>
      </c>
    </row>
    <row r="23" spans="1:10" x14ac:dyDescent="0.25">
      <c r="A23" s="1" t="s">
        <v>16</v>
      </c>
      <c r="B23" s="1" t="s">
        <v>40</v>
      </c>
      <c r="C23" s="10"/>
      <c r="D23" s="10"/>
      <c r="E23" s="10">
        <v>2670</v>
      </c>
      <c r="F23" s="10"/>
      <c r="G23" s="10">
        <f t="shared" si="0"/>
        <v>2670</v>
      </c>
      <c r="H23" s="16">
        <f t="shared" si="1"/>
        <v>1.23</v>
      </c>
      <c r="I23" s="15">
        <f t="shared" si="2"/>
        <v>4.0000000000000001E-3</v>
      </c>
      <c r="J23" s="15"/>
    </row>
    <row r="24" spans="1:10" x14ac:dyDescent="0.25">
      <c r="A24" s="1" t="s">
        <v>16</v>
      </c>
      <c r="B24" s="1" t="s">
        <v>41</v>
      </c>
      <c r="C24" s="10"/>
      <c r="D24" s="10"/>
      <c r="E24" s="10">
        <v>26810</v>
      </c>
      <c r="F24" s="10"/>
      <c r="G24" s="10">
        <f t="shared" si="0"/>
        <v>26810</v>
      </c>
      <c r="H24" s="16">
        <f t="shared" si="1"/>
        <v>12.32</v>
      </c>
      <c r="I24" s="15">
        <f t="shared" si="2"/>
        <v>4.3999999999999997E-2</v>
      </c>
      <c r="J24" s="15">
        <f>ROUND(G24/20700-1,2)</f>
        <v>0.3</v>
      </c>
    </row>
    <row r="25" spans="1:10" x14ac:dyDescent="0.25">
      <c r="A25" s="1" t="s">
        <v>16</v>
      </c>
      <c r="B25" s="1" t="s">
        <v>22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ROUND(G25/630-1,2)</f>
        <v>-1</v>
      </c>
    </row>
    <row r="26" spans="1:10" x14ac:dyDescent="0.25">
      <c r="A26" s="1" t="s">
        <v>16</v>
      </c>
      <c r="B26" s="1" t="s">
        <v>42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98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ROUND(G27/400-1,2)</f>
        <v>-1</v>
      </c>
    </row>
    <row r="28" spans="1:10" x14ac:dyDescent="0.25">
      <c r="A28" s="1" t="s">
        <v>16</v>
      </c>
      <c r="B28" s="1" t="s">
        <v>30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ROUND(G28/70-1,2)</f>
        <v>-1</v>
      </c>
    </row>
    <row r="29" spans="1:10" x14ac:dyDescent="0.25">
      <c r="A29" s="1" t="s">
        <v>16</v>
      </c>
      <c r="B29" s="1" t="s">
        <v>34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44</v>
      </c>
      <c r="B30" s="1" t="s">
        <v>45</v>
      </c>
      <c r="C30" s="10">
        <v>114210</v>
      </c>
      <c r="D30" s="10"/>
      <c r="E30" s="10"/>
      <c r="F30" s="10"/>
      <c r="G30" s="10">
        <f t="shared" si="0"/>
        <v>114210</v>
      </c>
      <c r="H30" s="16">
        <f t="shared" si="1"/>
        <v>52.46</v>
      </c>
      <c r="I30" s="15">
        <f t="shared" si="2"/>
        <v>0.189</v>
      </c>
      <c r="J30" s="15">
        <f>ROUND(G30/108000-1,2)</f>
        <v>0.06</v>
      </c>
    </row>
    <row r="31" spans="1:10" x14ac:dyDescent="0.25">
      <c r="A31" s="1" t="s">
        <v>44</v>
      </c>
      <c r="B31" s="1" t="s">
        <v>46</v>
      </c>
      <c r="C31" s="10"/>
      <c r="D31" s="10"/>
      <c r="E31" s="10">
        <v>29710</v>
      </c>
      <c r="F31" s="10"/>
      <c r="G31" s="10">
        <f t="shared" si="0"/>
        <v>29710</v>
      </c>
      <c r="H31" s="16">
        <f t="shared" si="1"/>
        <v>13.65</v>
      </c>
      <c r="I31" s="15">
        <f t="shared" si="2"/>
        <v>4.9000000000000002E-2</v>
      </c>
      <c r="J31" s="15"/>
    </row>
    <row r="32" spans="1:10" x14ac:dyDescent="0.25">
      <c r="A32" s="1" t="s">
        <v>48</v>
      </c>
      <c r="B32" s="1" t="s">
        <v>49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ROUND(G32/425-1,2)</f>
        <v>-1</v>
      </c>
    </row>
    <row r="33" spans="1:10" x14ac:dyDescent="0.25">
      <c r="A33" s="1" t="s">
        <v>48</v>
      </c>
      <c r="B33" s="1" t="s">
        <v>50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ROUND(G33/450-1,2)</f>
        <v>-1</v>
      </c>
    </row>
    <row r="34" spans="1:10" x14ac:dyDescent="0.25">
      <c r="A34" s="1" t="s">
        <v>48</v>
      </c>
      <c r="B34" s="1" t="s">
        <v>51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23" t="s">
        <v>12</v>
      </c>
      <c r="B35" s="23"/>
      <c r="C35" s="11">
        <f t="shared" ref="C35:H35" si="3">SUM(C8:C34)</f>
        <v>114210</v>
      </c>
      <c r="D35" s="11">
        <f t="shared" si="3"/>
        <v>396926</v>
      </c>
      <c r="E35" s="11">
        <f t="shared" si="3"/>
        <v>94745</v>
      </c>
      <c r="F35" s="11">
        <f t="shared" si="3"/>
        <v>0</v>
      </c>
      <c r="G35" s="11">
        <f t="shared" si="3"/>
        <v>605881</v>
      </c>
      <c r="H35" s="14">
        <f t="shared" si="3"/>
        <v>278.33000000000004</v>
      </c>
      <c r="I35" s="17"/>
      <c r="J35" s="17"/>
    </row>
    <row r="36" spans="1:10" x14ac:dyDescent="0.25">
      <c r="A36" s="23" t="s">
        <v>14</v>
      </c>
      <c r="B36" s="23"/>
      <c r="C36" s="12">
        <f>ROUND(C35/G35,2)</f>
        <v>0.19</v>
      </c>
      <c r="D36" s="12">
        <f>ROUND(D35/G35,2)</f>
        <v>0.66</v>
      </c>
      <c r="E36" s="12">
        <f>ROUND(E35/G35,2)</f>
        <v>0.16</v>
      </c>
      <c r="F36" s="12">
        <f>ROUND(F35/G35,2)</f>
        <v>0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3" t="s">
        <v>53</v>
      </c>
      <c r="B41" s="23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2" t="s">
        <v>54</v>
      </c>
      <c r="B42" s="22"/>
      <c r="C42" s="10">
        <v>0</v>
      </c>
      <c r="D42" s="10">
        <v>396926</v>
      </c>
      <c r="E42" s="10">
        <v>65035</v>
      </c>
      <c r="F42" s="10">
        <v>0</v>
      </c>
      <c r="G42" s="10">
        <f>SUM(C42:F42)</f>
        <v>461961</v>
      </c>
      <c r="H42" s="16">
        <f>ROUND(G42/2177,2)</f>
        <v>212.2</v>
      </c>
      <c r="I42" s="9"/>
      <c r="J42" s="9"/>
    </row>
    <row r="43" spans="1:10" x14ac:dyDescent="0.25">
      <c r="A43" s="22" t="s">
        <v>55</v>
      </c>
      <c r="B43" s="22"/>
      <c r="C43" s="10">
        <v>114210</v>
      </c>
      <c r="D43" s="10">
        <v>0</v>
      </c>
      <c r="E43" s="10">
        <v>29710</v>
      </c>
      <c r="F43" s="10">
        <v>0</v>
      </c>
      <c r="G43" s="10">
        <f>SUM(C43:F43)</f>
        <v>143920</v>
      </c>
      <c r="H43" s="16">
        <f>ROUND(G43/2177,2)</f>
        <v>66.11</v>
      </c>
      <c r="I43" s="9"/>
      <c r="J43" s="9"/>
    </row>
    <row r="44" spans="1:10" x14ac:dyDescent="0.25">
      <c r="A44" s="22" t="s">
        <v>56</v>
      </c>
      <c r="B44" s="22"/>
      <c r="C44" s="10">
        <v>0</v>
      </c>
      <c r="D44" s="10">
        <v>0</v>
      </c>
      <c r="E44" s="10">
        <v>0</v>
      </c>
      <c r="F44" s="10">
        <v>0</v>
      </c>
      <c r="G44" s="10">
        <f>SUM(C44:F44)</f>
        <v>0</v>
      </c>
      <c r="H44" s="16">
        <f>ROUND(G44/2177,2)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57</v>
      </c>
      <c r="B49" s="23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2" t="s">
        <v>58</v>
      </c>
      <c r="B50" s="22"/>
      <c r="C50" s="15">
        <f>ROUND(0.8102, 4)</f>
        <v>0.81020000000000003</v>
      </c>
      <c r="D50" s="15">
        <f>ROUND(0.7849, 4)</f>
        <v>0.78490000000000004</v>
      </c>
      <c r="E50" s="15">
        <f>ROUND(0.777, 4)</f>
        <v>0.77700000000000002</v>
      </c>
      <c r="F50" s="8"/>
      <c r="G50" s="14" t="s">
        <v>62</v>
      </c>
      <c r="H50" s="26" t="s">
        <v>63</v>
      </c>
      <c r="I50" s="24" t="s">
        <v>64</v>
      </c>
      <c r="J50" s="24" t="s">
        <v>65</v>
      </c>
    </row>
    <row r="51" spans="1:10" x14ac:dyDescent="0.25">
      <c r="A51" s="22" t="s">
        <v>66</v>
      </c>
      <c r="B51" s="22"/>
      <c r="C51" s="15">
        <f>ROUND(0.7466, 4)</f>
        <v>0.74660000000000004</v>
      </c>
      <c r="D51" s="15">
        <f>ROUND(0.7148, 4)</f>
        <v>0.71479999999999999</v>
      </c>
      <c r="E51" s="15">
        <f>ROUND(0.7608, 4)</f>
        <v>0.76080000000000003</v>
      </c>
      <c r="F51" s="8"/>
      <c r="G51" s="14" t="s">
        <v>67</v>
      </c>
      <c r="H51" s="27"/>
      <c r="I51" s="25"/>
      <c r="J51" s="25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68</v>
      </c>
      <c r="B55" s="23"/>
      <c r="C55" s="14" t="s">
        <v>2</v>
      </c>
      <c r="D55" s="14" t="s">
        <v>134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2" t="s">
        <v>73</v>
      </c>
      <c r="B56" s="22"/>
      <c r="C56" s="16">
        <v>52.46</v>
      </c>
      <c r="D56" s="16">
        <v>62.04</v>
      </c>
      <c r="E56" s="16">
        <v>89.58</v>
      </c>
      <c r="F56" s="16">
        <v>53.73</v>
      </c>
      <c r="G56" s="16">
        <f>12/9*C56</f>
        <v>69.946666666666658</v>
      </c>
      <c r="H56" s="8"/>
      <c r="I56" s="9"/>
      <c r="J56" s="9"/>
    </row>
    <row r="57" spans="1:10" x14ac:dyDescent="0.25">
      <c r="A57" s="22" t="s">
        <v>74</v>
      </c>
      <c r="B57" s="22"/>
      <c r="C57" s="16">
        <v>73.599999999999994</v>
      </c>
      <c r="D57" s="16">
        <v>71.680000000000007</v>
      </c>
      <c r="E57" s="16">
        <v>60.32</v>
      </c>
      <c r="F57" s="16">
        <v>61.62</v>
      </c>
      <c r="G57" s="16">
        <f>12/9*C57</f>
        <v>98.133333333333326</v>
      </c>
      <c r="H57" s="8"/>
      <c r="I57" s="9"/>
      <c r="J57" s="9"/>
    </row>
    <row r="58" spans="1:10" x14ac:dyDescent="0.25">
      <c r="A58" s="22" t="s">
        <v>75</v>
      </c>
      <c r="B58" s="22"/>
      <c r="C58" s="16">
        <v>212.2</v>
      </c>
      <c r="D58" s="16">
        <v>241.85</v>
      </c>
      <c r="E58" s="16">
        <v>282.8</v>
      </c>
      <c r="F58" s="16">
        <v>273.33</v>
      </c>
      <c r="G58" s="16">
        <f>12/9*C58</f>
        <v>282.93333333333328</v>
      </c>
      <c r="H58" s="8"/>
      <c r="I58" s="9"/>
      <c r="J58" s="9"/>
    </row>
    <row r="59" spans="1:10" x14ac:dyDescent="0.25">
      <c r="A59" s="22" t="s">
        <v>76</v>
      </c>
      <c r="B59" s="22"/>
      <c r="C59" s="16">
        <v>66.11</v>
      </c>
      <c r="D59" s="16">
        <v>72.3</v>
      </c>
      <c r="E59" s="16">
        <v>112.72</v>
      </c>
      <c r="F59" s="16">
        <v>76.52</v>
      </c>
      <c r="G59" s="16">
        <f>12/9*C59</f>
        <v>88.146666666666661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1" t="s">
        <v>60</v>
      </c>
      <c r="B62" s="28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135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57:B57"/>
    <mergeCell ref="A58:B58"/>
    <mergeCell ref="A59:B59"/>
    <mergeCell ref="A62:B62"/>
    <mergeCell ref="I50:I51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C7:G7"/>
    <mergeCell ref="A35:B35"/>
    <mergeCell ref="A36:B36"/>
    <mergeCell ref="A41:B41"/>
    <mergeCell ref="A42:B4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426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</v>
      </c>
      <c r="F9" s="10"/>
      <c r="G9" s="10">
        <f t="shared" ref="G9:G38" si="0">SUM(C9:F9)</f>
        <v>9</v>
      </c>
      <c r="H9" s="16">
        <f t="shared" ref="H9:H38" si="1">ROUND(G9/426,2)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13210</v>
      </c>
      <c r="D10" s="10"/>
      <c r="E10" s="10">
        <v>1226</v>
      </c>
      <c r="F10" s="10"/>
      <c r="G10" s="10">
        <f t="shared" si="0"/>
        <v>14436</v>
      </c>
      <c r="H10" s="16">
        <f t="shared" si="1"/>
        <v>33.89</v>
      </c>
      <c r="I10" s="15">
        <f t="shared" si="2"/>
        <v>8.7999999999999995E-2</v>
      </c>
      <c r="J10" s="15">
        <f>ROUND(G10/15337.66-1,2)</f>
        <v>-0.06</v>
      </c>
    </row>
    <row r="11" spans="1:10" x14ac:dyDescent="0.25">
      <c r="A11" s="1" t="s">
        <v>16</v>
      </c>
      <c r="B11" s="1" t="s">
        <v>20</v>
      </c>
      <c r="C11" s="10">
        <v>27995</v>
      </c>
      <c r="D11" s="10"/>
      <c r="E11" s="10"/>
      <c r="F11" s="10"/>
      <c r="G11" s="10">
        <f t="shared" si="0"/>
        <v>27995</v>
      </c>
      <c r="H11" s="16">
        <f t="shared" si="1"/>
        <v>65.72</v>
      </c>
      <c r="I11" s="15">
        <f t="shared" si="2"/>
        <v>0.17199999999999999</v>
      </c>
      <c r="J11" s="15">
        <f>ROUND(G11/25440-1,2)</f>
        <v>0.1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</v>
      </c>
      <c r="F12" s="10"/>
      <c r="G12" s="10">
        <f t="shared" si="0"/>
        <v>19</v>
      </c>
      <c r="H12" s="16">
        <f t="shared" si="1"/>
        <v>0.04</v>
      </c>
      <c r="I12" s="15">
        <f t="shared" si="2"/>
        <v>0</v>
      </c>
      <c r="J12" s="15">
        <f>ROUND(G12/34.29-1,2)</f>
        <v>-0.45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155</v>
      </c>
      <c r="F13" s="10"/>
      <c r="G13" s="10">
        <f t="shared" si="0"/>
        <v>155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18503</v>
      </c>
      <c r="F14" s="10"/>
      <c r="G14" s="10">
        <f t="shared" si="0"/>
        <v>18503</v>
      </c>
      <c r="H14" s="16">
        <f t="shared" si="1"/>
        <v>43.43</v>
      </c>
      <c r="I14" s="15">
        <f t="shared" si="2"/>
        <v>0.113</v>
      </c>
      <c r="J14" s="15">
        <f>ROUND(G14/4286.17-1,2)</f>
        <v>3.32</v>
      </c>
    </row>
    <row r="15" spans="1:10" x14ac:dyDescent="0.25">
      <c r="A15" s="1" t="s">
        <v>16</v>
      </c>
      <c r="B15" s="1" t="s">
        <v>24</v>
      </c>
      <c r="C15" s="10">
        <v>18950</v>
      </c>
      <c r="D15" s="10"/>
      <c r="E15" s="10">
        <v>3381</v>
      </c>
      <c r="F15" s="10"/>
      <c r="G15" s="10">
        <f t="shared" si="0"/>
        <v>22331</v>
      </c>
      <c r="H15" s="16">
        <f t="shared" si="1"/>
        <v>52.42</v>
      </c>
      <c r="I15" s="15">
        <f t="shared" si="2"/>
        <v>0.13700000000000001</v>
      </c>
      <c r="J15" s="15">
        <f>ROUND(G15/21411.06-1,2)</f>
        <v>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766</v>
      </c>
      <c r="F16" s="10"/>
      <c r="G16" s="10">
        <f t="shared" si="0"/>
        <v>766</v>
      </c>
      <c r="H16" s="16">
        <f t="shared" si="1"/>
        <v>1.8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14380</v>
      </c>
      <c r="D17" s="10"/>
      <c r="E17" s="10"/>
      <c r="F17" s="10"/>
      <c r="G17" s="10">
        <f t="shared" si="0"/>
        <v>14380</v>
      </c>
      <c r="H17" s="16">
        <f t="shared" si="1"/>
        <v>33.76</v>
      </c>
      <c r="I17" s="15">
        <f t="shared" si="2"/>
        <v>8.7999999999999995E-2</v>
      </c>
      <c r="J17" s="15">
        <f>ROUND(G17/15430-1,2)</f>
        <v>-7.0000000000000007E-2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176</v>
      </c>
      <c r="F18" s="10"/>
      <c r="G18" s="10">
        <f t="shared" si="0"/>
        <v>176</v>
      </c>
      <c r="H18" s="16">
        <f t="shared" si="1"/>
        <v>0.41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94</v>
      </c>
      <c r="F19" s="10"/>
      <c r="G19" s="10">
        <f t="shared" si="0"/>
        <v>94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442</v>
      </c>
      <c r="F20" s="10"/>
      <c r="G20" s="10">
        <f t="shared" si="0"/>
        <v>442</v>
      </c>
      <c r="H20" s="16">
        <f t="shared" si="1"/>
        <v>1.04</v>
      </c>
      <c r="I20" s="15">
        <f t="shared" si="2"/>
        <v>3.0000000000000001E-3</v>
      </c>
      <c r="J20" s="15">
        <f>ROUND(G20/208.89-1,2)</f>
        <v>1.1200000000000001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89</v>
      </c>
      <c r="F21" s="10"/>
      <c r="G21" s="10">
        <f t="shared" si="0"/>
        <v>89</v>
      </c>
      <c r="H21" s="16">
        <f t="shared" si="1"/>
        <v>0.21</v>
      </c>
      <c r="I21" s="15">
        <f t="shared" si="2"/>
        <v>1E-3</v>
      </c>
      <c r="J21" s="15">
        <f>ROUND(G21/76.13-1,2)</f>
        <v>0.17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206</v>
      </c>
      <c r="F22" s="10"/>
      <c r="G22" s="10">
        <f t="shared" si="0"/>
        <v>206</v>
      </c>
      <c r="H22" s="16">
        <f t="shared" si="1"/>
        <v>0.48</v>
      </c>
      <c r="I22" s="15">
        <f t="shared" si="2"/>
        <v>1E-3</v>
      </c>
      <c r="J22" s="15">
        <f>ROUND(G22/520-1,2)</f>
        <v>-0.6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53</v>
      </c>
      <c r="F23" s="10"/>
      <c r="G23" s="10">
        <f t="shared" si="0"/>
        <v>53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62</v>
      </c>
      <c r="F24" s="10"/>
      <c r="G24" s="10">
        <f t="shared" si="0"/>
        <v>62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564</v>
      </c>
      <c r="F25" s="10"/>
      <c r="G25" s="10">
        <f t="shared" si="0"/>
        <v>564</v>
      </c>
      <c r="H25" s="16">
        <f t="shared" si="1"/>
        <v>1.32</v>
      </c>
      <c r="I25" s="15">
        <f t="shared" si="2"/>
        <v>3.0000000000000001E-3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676</v>
      </c>
      <c r="F26" s="10"/>
      <c r="G26" s="10">
        <f t="shared" si="0"/>
        <v>676</v>
      </c>
      <c r="H26" s="16">
        <f t="shared" si="1"/>
        <v>1.59</v>
      </c>
      <c r="I26" s="15">
        <f t="shared" si="2"/>
        <v>4.0000000000000001E-3</v>
      </c>
      <c r="J26" s="15">
        <f>ROUND(G26/162.22-1,2)</f>
        <v>3.17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12544</v>
      </c>
      <c r="F27" s="10"/>
      <c r="G27" s="10">
        <f t="shared" si="0"/>
        <v>12544</v>
      </c>
      <c r="H27" s="16">
        <f t="shared" si="1"/>
        <v>29.45</v>
      </c>
      <c r="I27" s="15">
        <f t="shared" si="2"/>
        <v>7.6999999999999999E-2</v>
      </c>
      <c r="J27" s="15">
        <f>ROUND(G27/6641.66-1,2)</f>
        <v>0.89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4464</v>
      </c>
      <c r="F28" s="10"/>
      <c r="G28" s="10">
        <f t="shared" si="0"/>
        <v>4464</v>
      </c>
      <c r="H28" s="16">
        <f t="shared" si="1"/>
        <v>10.48</v>
      </c>
      <c r="I28" s="15">
        <f t="shared" si="2"/>
        <v>2.7E-2</v>
      </c>
      <c r="J28" s="15">
        <f>ROUND(G28/2472.19-1,2)</f>
        <v>0.81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2049</v>
      </c>
      <c r="F29" s="10"/>
      <c r="G29" s="10">
        <f t="shared" si="0"/>
        <v>2049</v>
      </c>
      <c r="H29" s="16">
        <f t="shared" si="1"/>
        <v>4.8099999999999996</v>
      </c>
      <c r="I29" s="15">
        <f t="shared" si="2"/>
        <v>1.2999999999999999E-2</v>
      </c>
      <c r="J29" s="15">
        <f>ROUND(G29/1039.82-1,2)</f>
        <v>0.97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ROUND(G30/541.9-1,2)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ROUND(G31/188.33-1,2)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36500</v>
      </c>
      <c r="D35" s="10"/>
      <c r="E35" s="10"/>
      <c r="F35" s="10"/>
      <c r="G35" s="10">
        <f t="shared" si="0"/>
        <v>36500</v>
      </c>
      <c r="H35" s="16">
        <f t="shared" si="1"/>
        <v>85.68</v>
      </c>
      <c r="I35" s="15">
        <f t="shared" si="2"/>
        <v>0.224</v>
      </c>
      <c r="J35" s="15">
        <f>ROUND(G35/49720-1,2)</f>
        <v>-0.27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6715</v>
      </c>
      <c r="F36" s="10"/>
      <c r="G36" s="10">
        <f t="shared" si="0"/>
        <v>6715</v>
      </c>
      <c r="H36" s="16">
        <f t="shared" si="1"/>
        <v>15.76</v>
      </c>
      <c r="I36" s="15">
        <f t="shared" si="2"/>
        <v>4.1000000000000002E-2</v>
      </c>
      <c r="J36" s="15">
        <f>ROUND(G36/4301.25-1,2)</f>
        <v>0.56000000000000005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111035</v>
      </c>
      <c r="D39" s="11">
        <f t="shared" si="3"/>
        <v>0</v>
      </c>
      <c r="E39" s="11">
        <f t="shared" si="3"/>
        <v>52193</v>
      </c>
      <c r="F39" s="11">
        <f t="shared" si="3"/>
        <v>0</v>
      </c>
      <c r="G39" s="11">
        <f t="shared" si="3"/>
        <v>163228</v>
      </c>
      <c r="H39" s="14">
        <f t="shared" si="3"/>
        <v>383.16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0.68</v>
      </c>
      <c r="D40" s="12">
        <f>ROUND(D39/G39,2)</f>
        <v>0</v>
      </c>
      <c r="E40" s="12">
        <f>ROUND(E39/G39,2)</f>
        <v>0.32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74535</v>
      </c>
      <c r="D46" s="10">
        <v>0</v>
      </c>
      <c r="E46" s="10">
        <v>45478</v>
      </c>
      <c r="F46" s="10">
        <v>0</v>
      </c>
      <c r="G46" s="10">
        <f>SUM(C46:F46)</f>
        <v>120013</v>
      </c>
      <c r="H46" s="16">
        <f>ROUND(G46/426,2)</f>
        <v>281.72000000000003</v>
      </c>
      <c r="I46" s="9"/>
      <c r="J46" s="9"/>
    </row>
    <row r="47" spans="1:10" x14ac:dyDescent="0.25">
      <c r="A47" s="22" t="s">
        <v>55</v>
      </c>
      <c r="B47" s="22"/>
      <c r="C47" s="10">
        <v>36500</v>
      </c>
      <c r="D47" s="10">
        <v>0</v>
      </c>
      <c r="E47" s="10">
        <v>6715</v>
      </c>
      <c r="F47" s="10">
        <v>0</v>
      </c>
      <c r="G47" s="10">
        <f>SUM(C47:F47)</f>
        <v>43215</v>
      </c>
      <c r="H47" s="16">
        <f>ROUND(G47/426,2)</f>
        <v>101.44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ROUND(G48/426,2)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ROUND(0.7463, 4)</f>
        <v>0.74629999999999996</v>
      </c>
      <c r="D54" s="15">
        <f>ROUND(0.6353, 4)</f>
        <v>0.63529999999999998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ROUND(0.7092, 4)</f>
        <v>0.70920000000000005</v>
      </c>
      <c r="D55" s="15">
        <f>ROUND(0.5952, 4)</f>
        <v>0.59519999999999995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137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85.68</v>
      </c>
      <c r="D60" s="16">
        <v>117.06</v>
      </c>
      <c r="E60" s="16">
        <v>89.58</v>
      </c>
      <c r="F60" s="16">
        <v>53.73</v>
      </c>
      <c r="G60" s="16">
        <f>12/9*C60</f>
        <v>114.24000000000001</v>
      </c>
      <c r="H60" s="8"/>
      <c r="I60" s="9"/>
      <c r="J60" s="9"/>
    </row>
    <row r="61" spans="1:10" x14ac:dyDescent="0.25">
      <c r="A61" s="22" t="s">
        <v>74</v>
      </c>
      <c r="B61" s="22"/>
      <c r="C61" s="16">
        <v>33.76</v>
      </c>
      <c r="D61" s="16">
        <v>50.37</v>
      </c>
      <c r="E61" s="16">
        <v>60.32</v>
      </c>
      <c r="F61" s="16">
        <v>61.62</v>
      </c>
      <c r="G61" s="16">
        <f>12/9*C61</f>
        <v>45.013333333333328</v>
      </c>
      <c r="H61" s="8"/>
      <c r="I61" s="9"/>
      <c r="J61" s="9"/>
    </row>
    <row r="62" spans="1:10" x14ac:dyDescent="0.25">
      <c r="A62" s="22" t="s">
        <v>75</v>
      </c>
      <c r="B62" s="22"/>
      <c r="C62" s="16">
        <v>281.72000000000003</v>
      </c>
      <c r="D62" s="16">
        <v>309.41000000000003</v>
      </c>
      <c r="E62" s="16">
        <v>282.8</v>
      </c>
      <c r="F62" s="16">
        <v>273.33</v>
      </c>
      <c r="G62" s="16">
        <f>12/9*C62</f>
        <v>375.62666666666667</v>
      </c>
      <c r="H62" s="8"/>
      <c r="I62" s="9"/>
      <c r="J62" s="9"/>
    </row>
    <row r="63" spans="1:10" x14ac:dyDescent="0.25">
      <c r="A63" s="22" t="s">
        <v>76</v>
      </c>
      <c r="B63" s="22"/>
      <c r="C63" s="16">
        <v>101.44</v>
      </c>
      <c r="D63" s="16">
        <v>150.88999999999999</v>
      </c>
      <c r="E63" s="16">
        <v>112.72</v>
      </c>
      <c r="F63" s="16">
        <v>76.52</v>
      </c>
      <c r="G63" s="16">
        <f>12/9*C63</f>
        <v>135.25333333333333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138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4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3143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24</v>
      </c>
      <c r="F9" s="10"/>
      <c r="G9" s="10">
        <f t="shared" ref="G9:G38" si="0">SUM(C9:F9)</f>
        <v>24</v>
      </c>
      <c r="H9" s="16">
        <f t="shared" ref="H9:H38" si="1">ROUND(G9/3143,2)</f>
        <v>0.01</v>
      </c>
      <c r="I9" s="15">
        <f t="shared" ref="I9:I38" si="2">ROUND(G9/$G$39,3)</f>
        <v>0</v>
      </c>
      <c r="J9" s="15">
        <f>ROUND(G9/55-1,2)</f>
        <v>-0.56000000000000005</v>
      </c>
    </row>
    <row r="10" spans="1:10" x14ac:dyDescent="0.25">
      <c r="A10" s="1" t="s">
        <v>16</v>
      </c>
      <c r="B10" s="1" t="s">
        <v>19</v>
      </c>
      <c r="C10" s="10">
        <v>73230</v>
      </c>
      <c r="D10" s="10"/>
      <c r="E10" s="10"/>
      <c r="F10" s="10">
        <v>420</v>
      </c>
      <c r="G10" s="10">
        <f t="shared" si="0"/>
        <v>73650</v>
      </c>
      <c r="H10" s="16">
        <f t="shared" si="1"/>
        <v>23.43</v>
      </c>
      <c r="I10" s="15">
        <f t="shared" si="2"/>
        <v>9.9000000000000005E-2</v>
      </c>
      <c r="J10" s="15">
        <f>ROUND(G10/74520-1,2)</f>
        <v>-0.01</v>
      </c>
    </row>
    <row r="11" spans="1:10" x14ac:dyDescent="0.25">
      <c r="A11" s="1" t="s">
        <v>16</v>
      </c>
      <c r="B11" s="1" t="s">
        <v>20</v>
      </c>
      <c r="C11" s="10">
        <v>89520</v>
      </c>
      <c r="D11" s="10"/>
      <c r="E11" s="10"/>
      <c r="F11" s="10"/>
      <c r="G11" s="10">
        <f t="shared" si="0"/>
        <v>89520</v>
      </c>
      <c r="H11" s="16">
        <f t="shared" si="1"/>
        <v>28.48</v>
      </c>
      <c r="I11" s="15">
        <f t="shared" si="2"/>
        <v>0.121</v>
      </c>
      <c r="J11" s="15">
        <f>ROUND(G11/111520-1,2)</f>
        <v>-0.2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84</v>
      </c>
      <c r="F12" s="10"/>
      <c r="G12" s="10">
        <f t="shared" si="0"/>
        <v>84</v>
      </c>
      <c r="H12" s="16">
        <f t="shared" si="1"/>
        <v>0.03</v>
      </c>
      <c r="I12" s="15">
        <f t="shared" si="2"/>
        <v>0</v>
      </c>
      <c r="J12" s="15">
        <f>ROUND(G12/81-1,2)</f>
        <v>0.04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181</v>
      </c>
      <c r="F13" s="10"/>
      <c r="G13" s="10">
        <f t="shared" si="0"/>
        <v>181</v>
      </c>
      <c r="H13" s="16">
        <f t="shared" si="1"/>
        <v>0.06</v>
      </c>
      <c r="I13" s="15">
        <f t="shared" si="2"/>
        <v>0</v>
      </c>
      <c r="J13" s="15">
        <f>ROUND(G13/204-1,2)</f>
        <v>-0.11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35100</v>
      </c>
      <c r="F14" s="10"/>
      <c r="G14" s="10">
        <f t="shared" si="0"/>
        <v>35100</v>
      </c>
      <c r="H14" s="16">
        <f t="shared" si="1"/>
        <v>11.17</v>
      </c>
      <c r="I14" s="15">
        <f t="shared" si="2"/>
        <v>4.7E-2</v>
      </c>
      <c r="J14" s="15">
        <f>ROUND(G14/20300-1,2)</f>
        <v>0.73</v>
      </c>
    </row>
    <row r="15" spans="1:10" x14ac:dyDescent="0.25">
      <c r="A15" s="1" t="s">
        <v>16</v>
      </c>
      <c r="B15" s="1" t="s">
        <v>24</v>
      </c>
      <c r="C15" s="10">
        <v>111780</v>
      </c>
      <c r="D15" s="10"/>
      <c r="E15" s="10"/>
      <c r="F15" s="10">
        <v>300</v>
      </c>
      <c r="G15" s="10">
        <f t="shared" si="0"/>
        <v>112080</v>
      </c>
      <c r="H15" s="16">
        <f t="shared" si="1"/>
        <v>35.659999999999997</v>
      </c>
      <c r="I15" s="15">
        <f t="shared" si="2"/>
        <v>0.151</v>
      </c>
      <c r="J15" s="15">
        <f>ROUND(G15/110900-1,2)</f>
        <v>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2955</v>
      </c>
      <c r="F16" s="10"/>
      <c r="G16" s="10">
        <f t="shared" si="0"/>
        <v>2955</v>
      </c>
      <c r="H16" s="16">
        <f t="shared" si="1"/>
        <v>0.94</v>
      </c>
      <c r="I16" s="15">
        <f t="shared" si="2"/>
        <v>4.0000000000000001E-3</v>
      </c>
      <c r="J16" s="15">
        <f>ROUND(G16/3880-1,2)</f>
        <v>-0.24</v>
      </c>
    </row>
    <row r="17" spans="1:10" x14ac:dyDescent="0.25">
      <c r="A17" s="1" t="s">
        <v>16</v>
      </c>
      <c r="B17" s="1" t="s">
        <v>26</v>
      </c>
      <c r="C17" s="10">
        <v>140830</v>
      </c>
      <c r="D17" s="10"/>
      <c r="E17" s="10"/>
      <c r="F17" s="10">
        <v>1090</v>
      </c>
      <c r="G17" s="10">
        <f t="shared" si="0"/>
        <v>141920</v>
      </c>
      <c r="H17" s="16">
        <f t="shared" si="1"/>
        <v>45.15</v>
      </c>
      <c r="I17" s="15">
        <f t="shared" si="2"/>
        <v>0.191</v>
      </c>
      <c r="J17" s="15">
        <f>ROUND(G17/142560-1,2)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469</v>
      </c>
      <c r="F18" s="10"/>
      <c r="G18" s="10">
        <f t="shared" si="0"/>
        <v>469</v>
      </c>
      <c r="H18" s="16">
        <f t="shared" si="1"/>
        <v>0.15</v>
      </c>
      <c r="I18" s="15">
        <f t="shared" si="2"/>
        <v>1E-3</v>
      </c>
      <c r="J18" s="15">
        <f>ROUND(G18/121-1,2)</f>
        <v>2.88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269</v>
      </c>
      <c r="F19" s="10"/>
      <c r="G19" s="10">
        <f t="shared" si="0"/>
        <v>269</v>
      </c>
      <c r="H19" s="16">
        <f t="shared" si="1"/>
        <v>0.09</v>
      </c>
      <c r="I19" s="15">
        <f t="shared" si="2"/>
        <v>0</v>
      </c>
      <c r="J19" s="15">
        <f>ROUND(G19/95-1,2)</f>
        <v>1.83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1200</v>
      </c>
      <c r="F20" s="10"/>
      <c r="G20" s="10">
        <f t="shared" si="0"/>
        <v>1200</v>
      </c>
      <c r="H20" s="16">
        <f t="shared" si="1"/>
        <v>0.38</v>
      </c>
      <c r="I20" s="15">
        <f t="shared" si="2"/>
        <v>2E-3</v>
      </c>
      <c r="J20" s="15">
        <f>ROUND(G20/4628-1,2)</f>
        <v>-0.74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360</v>
      </c>
      <c r="F21" s="10"/>
      <c r="G21" s="10">
        <f t="shared" si="0"/>
        <v>360</v>
      </c>
      <c r="H21" s="16">
        <f t="shared" si="1"/>
        <v>0.11</v>
      </c>
      <c r="I21" s="15">
        <f t="shared" si="2"/>
        <v>0</v>
      </c>
      <c r="J21" s="15">
        <f>ROUND(G21/640-1,2)</f>
        <v>-0.44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0.19</v>
      </c>
      <c r="I22" s="15">
        <f t="shared" si="2"/>
        <v>1E-3</v>
      </c>
      <c r="J22" s="15">
        <f>ROUND(G22/150-1,2)</f>
        <v>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675</v>
      </c>
      <c r="F23" s="10"/>
      <c r="G23" s="10">
        <f t="shared" si="0"/>
        <v>675</v>
      </c>
      <c r="H23" s="16">
        <f t="shared" si="1"/>
        <v>0.21</v>
      </c>
      <c r="I23" s="15">
        <f t="shared" si="2"/>
        <v>1E-3</v>
      </c>
      <c r="J23" s="15">
        <f>ROUND(G23/665-1,2)</f>
        <v>0.02</v>
      </c>
    </row>
    <row r="24" spans="1:10" x14ac:dyDescent="0.25">
      <c r="A24" s="1" t="s">
        <v>16</v>
      </c>
      <c r="B24" s="1" t="s">
        <v>33</v>
      </c>
      <c r="C24" s="10"/>
      <c r="D24" s="10">
        <v>247</v>
      </c>
      <c r="E24" s="10">
        <v>87</v>
      </c>
      <c r="F24" s="10"/>
      <c r="G24" s="10">
        <f t="shared" si="0"/>
        <v>334</v>
      </c>
      <c r="H24" s="16">
        <f t="shared" si="1"/>
        <v>0.11</v>
      </c>
      <c r="I24" s="15">
        <f t="shared" si="2"/>
        <v>0</v>
      </c>
      <c r="J24" s="15">
        <f>ROUND(G24/247-1,2)</f>
        <v>0.35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710</v>
      </c>
      <c r="F25" s="10"/>
      <c r="G25" s="10">
        <f t="shared" si="0"/>
        <v>710</v>
      </c>
      <c r="H25" s="16">
        <f t="shared" si="1"/>
        <v>0.23</v>
      </c>
      <c r="I25" s="15">
        <f t="shared" si="2"/>
        <v>1E-3</v>
      </c>
      <c r="J25" s="15">
        <f>ROUND(G25/570-1,2)</f>
        <v>0.25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580</v>
      </c>
      <c r="F26" s="10"/>
      <c r="G26" s="10">
        <f t="shared" si="0"/>
        <v>580</v>
      </c>
      <c r="H26" s="16">
        <f t="shared" si="1"/>
        <v>0.18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>
        <v>752</v>
      </c>
      <c r="F27" s="10"/>
      <c r="G27" s="10">
        <f t="shared" si="0"/>
        <v>752</v>
      </c>
      <c r="H27" s="16">
        <f t="shared" si="1"/>
        <v>0.24</v>
      </c>
      <c r="I27" s="15">
        <f t="shared" si="2"/>
        <v>1E-3</v>
      </c>
      <c r="J27" s="15">
        <f>ROUND(G27/3372-1,2)</f>
        <v>-0.78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1176</v>
      </c>
      <c r="F28" s="10"/>
      <c r="G28" s="10">
        <f t="shared" si="0"/>
        <v>1176</v>
      </c>
      <c r="H28" s="16">
        <f t="shared" si="1"/>
        <v>0.37</v>
      </c>
      <c r="I28" s="15">
        <f t="shared" si="2"/>
        <v>2E-3</v>
      </c>
      <c r="J28" s="15">
        <f>ROUND(G28/3743-1,2)</f>
        <v>-0.69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3827</v>
      </c>
      <c r="F29" s="10"/>
      <c r="G29" s="10">
        <f t="shared" si="0"/>
        <v>3827</v>
      </c>
      <c r="H29" s="16">
        <f t="shared" si="1"/>
        <v>1.22</v>
      </c>
      <c r="I29" s="15">
        <f t="shared" si="2"/>
        <v>5.0000000000000001E-3</v>
      </c>
      <c r="J29" s="15">
        <f>ROUND(G29/5549-1,2)</f>
        <v>-0.31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47560</v>
      </c>
      <c r="F30" s="10"/>
      <c r="G30" s="10">
        <f t="shared" si="0"/>
        <v>47560</v>
      </c>
      <c r="H30" s="16">
        <f t="shared" si="1"/>
        <v>15.13</v>
      </c>
      <c r="I30" s="15">
        <f t="shared" si="2"/>
        <v>6.4000000000000001E-2</v>
      </c>
      <c r="J30" s="15">
        <f>ROUND(G30/33590-1,2)</f>
        <v>0.42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3360</v>
      </c>
      <c r="F31" s="10"/>
      <c r="G31" s="10">
        <f t="shared" si="0"/>
        <v>3360</v>
      </c>
      <c r="H31" s="16">
        <f t="shared" si="1"/>
        <v>1.07</v>
      </c>
      <c r="I31" s="15">
        <f t="shared" si="2"/>
        <v>5.0000000000000001E-3</v>
      </c>
      <c r="J31" s="15">
        <f>ROUND(G31/2695-1,2)</f>
        <v>0.25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11850</v>
      </c>
      <c r="F32" s="10"/>
      <c r="G32" s="10">
        <f t="shared" si="0"/>
        <v>11850</v>
      </c>
      <c r="H32" s="16">
        <f t="shared" si="1"/>
        <v>3.77</v>
      </c>
      <c r="I32" s="15">
        <f t="shared" si="2"/>
        <v>1.6E-2</v>
      </c>
      <c r="J32" s="15">
        <f>ROUND(G32/10390-1,2)</f>
        <v>0.14000000000000001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46860</v>
      </c>
      <c r="F33" s="10">
        <v>1060</v>
      </c>
      <c r="G33" s="10">
        <f t="shared" si="0"/>
        <v>47920</v>
      </c>
      <c r="H33" s="16">
        <f t="shared" si="1"/>
        <v>15.25</v>
      </c>
      <c r="I33" s="15">
        <f t="shared" si="2"/>
        <v>6.5000000000000002E-2</v>
      </c>
      <c r="J33" s="15">
        <f>ROUND(G33/44080-1,2)</f>
        <v>0.09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ROUND(G34/234-1,2)</f>
        <v>-1</v>
      </c>
    </row>
    <row r="35" spans="1:10" x14ac:dyDescent="0.25">
      <c r="A35" s="1" t="s">
        <v>44</v>
      </c>
      <c r="B35" s="1" t="s">
        <v>45</v>
      </c>
      <c r="C35" s="10">
        <v>113630</v>
      </c>
      <c r="D35" s="10"/>
      <c r="E35" s="10"/>
      <c r="F35" s="10"/>
      <c r="G35" s="10">
        <f t="shared" si="0"/>
        <v>113630</v>
      </c>
      <c r="H35" s="16">
        <f t="shared" si="1"/>
        <v>36.15</v>
      </c>
      <c r="I35" s="15">
        <f t="shared" si="2"/>
        <v>0.153</v>
      </c>
      <c r="J35" s="15">
        <f>ROUND(G35/102920-1,2)</f>
        <v>0.1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>
        <v>17220</v>
      </c>
      <c r="G36" s="10">
        <f t="shared" si="0"/>
        <v>17220</v>
      </c>
      <c r="H36" s="16">
        <f t="shared" si="1"/>
        <v>5.48</v>
      </c>
      <c r="I36" s="15">
        <f t="shared" si="2"/>
        <v>2.3E-2</v>
      </c>
      <c r="J36" s="15">
        <f>ROUND(G36/19740-1,2)</f>
        <v>-0.13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34200</v>
      </c>
      <c r="F37" s="10"/>
      <c r="G37" s="10">
        <f t="shared" si="0"/>
        <v>34200</v>
      </c>
      <c r="H37" s="16">
        <f t="shared" si="1"/>
        <v>10.88</v>
      </c>
      <c r="I37" s="15">
        <f t="shared" si="2"/>
        <v>4.5999999999999999E-2</v>
      </c>
      <c r="J37" s="15">
        <f>ROUND(G37/26650-1,2)</f>
        <v>0.28000000000000003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ROUND(G38/10-1,2)</f>
        <v>-1</v>
      </c>
    </row>
    <row r="39" spans="1:10" x14ac:dyDescent="0.25">
      <c r="A39" s="23" t="s">
        <v>12</v>
      </c>
      <c r="B39" s="23"/>
      <c r="C39" s="11">
        <f t="shared" ref="C39:H39" si="3">SUM(C8:C38)</f>
        <v>528990</v>
      </c>
      <c r="D39" s="11">
        <f t="shared" si="3"/>
        <v>247</v>
      </c>
      <c r="E39" s="11">
        <f t="shared" si="3"/>
        <v>192879</v>
      </c>
      <c r="F39" s="11">
        <f t="shared" si="3"/>
        <v>20090</v>
      </c>
      <c r="G39" s="11">
        <f t="shared" si="3"/>
        <v>742206</v>
      </c>
      <c r="H39" s="14">
        <f t="shared" si="3"/>
        <v>236.14000000000004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0.71</v>
      </c>
      <c r="D40" s="12">
        <f>ROUND(D39/G39,2)</f>
        <v>0</v>
      </c>
      <c r="E40" s="12">
        <f>ROUND(E39/G39,2)</f>
        <v>0.26</v>
      </c>
      <c r="F40" s="12">
        <f>ROUND(F39/G39,2)</f>
        <v>0.03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415360</v>
      </c>
      <c r="D46" s="10">
        <v>247</v>
      </c>
      <c r="E46" s="10">
        <v>158679</v>
      </c>
      <c r="F46" s="10">
        <v>2870</v>
      </c>
      <c r="G46" s="10">
        <f>SUM(C46:F46)</f>
        <v>577156</v>
      </c>
      <c r="H46" s="16">
        <f>ROUND(G46/3143,2)</f>
        <v>183.63</v>
      </c>
      <c r="I46" s="9"/>
      <c r="J46" s="9"/>
    </row>
    <row r="47" spans="1:10" x14ac:dyDescent="0.25">
      <c r="A47" s="22" t="s">
        <v>55</v>
      </c>
      <c r="B47" s="22"/>
      <c r="C47" s="10">
        <v>113630</v>
      </c>
      <c r="D47" s="10">
        <v>0</v>
      </c>
      <c r="E47" s="10">
        <v>34200</v>
      </c>
      <c r="F47" s="10">
        <v>17220</v>
      </c>
      <c r="G47" s="10">
        <f>SUM(C47:F47)</f>
        <v>165050</v>
      </c>
      <c r="H47" s="16">
        <f>ROUND(G47/3143,2)</f>
        <v>52.51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ROUND(G48/3143,2)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ROUND(0.8316, 4)</f>
        <v>0.83160000000000001</v>
      </c>
      <c r="D54" s="15">
        <f>ROUND(0.8432, 4)</f>
        <v>0.84319999999999995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ROUND(0.8182, 4)</f>
        <v>0.81820000000000004</v>
      </c>
      <c r="D55" s="15">
        <f>ROUND(0.8294, 4)</f>
        <v>0.82940000000000003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140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36.15</v>
      </c>
      <c r="D60" s="16">
        <v>48.5</v>
      </c>
      <c r="E60" s="16">
        <v>89.58</v>
      </c>
      <c r="F60" s="16">
        <v>53.73</v>
      </c>
      <c r="G60" s="16">
        <f>12/9*C60</f>
        <v>48.199999999999996</v>
      </c>
      <c r="H60" s="8"/>
      <c r="I60" s="9"/>
      <c r="J60" s="9"/>
    </row>
    <row r="61" spans="1:10" x14ac:dyDescent="0.25">
      <c r="A61" s="22" t="s">
        <v>74</v>
      </c>
      <c r="B61" s="22"/>
      <c r="C61" s="16">
        <v>45.15</v>
      </c>
      <c r="D61" s="16">
        <v>55.01</v>
      </c>
      <c r="E61" s="16">
        <v>60.32</v>
      </c>
      <c r="F61" s="16">
        <v>61.62</v>
      </c>
      <c r="G61" s="16">
        <f>12/9*C61</f>
        <v>60.199999999999996</v>
      </c>
      <c r="H61" s="8"/>
      <c r="I61" s="9"/>
      <c r="J61" s="9"/>
    </row>
    <row r="62" spans="1:10" x14ac:dyDescent="0.25">
      <c r="A62" s="22" t="s">
        <v>75</v>
      </c>
      <c r="B62" s="22"/>
      <c r="C62" s="16">
        <v>183.63</v>
      </c>
      <c r="D62" s="16">
        <v>231.71</v>
      </c>
      <c r="E62" s="16">
        <v>282.8</v>
      </c>
      <c r="F62" s="16">
        <v>273.33</v>
      </c>
      <c r="G62" s="16">
        <f>12/9*C62</f>
        <v>244.83999999999997</v>
      </c>
      <c r="H62" s="8"/>
      <c r="I62" s="9"/>
      <c r="J62" s="9"/>
    </row>
    <row r="63" spans="1:10" x14ac:dyDescent="0.25">
      <c r="A63" s="22" t="s">
        <v>76</v>
      </c>
      <c r="B63" s="22"/>
      <c r="C63" s="16">
        <v>52.51</v>
      </c>
      <c r="D63" s="16">
        <v>66.13</v>
      </c>
      <c r="E63" s="16">
        <v>112.72</v>
      </c>
      <c r="F63" s="16">
        <v>76.52</v>
      </c>
      <c r="G63" s="16">
        <f>12/9*C63</f>
        <v>70.013333333333321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9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2014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44</v>
      </c>
      <c r="F9" s="10"/>
      <c r="G9" s="10">
        <f t="shared" ref="G9:G43" si="0">SUM(C9:F9)</f>
        <v>44</v>
      </c>
      <c r="H9" s="16">
        <f t="shared" ref="H9:H43" si="1">ROUND(G9/2014,2)</f>
        <v>0.02</v>
      </c>
      <c r="I9" s="15">
        <f t="shared" ref="I9:I43" si="2">ROUND(G9/$G$44,3)</f>
        <v>0</v>
      </c>
      <c r="J9" s="15">
        <f>ROUND(G9/97-1,2)</f>
        <v>-0.55000000000000004</v>
      </c>
    </row>
    <row r="10" spans="1:10" x14ac:dyDescent="0.25">
      <c r="A10" s="1" t="s">
        <v>16</v>
      </c>
      <c r="B10" s="1" t="s">
        <v>19</v>
      </c>
      <c r="C10" s="10">
        <v>54660</v>
      </c>
      <c r="D10" s="10"/>
      <c r="E10" s="10"/>
      <c r="F10" s="10"/>
      <c r="G10" s="10">
        <f t="shared" si="0"/>
        <v>54660</v>
      </c>
      <c r="H10" s="16">
        <f t="shared" si="1"/>
        <v>27.14</v>
      </c>
      <c r="I10" s="15">
        <f t="shared" si="2"/>
        <v>8.5999999999999993E-2</v>
      </c>
      <c r="J10" s="15">
        <f>ROUND(G10/49520-1,2)</f>
        <v>0.1</v>
      </c>
    </row>
    <row r="11" spans="1:10" x14ac:dyDescent="0.25">
      <c r="A11" s="1" t="s">
        <v>16</v>
      </c>
      <c r="B11" s="1" t="s">
        <v>20</v>
      </c>
      <c r="C11" s="10">
        <v>56040</v>
      </c>
      <c r="D11" s="10"/>
      <c r="E11" s="10"/>
      <c r="F11" s="10">
        <v>100</v>
      </c>
      <c r="G11" s="10">
        <f t="shared" si="0"/>
        <v>56140</v>
      </c>
      <c r="H11" s="16">
        <f t="shared" si="1"/>
        <v>27.87</v>
      </c>
      <c r="I11" s="15">
        <f t="shared" si="2"/>
        <v>8.7999999999999995E-2</v>
      </c>
      <c r="J11" s="15">
        <f>ROUND(G11/56660-1,2)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96</v>
      </c>
      <c r="F12" s="10"/>
      <c r="G12" s="10">
        <f t="shared" si="0"/>
        <v>96</v>
      </c>
      <c r="H12" s="16">
        <f t="shared" si="1"/>
        <v>0.05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21</v>
      </c>
      <c r="C13" s="10"/>
      <c r="D13" s="10"/>
      <c r="E13" s="10">
        <v>57</v>
      </c>
      <c r="F13" s="10"/>
      <c r="G13" s="10">
        <f t="shared" si="0"/>
        <v>57</v>
      </c>
      <c r="H13" s="16">
        <f t="shared" si="1"/>
        <v>0.03</v>
      </c>
      <c r="I13" s="15">
        <f t="shared" si="2"/>
        <v>0</v>
      </c>
      <c r="J13" s="15">
        <f>ROUND(G13/81-1,2)</f>
        <v>-0.3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2380</v>
      </c>
      <c r="F14" s="10"/>
      <c r="G14" s="10">
        <f t="shared" si="0"/>
        <v>2380</v>
      </c>
      <c r="H14" s="16">
        <f t="shared" si="1"/>
        <v>1.18</v>
      </c>
      <c r="I14" s="15">
        <f t="shared" si="2"/>
        <v>4.0000000000000001E-3</v>
      </c>
      <c r="J14" s="15">
        <f>ROUND(G14/1110-1,2)</f>
        <v>1.1399999999999999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48240</v>
      </c>
      <c r="F15" s="10"/>
      <c r="G15" s="10">
        <f t="shared" si="0"/>
        <v>48240</v>
      </c>
      <c r="H15" s="16">
        <f t="shared" si="1"/>
        <v>23.95</v>
      </c>
      <c r="I15" s="15">
        <f t="shared" si="2"/>
        <v>7.5999999999999998E-2</v>
      </c>
      <c r="J15" s="15">
        <f>ROUND(G15/60650-1,2)</f>
        <v>-0.2</v>
      </c>
    </row>
    <row r="16" spans="1:10" x14ac:dyDescent="0.25">
      <c r="A16" s="1" t="s">
        <v>16</v>
      </c>
      <c r="B16" s="1" t="s">
        <v>24</v>
      </c>
      <c r="C16" s="10">
        <v>62420</v>
      </c>
      <c r="D16" s="10"/>
      <c r="E16" s="10">
        <v>8685</v>
      </c>
      <c r="F16" s="10"/>
      <c r="G16" s="10">
        <f t="shared" si="0"/>
        <v>71105</v>
      </c>
      <c r="H16" s="16">
        <f t="shared" si="1"/>
        <v>35.31</v>
      </c>
      <c r="I16" s="15">
        <f t="shared" si="2"/>
        <v>0.111</v>
      </c>
      <c r="J16" s="15">
        <f>ROUND(G16/75765-1,2)</f>
        <v>-0.06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3030</v>
      </c>
      <c r="F17" s="10"/>
      <c r="G17" s="10">
        <f t="shared" si="0"/>
        <v>3030</v>
      </c>
      <c r="H17" s="16">
        <f t="shared" si="1"/>
        <v>1.5</v>
      </c>
      <c r="I17" s="15">
        <f t="shared" si="2"/>
        <v>5.0000000000000001E-3</v>
      </c>
      <c r="J17" s="15">
        <f>ROUND(G17/2990-1,2)</f>
        <v>0.01</v>
      </c>
    </row>
    <row r="18" spans="1:10" x14ac:dyDescent="0.25">
      <c r="A18" s="1" t="s">
        <v>16</v>
      </c>
      <c r="B18" s="1" t="s">
        <v>26</v>
      </c>
      <c r="C18" s="10">
        <v>100620</v>
      </c>
      <c r="D18" s="10"/>
      <c r="E18" s="10"/>
      <c r="F18" s="10">
        <v>140</v>
      </c>
      <c r="G18" s="10">
        <f t="shared" si="0"/>
        <v>100760</v>
      </c>
      <c r="H18" s="16">
        <f t="shared" si="1"/>
        <v>50.03</v>
      </c>
      <c r="I18" s="15">
        <f t="shared" si="2"/>
        <v>0.158</v>
      </c>
      <c r="J18" s="15">
        <f>ROUND(G18/108940-1,2)</f>
        <v>-0.08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336</v>
      </c>
      <c r="F19" s="10"/>
      <c r="G19" s="10">
        <f t="shared" si="0"/>
        <v>336</v>
      </c>
      <c r="H19" s="16">
        <f t="shared" si="1"/>
        <v>0.17</v>
      </c>
      <c r="I19" s="15">
        <f t="shared" si="2"/>
        <v>1E-3</v>
      </c>
      <c r="J19" s="15">
        <f>ROUND(G19/455-1,2)</f>
        <v>-0.26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130</v>
      </c>
      <c r="F20" s="10"/>
      <c r="G20" s="10">
        <f t="shared" si="0"/>
        <v>130</v>
      </c>
      <c r="H20" s="16">
        <f t="shared" si="1"/>
        <v>0.06</v>
      </c>
      <c r="I20" s="15">
        <f t="shared" si="2"/>
        <v>0</v>
      </c>
      <c r="J20" s="15">
        <f>ROUND(G20/271-1,2)</f>
        <v>-0.52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89</v>
      </c>
      <c r="F21" s="10"/>
      <c r="G21" s="10">
        <f t="shared" si="0"/>
        <v>89</v>
      </c>
      <c r="H21" s="16">
        <f t="shared" si="1"/>
        <v>0.04</v>
      </c>
      <c r="I21" s="15">
        <f t="shared" si="2"/>
        <v>0</v>
      </c>
      <c r="J21" s="15">
        <f>ROUND(G21/219-1,2)</f>
        <v>-0.59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2330</v>
      </c>
      <c r="F22" s="10"/>
      <c r="G22" s="10">
        <f t="shared" si="0"/>
        <v>2330</v>
      </c>
      <c r="H22" s="16">
        <f t="shared" si="1"/>
        <v>1.1599999999999999</v>
      </c>
      <c r="I22" s="15">
        <f t="shared" si="2"/>
        <v>4.0000000000000001E-3</v>
      </c>
      <c r="J22" s="15">
        <f>ROUND(G22/3860-1,2)</f>
        <v>-0.4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230</v>
      </c>
      <c r="F23" s="10"/>
      <c r="G23" s="10">
        <f t="shared" si="0"/>
        <v>230</v>
      </c>
      <c r="H23" s="16">
        <f t="shared" si="1"/>
        <v>0.11</v>
      </c>
      <c r="I23" s="15">
        <f t="shared" si="2"/>
        <v>0</v>
      </c>
      <c r="J23" s="15">
        <f>ROUND(G23/370-1,2)</f>
        <v>-0.38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650</v>
      </c>
      <c r="F24" s="10"/>
      <c r="G24" s="10">
        <f t="shared" si="0"/>
        <v>650</v>
      </c>
      <c r="H24" s="16">
        <f t="shared" si="1"/>
        <v>0.32</v>
      </c>
      <c r="I24" s="15">
        <f t="shared" si="2"/>
        <v>1E-3</v>
      </c>
      <c r="J24" s="15">
        <f>ROUND(G24/500-1,2)</f>
        <v>0.3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862</v>
      </c>
      <c r="F25" s="10"/>
      <c r="G25" s="10">
        <f t="shared" si="0"/>
        <v>862</v>
      </c>
      <c r="H25" s="16">
        <f t="shared" si="1"/>
        <v>0.43</v>
      </c>
      <c r="I25" s="15">
        <f t="shared" si="2"/>
        <v>1E-3</v>
      </c>
      <c r="J25" s="15">
        <f>ROUND(G25/950-1,2)</f>
        <v>-0.09</v>
      </c>
    </row>
    <row r="26" spans="1:10" x14ac:dyDescent="0.25">
      <c r="A26" s="1" t="s">
        <v>16</v>
      </c>
      <c r="B26" s="1" t="s">
        <v>33</v>
      </c>
      <c r="C26" s="10"/>
      <c r="D26" s="10">
        <v>88</v>
      </c>
      <c r="E26" s="10">
        <v>27</v>
      </c>
      <c r="F26" s="10"/>
      <c r="G26" s="10">
        <f t="shared" si="0"/>
        <v>115</v>
      </c>
      <c r="H26" s="16">
        <f t="shared" si="1"/>
        <v>0.06</v>
      </c>
      <c r="I26" s="15">
        <f t="shared" si="2"/>
        <v>0</v>
      </c>
      <c r="J26" s="15">
        <f>ROUND(G26/134-1,2)</f>
        <v>-0.14000000000000001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280</v>
      </c>
      <c r="F27" s="10"/>
      <c r="G27" s="10">
        <f t="shared" si="0"/>
        <v>280</v>
      </c>
      <c r="H27" s="16">
        <f t="shared" si="1"/>
        <v>0.14000000000000001</v>
      </c>
      <c r="I27" s="15">
        <f t="shared" si="2"/>
        <v>0</v>
      </c>
      <c r="J27" s="15">
        <f>ROUND(G27/360-1,2)</f>
        <v>-0.22</v>
      </c>
    </row>
    <row r="28" spans="1:10" x14ac:dyDescent="0.25">
      <c r="A28" s="1" t="s">
        <v>16</v>
      </c>
      <c r="B28" s="1" t="s">
        <v>35</v>
      </c>
      <c r="C28" s="10"/>
      <c r="D28" s="10">
        <v>55</v>
      </c>
      <c r="E28" s="10">
        <v>200</v>
      </c>
      <c r="F28" s="10"/>
      <c r="G28" s="10">
        <f t="shared" si="0"/>
        <v>255</v>
      </c>
      <c r="H28" s="16">
        <f t="shared" si="1"/>
        <v>0.13</v>
      </c>
      <c r="I28" s="15">
        <f t="shared" si="2"/>
        <v>0</v>
      </c>
      <c r="J28" s="15">
        <f>ROUND(G28/270-1,2)</f>
        <v>-0.06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3130</v>
      </c>
      <c r="F29" s="10"/>
      <c r="G29" s="10">
        <f t="shared" si="0"/>
        <v>3130</v>
      </c>
      <c r="H29" s="16">
        <f t="shared" si="1"/>
        <v>1.55</v>
      </c>
      <c r="I29" s="15">
        <f t="shared" si="2"/>
        <v>5.0000000000000001E-3</v>
      </c>
      <c r="J29" s="15">
        <f>ROUND(G29/3750-1,2)</f>
        <v>-0.17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2740</v>
      </c>
      <c r="F30" s="10"/>
      <c r="G30" s="10">
        <f t="shared" si="0"/>
        <v>2740</v>
      </c>
      <c r="H30" s="16">
        <f t="shared" si="1"/>
        <v>1.36</v>
      </c>
      <c r="I30" s="15">
        <f t="shared" si="2"/>
        <v>4.0000000000000001E-3</v>
      </c>
      <c r="J30" s="15">
        <f>ROUND(G30/5558-1,2)</f>
        <v>-0.51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44220</v>
      </c>
      <c r="F31" s="10"/>
      <c r="G31" s="10">
        <f t="shared" si="0"/>
        <v>44220</v>
      </c>
      <c r="H31" s="16">
        <f t="shared" si="1"/>
        <v>21.96</v>
      </c>
      <c r="I31" s="15">
        <f t="shared" si="2"/>
        <v>6.9000000000000006E-2</v>
      </c>
      <c r="J31" s="15">
        <f>ROUND(G31/42810-1,2)</f>
        <v>0.03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12410</v>
      </c>
      <c r="F32" s="10"/>
      <c r="G32" s="10">
        <f t="shared" si="0"/>
        <v>12410</v>
      </c>
      <c r="H32" s="16">
        <f t="shared" si="1"/>
        <v>6.16</v>
      </c>
      <c r="I32" s="15">
        <f t="shared" si="2"/>
        <v>1.9E-2</v>
      </c>
      <c r="J32" s="15">
        <f>ROUND(G32/12340-1,2)</f>
        <v>0.01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65500</v>
      </c>
      <c r="F33" s="10"/>
      <c r="G33" s="10">
        <f t="shared" si="0"/>
        <v>65500</v>
      </c>
      <c r="H33" s="16">
        <f t="shared" si="1"/>
        <v>32.520000000000003</v>
      </c>
      <c r="I33" s="15">
        <f t="shared" si="2"/>
        <v>0.10299999999999999</v>
      </c>
      <c r="J33" s="15">
        <f>ROUND(G33/55720-1,2)</f>
        <v>0.18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ROUND(G34/2690-1,2)</f>
        <v>-1</v>
      </c>
    </row>
    <row r="35" spans="1:10" x14ac:dyDescent="0.25">
      <c r="A35" s="1" t="s">
        <v>16</v>
      </c>
      <c r="B35" s="1" t="s">
        <v>143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144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120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145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118630</v>
      </c>
      <c r="D39" s="10"/>
      <c r="E39" s="10"/>
      <c r="F39" s="10"/>
      <c r="G39" s="10">
        <f t="shared" si="0"/>
        <v>118630</v>
      </c>
      <c r="H39" s="16">
        <f t="shared" si="1"/>
        <v>58.9</v>
      </c>
      <c r="I39" s="15">
        <f t="shared" si="2"/>
        <v>0.186</v>
      </c>
      <c r="J39" s="15">
        <f>ROUND(G39/111700-1,2)</f>
        <v>0.06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50390</v>
      </c>
      <c r="F40" s="10"/>
      <c r="G40" s="10">
        <f t="shared" si="0"/>
        <v>50390</v>
      </c>
      <c r="H40" s="16">
        <f t="shared" si="1"/>
        <v>25.02</v>
      </c>
      <c r="I40" s="15">
        <f t="shared" si="2"/>
        <v>7.9000000000000001E-2</v>
      </c>
      <c r="J40" s="15">
        <f>ROUND(G40/46220-1,2)</f>
        <v>0.09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3" t="s">
        <v>12</v>
      </c>
      <c r="B44" s="23"/>
      <c r="C44" s="11">
        <f t="shared" ref="C44:H44" si="3">SUM(C8:C43)</f>
        <v>392370</v>
      </c>
      <c r="D44" s="11">
        <f t="shared" si="3"/>
        <v>143</v>
      </c>
      <c r="E44" s="11">
        <f t="shared" si="3"/>
        <v>246056</v>
      </c>
      <c r="F44" s="11">
        <f t="shared" si="3"/>
        <v>240</v>
      </c>
      <c r="G44" s="11">
        <f t="shared" si="3"/>
        <v>638809</v>
      </c>
      <c r="H44" s="14">
        <f t="shared" si="3"/>
        <v>317.16999999999996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0.61</v>
      </c>
      <c r="D45" s="12">
        <f>ROUND(D44/G44,2)</f>
        <v>0</v>
      </c>
      <c r="E45" s="12">
        <f>ROUND(E44/G44,2)</f>
        <v>0.39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273740</v>
      </c>
      <c r="D51" s="10">
        <v>143</v>
      </c>
      <c r="E51" s="10">
        <v>195666</v>
      </c>
      <c r="F51" s="10">
        <v>240</v>
      </c>
      <c r="G51" s="10">
        <f>SUM(C51:F51)</f>
        <v>469789</v>
      </c>
      <c r="H51" s="16">
        <f>ROUND(G51/2014,2)</f>
        <v>233.26</v>
      </c>
      <c r="I51" s="9"/>
      <c r="J51" s="9"/>
    </row>
    <row r="52" spans="1:10" x14ac:dyDescent="0.25">
      <c r="A52" s="22" t="s">
        <v>55</v>
      </c>
      <c r="B52" s="22"/>
      <c r="C52" s="10">
        <v>118630</v>
      </c>
      <c r="D52" s="10">
        <v>0</v>
      </c>
      <c r="E52" s="10">
        <v>50390</v>
      </c>
      <c r="F52" s="10">
        <v>0</v>
      </c>
      <c r="G52" s="10">
        <f>SUM(C52:F52)</f>
        <v>169020</v>
      </c>
      <c r="H52" s="16">
        <f>ROUND(G52/2014,2)</f>
        <v>83.92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ROUND(G53/2014,2)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ROUND(0.797, 4)</f>
        <v>0.79700000000000004</v>
      </c>
      <c r="D59" s="15">
        <f>ROUND(0.7972, 4)</f>
        <v>0.79720000000000002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ROUND(0.7851, 4)</f>
        <v>0.78510000000000002</v>
      </c>
      <c r="D60" s="15">
        <f>ROUND(0.7863, 4)</f>
        <v>0.7863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146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58.9</v>
      </c>
      <c r="D65" s="16">
        <v>72.930000000000007</v>
      </c>
      <c r="E65" s="16">
        <v>89.58</v>
      </c>
      <c r="F65" s="16">
        <v>53.73</v>
      </c>
      <c r="G65" s="16">
        <f>12/9*C65</f>
        <v>78.533333333333331</v>
      </c>
      <c r="H65" s="8"/>
      <c r="I65" s="9"/>
      <c r="J65" s="9"/>
    </row>
    <row r="66" spans="1:10" x14ac:dyDescent="0.25">
      <c r="A66" s="22" t="s">
        <v>74</v>
      </c>
      <c r="B66" s="22"/>
      <c r="C66" s="16">
        <v>50.03</v>
      </c>
      <c r="D66" s="16">
        <v>71.69</v>
      </c>
      <c r="E66" s="16">
        <v>60.32</v>
      </c>
      <c r="F66" s="16">
        <v>61.62</v>
      </c>
      <c r="G66" s="16">
        <f>12/9*C66</f>
        <v>66.706666666666663</v>
      </c>
      <c r="H66" s="8"/>
      <c r="I66" s="9"/>
      <c r="J66" s="9"/>
    </row>
    <row r="67" spans="1:10" x14ac:dyDescent="0.25">
      <c r="A67" s="22" t="s">
        <v>75</v>
      </c>
      <c r="B67" s="22"/>
      <c r="C67" s="16">
        <v>233.26</v>
      </c>
      <c r="D67" s="16">
        <v>296.64999999999998</v>
      </c>
      <c r="E67" s="16">
        <v>282.8</v>
      </c>
      <c r="F67" s="16">
        <v>273.33</v>
      </c>
      <c r="G67" s="16">
        <f>12/9*C67</f>
        <v>311.01333333333332</v>
      </c>
      <c r="H67" s="8"/>
      <c r="I67" s="9"/>
      <c r="J67" s="9"/>
    </row>
    <row r="68" spans="1:10" x14ac:dyDescent="0.25">
      <c r="A68" s="22" t="s">
        <v>76</v>
      </c>
      <c r="B68" s="22"/>
      <c r="C68" s="16">
        <v>83.92</v>
      </c>
      <c r="D68" s="16">
        <v>104.88</v>
      </c>
      <c r="E68" s="16">
        <v>112.72</v>
      </c>
      <c r="F68" s="16">
        <v>76.52</v>
      </c>
      <c r="G68" s="16">
        <f>12/9*C68</f>
        <v>111.89333333333333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1" t="s">
        <v>60</v>
      </c>
      <c r="B71" s="28"/>
    </row>
    <row r="72" spans="1:10" x14ac:dyDescent="0.25">
      <c r="A72" s="3" t="s">
        <v>77</v>
      </c>
      <c r="B72" s="1" t="s">
        <v>147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0"/>
  <dimension ref="A2:J6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148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2233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37" si="0">SUM(C9:F9)</f>
        <v>25</v>
      </c>
      <c r="H9" s="16">
        <f t="shared" ref="H9:H37" si="1">ROUND(G9/2233,2)</f>
        <v>0.01</v>
      </c>
      <c r="I9" s="15">
        <f t="shared" ref="I9:I37" si="2">ROUND(G9/$G$38,3)</f>
        <v>0</v>
      </c>
      <c r="J9" s="15">
        <f>ROUND(G9/25-1,2)</f>
        <v>0</v>
      </c>
    </row>
    <row r="10" spans="1:10" x14ac:dyDescent="0.25">
      <c r="A10" s="1" t="s">
        <v>16</v>
      </c>
      <c r="B10" s="1" t="s">
        <v>19</v>
      </c>
      <c r="C10" s="10">
        <v>58320</v>
      </c>
      <c r="D10" s="10"/>
      <c r="E10" s="10"/>
      <c r="F10" s="10"/>
      <c r="G10" s="10">
        <f t="shared" si="0"/>
        <v>58320</v>
      </c>
      <c r="H10" s="16">
        <f t="shared" si="1"/>
        <v>26.12</v>
      </c>
      <c r="I10" s="15">
        <f t="shared" si="2"/>
        <v>7.0000000000000007E-2</v>
      </c>
      <c r="J10" s="15">
        <f>ROUND(G10/55940-1,2)</f>
        <v>0.04</v>
      </c>
    </row>
    <row r="11" spans="1:10" x14ac:dyDescent="0.25">
      <c r="A11" s="1" t="s">
        <v>16</v>
      </c>
      <c r="B11" s="1" t="s">
        <v>20</v>
      </c>
      <c r="C11" s="10">
        <v>73980</v>
      </c>
      <c r="D11" s="10"/>
      <c r="E11" s="10"/>
      <c r="F11" s="10"/>
      <c r="G11" s="10">
        <f t="shared" si="0"/>
        <v>73980</v>
      </c>
      <c r="H11" s="16">
        <f t="shared" si="1"/>
        <v>33.130000000000003</v>
      </c>
      <c r="I11" s="15">
        <f t="shared" si="2"/>
        <v>8.7999999999999995E-2</v>
      </c>
      <c r="J11" s="15">
        <f>ROUND(G11/63520-1,2)</f>
        <v>0.16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1620</v>
      </c>
      <c r="F12" s="10"/>
      <c r="G12" s="10">
        <f t="shared" si="0"/>
        <v>1620</v>
      </c>
      <c r="H12" s="16">
        <f t="shared" si="1"/>
        <v>0.73</v>
      </c>
      <c r="I12" s="15">
        <f t="shared" si="2"/>
        <v>2E-3</v>
      </c>
      <c r="J12" s="15"/>
    </row>
    <row r="13" spans="1:10" x14ac:dyDescent="0.25">
      <c r="A13" s="1" t="s">
        <v>16</v>
      </c>
      <c r="B13" s="1" t="s">
        <v>98</v>
      </c>
      <c r="C13" s="10"/>
      <c r="D13" s="10"/>
      <c r="E13" s="10"/>
      <c r="F13" s="10">
        <v>340</v>
      </c>
      <c r="G13" s="10">
        <f t="shared" si="0"/>
        <v>340</v>
      </c>
      <c r="H13" s="16">
        <f t="shared" si="1"/>
        <v>0.15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77340</v>
      </c>
      <c r="F14" s="10"/>
      <c r="G14" s="10">
        <f t="shared" si="0"/>
        <v>77340</v>
      </c>
      <c r="H14" s="16">
        <f t="shared" si="1"/>
        <v>34.64</v>
      </c>
      <c r="I14" s="15">
        <f t="shared" si="2"/>
        <v>9.1999999999999998E-2</v>
      </c>
      <c r="J14" s="15">
        <f>ROUND(G14/87440-1,2)</f>
        <v>-0.12</v>
      </c>
    </row>
    <row r="15" spans="1:10" x14ac:dyDescent="0.25">
      <c r="A15" s="1" t="s">
        <v>16</v>
      </c>
      <c r="B15" s="1" t="s">
        <v>24</v>
      </c>
      <c r="C15" s="10">
        <v>87760</v>
      </c>
      <c r="D15" s="10"/>
      <c r="E15" s="10"/>
      <c r="F15" s="10"/>
      <c r="G15" s="10">
        <f t="shared" si="0"/>
        <v>87760</v>
      </c>
      <c r="H15" s="16">
        <f t="shared" si="1"/>
        <v>39.299999999999997</v>
      </c>
      <c r="I15" s="15">
        <f t="shared" si="2"/>
        <v>0.105</v>
      </c>
      <c r="J15" s="15">
        <f>ROUND(G15/89290-1,2)</f>
        <v>-0.02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4885</v>
      </c>
      <c r="F16" s="10"/>
      <c r="G16" s="10">
        <f t="shared" si="0"/>
        <v>4885</v>
      </c>
      <c r="H16" s="16">
        <f t="shared" si="1"/>
        <v>2.19</v>
      </c>
      <c r="I16" s="15">
        <f t="shared" si="2"/>
        <v>6.0000000000000001E-3</v>
      </c>
      <c r="J16" s="15">
        <f>ROUND(G16/770-1,2)</f>
        <v>5.34</v>
      </c>
    </row>
    <row r="17" spans="1:10" x14ac:dyDescent="0.25">
      <c r="A17" s="1" t="s">
        <v>16</v>
      </c>
      <c r="B17" s="1" t="s">
        <v>26</v>
      </c>
      <c r="C17" s="10">
        <v>132540</v>
      </c>
      <c r="D17" s="10"/>
      <c r="E17" s="10"/>
      <c r="F17" s="10"/>
      <c r="G17" s="10">
        <f t="shared" si="0"/>
        <v>132540</v>
      </c>
      <c r="H17" s="16">
        <f t="shared" si="1"/>
        <v>59.36</v>
      </c>
      <c r="I17" s="15">
        <f t="shared" si="2"/>
        <v>0.158</v>
      </c>
      <c r="J17" s="15">
        <f>ROUND(G17/133430-1,2)</f>
        <v>-0.01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201</v>
      </c>
      <c r="F18" s="10"/>
      <c r="G18" s="10">
        <f t="shared" si="0"/>
        <v>201</v>
      </c>
      <c r="H18" s="16">
        <f t="shared" si="1"/>
        <v>0.09</v>
      </c>
      <c r="I18" s="15">
        <f t="shared" si="2"/>
        <v>0</v>
      </c>
      <c r="J18" s="15">
        <f>ROUND(G18/258-1,2)</f>
        <v>-0.22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162</v>
      </c>
      <c r="F19" s="10"/>
      <c r="G19" s="10">
        <f t="shared" si="0"/>
        <v>162</v>
      </c>
      <c r="H19" s="16">
        <f t="shared" si="1"/>
        <v>7.0000000000000007E-2</v>
      </c>
      <c r="I19" s="15">
        <f t="shared" si="2"/>
        <v>0</v>
      </c>
      <c r="J19" s="15">
        <f>ROUND(G19/175-1,2)</f>
        <v>-7.0000000000000007E-2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247</v>
      </c>
      <c r="F20" s="10"/>
      <c r="G20" s="10">
        <f t="shared" si="0"/>
        <v>247</v>
      </c>
      <c r="H20" s="16">
        <f t="shared" si="1"/>
        <v>0.11</v>
      </c>
      <c r="I20" s="15">
        <f t="shared" si="2"/>
        <v>0</v>
      </c>
      <c r="J20" s="15">
        <f>ROUND(G20/157-1,2)</f>
        <v>0.56999999999999995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720</v>
      </c>
      <c r="F21" s="10"/>
      <c r="G21" s="10">
        <f t="shared" si="0"/>
        <v>720</v>
      </c>
      <c r="H21" s="16">
        <f t="shared" si="1"/>
        <v>0.32</v>
      </c>
      <c r="I21" s="15">
        <f t="shared" si="2"/>
        <v>1E-3</v>
      </c>
      <c r="J21" s="15">
        <f>ROUND(G21/2180-1,2)</f>
        <v>-0.67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420</v>
      </c>
      <c r="F22" s="10"/>
      <c r="G22" s="10">
        <f t="shared" si="0"/>
        <v>420</v>
      </c>
      <c r="H22" s="16">
        <f t="shared" si="1"/>
        <v>0.19</v>
      </c>
      <c r="I22" s="15">
        <f t="shared" si="2"/>
        <v>1E-3</v>
      </c>
      <c r="J22" s="15">
        <f>ROUND(G22/330-1,2)</f>
        <v>0.27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460</v>
      </c>
      <c r="F23" s="10"/>
      <c r="G23" s="10">
        <f t="shared" si="0"/>
        <v>460</v>
      </c>
      <c r="H23" s="16">
        <f t="shared" si="1"/>
        <v>0.21</v>
      </c>
      <c r="I23" s="15">
        <f t="shared" si="2"/>
        <v>1E-3</v>
      </c>
      <c r="J23" s="15">
        <f>ROUND(G23/370-1,2)</f>
        <v>0.24</v>
      </c>
    </row>
    <row r="24" spans="1:10" x14ac:dyDescent="0.25">
      <c r="A24" s="1" t="s">
        <v>16</v>
      </c>
      <c r="B24" s="1" t="s">
        <v>33</v>
      </c>
      <c r="C24" s="10"/>
      <c r="D24" s="10">
        <v>111</v>
      </c>
      <c r="E24" s="10">
        <v>40</v>
      </c>
      <c r="F24" s="10"/>
      <c r="G24" s="10">
        <f t="shared" si="0"/>
        <v>151</v>
      </c>
      <c r="H24" s="16">
        <f t="shared" si="1"/>
        <v>7.0000000000000007E-2</v>
      </c>
      <c r="I24" s="15">
        <f t="shared" si="2"/>
        <v>0</v>
      </c>
      <c r="J24" s="15">
        <f>ROUND(G24/121-1,2)</f>
        <v>0.25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210</v>
      </c>
      <c r="F25" s="10"/>
      <c r="G25" s="10">
        <f t="shared" si="0"/>
        <v>210</v>
      </c>
      <c r="H25" s="16">
        <f t="shared" si="1"/>
        <v>0.09</v>
      </c>
      <c r="I25" s="15">
        <f t="shared" si="2"/>
        <v>0</v>
      </c>
      <c r="J25" s="15">
        <f>ROUND(G25/610-1,2)</f>
        <v>-0.66</v>
      </c>
    </row>
    <row r="26" spans="1:10" x14ac:dyDescent="0.25">
      <c r="A26" s="1" t="s">
        <v>16</v>
      </c>
      <c r="B26" s="1" t="s">
        <v>35</v>
      </c>
      <c r="C26" s="10"/>
      <c r="D26" s="10">
        <v>55</v>
      </c>
      <c r="E26" s="10"/>
      <c r="F26" s="10"/>
      <c r="G26" s="10">
        <f t="shared" si="0"/>
        <v>55</v>
      </c>
      <c r="H26" s="16">
        <f t="shared" si="1"/>
        <v>0.02</v>
      </c>
      <c r="I26" s="15">
        <f t="shared" si="2"/>
        <v>0</v>
      </c>
      <c r="J26" s="15">
        <f>ROUND(G26/270-1,2)</f>
        <v>-0.8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1158</v>
      </c>
      <c r="F27" s="10"/>
      <c r="G27" s="10">
        <f t="shared" si="0"/>
        <v>1158</v>
      </c>
      <c r="H27" s="16">
        <f t="shared" si="1"/>
        <v>0.52</v>
      </c>
      <c r="I27" s="15">
        <f t="shared" si="2"/>
        <v>1E-3</v>
      </c>
      <c r="J27" s="15">
        <f>ROUND(G27/2881-1,2)</f>
        <v>-0.6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1260</v>
      </c>
      <c r="F28" s="10"/>
      <c r="G28" s="10">
        <f t="shared" si="0"/>
        <v>1260</v>
      </c>
      <c r="H28" s="16">
        <f t="shared" si="1"/>
        <v>0.56000000000000005</v>
      </c>
      <c r="I28" s="15">
        <f t="shared" si="2"/>
        <v>2E-3</v>
      </c>
      <c r="J28" s="15">
        <f>ROUND(G28/3534-1,2)</f>
        <v>-0.64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2748</v>
      </c>
      <c r="F29" s="10"/>
      <c r="G29" s="10">
        <f t="shared" si="0"/>
        <v>2748</v>
      </c>
      <c r="H29" s="16">
        <f t="shared" si="1"/>
        <v>1.23</v>
      </c>
      <c r="I29" s="15">
        <f t="shared" si="2"/>
        <v>3.0000000000000001E-3</v>
      </c>
      <c r="J29" s="15">
        <f>ROUND(G29/4550-1,2)</f>
        <v>-0.4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61700</v>
      </c>
      <c r="F30" s="10"/>
      <c r="G30" s="10">
        <f t="shared" si="0"/>
        <v>61700</v>
      </c>
      <c r="H30" s="16">
        <f t="shared" si="1"/>
        <v>27.63</v>
      </c>
      <c r="I30" s="15">
        <f t="shared" si="2"/>
        <v>7.3999999999999996E-2</v>
      </c>
      <c r="J30" s="15">
        <f>ROUND(G30/40895-1,2)</f>
        <v>0.51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18290</v>
      </c>
      <c r="F31" s="10"/>
      <c r="G31" s="10">
        <f t="shared" si="0"/>
        <v>18290</v>
      </c>
      <c r="H31" s="16">
        <f t="shared" si="1"/>
        <v>8.19</v>
      </c>
      <c r="I31" s="15">
        <f t="shared" si="2"/>
        <v>2.1999999999999999E-2</v>
      </c>
      <c r="J31" s="15">
        <f>ROUND(G31/15880-1,2)</f>
        <v>0.15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113470</v>
      </c>
      <c r="F32" s="10"/>
      <c r="G32" s="10">
        <f t="shared" si="0"/>
        <v>113470</v>
      </c>
      <c r="H32" s="16">
        <f t="shared" si="1"/>
        <v>50.82</v>
      </c>
      <c r="I32" s="15">
        <f t="shared" si="2"/>
        <v>0.13600000000000001</v>
      </c>
      <c r="J32" s="15">
        <f>ROUND(G32/79420-1,2)</f>
        <v>0.43</v>
      </c>
    </row>
    <row r="33" spans="1:10" x14ac:dyDescent="0.25">
      <c r="A33" s="1" t="s">
        <v>44</v>
      </c>
      <c r="B33" s="1" t="s">
        <v>45</v>
      </c>
      <c r="C33" s="10">
        <v>133620</v>
      </c>
      <c r="D33" s="10"/>
      <c r="E33" s="10"/>
      <c r="F33" s="10"/>
      <c r="G33" s="10">
        <f t="shared" si="0"/>
        <v>133620</v>
      </c>
      <c r="H33" s="16">
        <f t="shared" si="1"/>
        <v>59.84</v>
      </c>
      <c r="I33" s="15">
        <f t="shared" si="2"/>
        <v>0.16</v>
      </c>
      <c r="J33" s="15">
        <f>ROUND(G33/127060-1,2)</f>
        <v>0.05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11180</v>
      </c>
      <c r="G34" s="10">
        <f t="shared" si="0"/>
        <v>11180</v>
      </c>
      <c r="H34" s="16">
        <f t="shared" si="1"/>
        <v>5.01</v>
      </c>
      <c r="I34" s="15">
        <f t="shared" si="2"/>
        <v>1.2999999999999999E-2</v>
      </c>
      <c r="J34" s="15">
        <f>ROUND(G34/13580-1,2)</f>
        <v>-0.18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53430</v>
      </c>
      <c r="F35" s="10"/>
      <c r="G35" s="10">
        <f t="shared" si="0"/>
        <v>53430</v>
      </c>
      <c r="H35" s="16">
        <f t="shared" si="1"/>
        <v>23.93</v>
      </c>
      <c r="I35" s="15">
        <f t="shared" si="2"/>
        <v>6.4000000000000001E-2</v>
      </c>
      <c r="J35" s="15">
        <f>ROUND(G35/44620-1,2)</f>
        <v>0.2</v>
      </c>
    </row>
    <row r="36" spans="1:10" x14ac:dyDescent="0.25">
      <c r="A36" s="1" t="s">
        <v>48</v>
      </c>
      <c r="B36" s="1" t="s">
        <v>50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ROUND(G36/130-1,2)</f>
        <v>-1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486220</v>
      </c>
      <c r="D38" s="11">
        <f t="shared" si="3"/>
        <v>166</v>
      </c>
      <c r="E38" s="11">
        <f t="shared" si="3"/>
        <v>338386</v>
      </c>
      <c r="F38" s="11">
        <f t="shared" si="3"/>
        <v>11520</v>
      </c>
      <c r="G38" s="11">
        <f t="shared" si="3"/>
        <v>836292</v>
      </c>
      <c r="H38" s="14">
        <f t="shared" si="3"/>
        <v>374.53000000000003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0.57999999999999996</v>
      </c>
      <c r="D39" s="12">
        <f>ROUND(D38/G38,2)</f>
        <v>0</v>
      </c>
      <c r="E39" s="12">
        <f>ROUND(E38/G38,2)</f>
        <v>0.4</v>
      </c>
      <c r="F39" s="12">
        <f>ROUND(F38/G38,2)</f>
        <v>0.01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352600</v>
      </c>
      <c r="D45" s="10">
        <v>166</v>
      </c>
      <c r="E45" s="10">
        <v>284956</v>
      </c>
      <c r="F45" s="10">
        <v>340</v>
      </c>
      <c r="G45" s="10">
        <f>SUM(C45:F45)</f>
        <v>638062</v>
      </c>
      <c r="H45" s="16">
        <f>ROUND(G45/2233,2)</f>
        <v>285.74</v>
      </c>
      <c r="I45" s="9"/>
      <c r="J45" s="9"/>
    </row>
    <row r="46" spans="1:10" x14ac:dyDescent="0.25">
      <c r="A46" s="22" t="s">
        <v>55</v>
      </c>
      <c r="B46" s="22"/>
      <c r="C46" s="10">
        <v>133620</v>
      </c>
      <c r="D46" s="10">
        <v>0</v>
      </c>
      <c r="E46" s="10">
        <v>53430</v>
      </c>
      <c r="F46" s="10">
        <v>11180</v>
      </c>
      <c r="G46" s="10">
        <f>SUM(C46:F46)</f>
        <v>198230</v>
      </c>
      <c r="H46" s="16">
        <f>ROUND(G46/2233,2)</f>
        <v>88.77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ROUND(G47/2233,2)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7">
        <f>ROUND(0.8202, 4)</f>
        <v>0.82020000000000004</v>
      </c>
      <c r="D53" s="7">
        <f>ROUND(0.8034, 4)</f>
        <v>0.8034</v>
      </c>
      <c r="E53" s="7">
        <f>ROUND(0.777, 4)</f>
        <v>0.77700000000000002</v>
      </c>
      <c r="G53" s="3" t="s">
        <v>62</v>
      </c>
      <c r="H53" s="29" t="s">
        <v>63</v>
      </c>
      <c r="I53" s="29" t="s">
        <v>64</v>
      </c>
      <c r="J53" s="29" t="s">
        <v>65</v>
      </c>
    </row>
    <row r="54" spans="1:10" x14ac:dyDescent="0.25">
      <c r="A54" s="22" t="s">
        <v>66</v>
      </c>
      <c r="B54" s="22"/>
      <c r="C54" s="7">
        <f>ROUND(0.8103, 4)</f>
        <v>0.81030000000000002</v>
      </c>
      <c r="D54" s="7">
        <f>ROUND(0.793, 4)</f>
        <v>0.79300000000000004</v>
      </c>
      <c r="E54" s="7">
        <f>ROUND(0.7608, 4)</f>
        <v>0.76080000000000003</v>
      </c>
      <c r="G54" s="3" t="s">
        <v>67</v>
      </c>
      <c r="H54" s="22"/>
      <c r="I54" s="22"/>
      <c r="J54" s="22"/>
    </row>
    <row r="58" spans="1:10" x14ac:dyDescent="0.25">
      <c r="A58" s="23" t="s">
        <v>68</v>
      </c>
      <c r="B58" s="23"/>
      <c r="C58" s="3" t="s">
        <v>2</v>
      </c>
      <c r="D58" s="3" t="s">
        <v>149</v>
      </c>
      <c r="E58" s="3" t="s">
        <v>70</v>
      </c>
      <c r="F58" s="3" t="s">
        <v>71</v>
      </c>
      <c r="G58" s="3" t="s">
        <v>72</v>
      </c>
      <c r="H58" s="2"/>
      <c r="I58" s="2"/>
      <c r="J58" s="2"/>
    </row>
    <row r="59" spans="1:10" x14ac:dyDescent="0.25">
      <c r="A59" s="22" t="s">
        <v>73</v>
      </c>
      <c r="B59" s="22"/>
      <c r="C59" s="1">
        <v>59.84</v>
      </c>
      <c r="D59" s="1">
        <v>70.87</v>
      </c>
      <c r="E59" s="1">
        <v>89.58</v>
      </c>
      <c r="F59" s="1">
        <v>53.73</v>
      </c>
      <c r="G59" s="1">
        <f>12/9*C59</f>
        <v>79.786666666666662</v>
      </c>
    </row>
    <row r="60" spans="1:10" x14ac:dyDescent="0.25">
      <c r="A60" s="22" t="s">
        <v>74</v>
      </c>
      <c r="B60" s="22"/>
      <c r="C60" s="1">
        <v>59.36</v>
      </c>
      <c r="D60" s="1">
        <v>80.33</v>
      </c>
      <c r="E60" s="1">
        <v>60.32</v>
      </c>
      <c r="F60" s="1">
        <v>61.62</v>
      </c>
      <c r="G60" s="1">
        <f>12/9*C60</f>
        <v>79.146666666666661</v>
      </c>
    </row>
    <row r="61" spans="1:10" x14ac:dyDescent="0.25">
      <c r="A61" s="22" t="s">
        <v>75</v>
      </c>
      <c r="B61" s="22"/>
      <c r="C61" s="1">
        <v>285.74</v>
      </c>
      <c r="D61" s="1">
        <v>331.67</v>
      </c>
      <c r="E61" s="1">
        <v>282.8</v>
      </c>
      <c r="F61" s="1">
        <v>273.33</v>
      </c>
      <c r="G61" s="1">
        <f>12/9*C61</f>
        <v>380.98666666666668</v>
      </c>
    </row>
    <row r="62" spans="1:10" x14ac:dyDescent="0.25">
      <c r="A62" s="22" t="s">
        <v>76</v>
      </c>
      <c r="B62" s="22"/>
      <c r="C62" s="1">
        <v>88.77</v>
      </c>
      <c r="D62" s="1">
        <v>106.38</v>
      </c>
      <c r="E62" s="1">
        <v>112.72</v>
      </c>
      <c r="F62" s="1">
        <v>76.52</v>
      </c>
      <c r="G62" s="1">
        <f>12/9*C62</f>
        <v>118.35999999999999</v>
      </c>
    </row>
    <row r="65" spans="1:2" x14ac:dyDescent="0.25">
      <c r="A65" s="21" t="s">
        <v>60</v>
      </c>
      <c r="B65" s="28"/>
    </row>
    <row r="66" spans="1:2" x14ac:dyDescent="0.25">
      <c r="A66" s="3" t="s">
        <v>77</v>
      </c>
      <c r="B66" s="1" t="s">
        <v>150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1"/>
  <dimension ref="A2:J73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151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150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/>
      <c r="D9" s="10">
        <v>6115</v>
      </c>
      <c r="E9" s="10"/>
      <c r="F9" s="10"/>
      <c r="G9" s="10">
        <f t="shared" ref="G9:G20" si="0">SUM(C9:F9)</f>
        <v>6115</v>
      </c>
      <c r="H9" s="16">
        <f t="shared" ref="H9:H20" si="1">ROUND(G9/150,2)</f>
        <v>40.770000000000003</v>
      </c>
      <c r="I9" s="15">
        <f t="shared" ref="I9:I20" si="2">ROUND(G9/$G$21,3)</f>
        <v>0.10100000000000001</v>
      </c>
      <c r="J9" s="15">
        <f>ROUND(G9/5855-1,2)</f>
        <v>0.04</v>
      </c>
    </row>
    <row r="10" spans="1:10" x14ac:dyDescent="0.25">
      <c r="A10" s="1" t="s">
        <v>16</v>
      </c>
      <c r="B10" s="1" t="s">
        <v>20</v>
      </c>
      <c r="C10" s="10"/>
      <c r="D10" s="10">
        <v>6265</v>
      </c>
      <c r="E10" s="10"/>
      <c r="F10" s="10"/>
      <c r="G10" s="10">
        <f t="shared" si="0"/>
        <v>6265</v>
      </c>
      <c r="H10" s="16">
        <f t="shared" si="1"/>
        <v>41.77</v>
      </c>
      <c r="I10" s="15">
        <f t="shared" si="2"/>
        <v>0.10299999999999999</v>
      </c>
      <c r="J10" s="15">
        <f>ROUND(G10/5915-1,2)</f>
        <v>0.06</v>
      </c>
    </row>
    <row r="11" spans="1:10" x14ac:dyDescent="0.25">
      <c r="A11" s="1" t="s">
        <v>16</v>
      </c>
      <c r="B11" s="1" t="s">
        <v>24</v>
      </c>
      <c r="C11" s="10"/>
      <c r="D11" s="10">
        <v>7960</v>
      </c>
      <c r="E11" s="10"/>
      <c r="F11" s="10"/>
      <c r="G11" s="10">
        <f t="shared" si="0"/>
        <v>7960</v>
      </c>
      <c r="H11" s="16">
        <f t="shared" si="1"/>
        <v>53.07</v>
      </c>
      <c r="I11" s="15">
        <f t="shared" si="2"/>
        <v>0.13100000000000001</v>
      </c>
      <c r="J11" s="15">
        <f>ROUND(G11/6955-1,2)</f>
        <v>0.14000000000000001</v>
      </c>
    </row>
    <row r="12" spans="1:10" x14ac:dyDescent="0.25">
      <c r="A12" s="1" t="s">
        <v>16</v>
      </c>
      <c r="B12" s="1" t="s">
        <v>26</v>
      </c>
      <c r="C12" s="10">
        <v>1080</v>
      </c>
      <c r="D12" s="10">
        <v>4410</v>
      </c>
      <c r="E12" s="10"/>
      <c r="F12" s="10">
        <v>80</v>
      </c>
      <c r="G12" s="10">
        <f t="shared" si="0"/>
        <v>5570</v>
      </c>
      <c r="H12" s="16">
        <f t="shared" si="1"/>
        <v>37.130000000000003</v>
      </c>
      <c r="I12" s="15">
        <f t="shared" si="2"/>
        <v>9.1999999999999998E-2</v>
      </c>
      <c r="J12" s="15">
        <f>ROUND(G12/160-1,2)</f>
        <v>33.81</v>
      </c>
    </row>
    <row r="13" spans="1:10" x14ac:dyDescent="0.25">
      <c r="A13" s="1" t="s">
        <v>16</v>
      </c>
      <c r="B13" s="1" t="s">
        <v>33</v>
      </c>
      <c r="C13" s="10"/>
      <c r="D13" s="10">
        <v>82</v>
      </c>
      <c r="E13" s="10"/>
      <c r="F13" s="10"/>
      <c r="G13" s="10">
        <f t="shared" si="0"/>
        <v>82</v>
      </c>
      <c r="H13" s="16">
        <f t="shared" si="1"/>
        <v>0.55000000000000004</v>
      </c>
      <c r="I13" s="15">
        <f t="shared" si="2"/>
        <v>1E-3</v>
      </c>
      <c r="J13" s="15">
        <f>ROUND(G13/36-1,2)</f>
        <v>1.28</v>
      </c>
    </row>
    <row r="14" spans="1:10" x14ac:dyDescent="0.25">
      <c r="A14" s="1" t="s">
        <v>16</v>
      </c>
      <c r="B14" s="1" t="s">
        <v>35</v>
      </c>
      <c r="C14" s="10"/>
      <c r="D14" s="10">
        <v>60</v>
      </c>
      <c r="E14" s="10"/>
      <c r="F14" s="10"/>
      <c r="G14" s="10">
        <f t="shared" si="0"/>
        <v>60</v>
      </c>
      <c r="H14" s="16">
        <f t="shared" si="1"/>
        <v>0.4</v>
      </c>
      <c r="I14" s="15">
        <f t="shared" si="2"/>
        <v>1E-3</v>
      </c>
      <c r="J14" s="15">
        <f>ROUND(G14/16-1,2)</f>
        <v>2.75</v>
      </c>
    </row>
    <row r="15" spans="1:10" x14ac:dyDescent="0.25">
      <c r="A15" s="1" t="s">
        <v>16</v>
      </c>
      <c r="B15" s="1" t="s">
        <v>40</v>
      </c>
      <c r="C15" s="10"/>
      <c r="D15" s="10"/>
      <c r="E15" s="10">
        <v>2770</v>
      </c>
      <c r="F15" s="10"/>
      <c r="G15" s="10">
        <f t="shared" si="0"/>
        <v>2770</v>
      </c>
      <c r="H15" s="16">
        <f t="shared" si="1"/>
        <v>18.47</v>
      </c>
      <c r="I15" s="15">
        <f t="shared" si="2"/>
        <v>4.5999999999999999E-2</v>
      </c>
      <c r="J15" s="15">
        <f>ROUND(G15/1340-1,2)</f>
        <v>1.07</v>
      </c>
    </row>
    <row r="16" spans="1:10" x14ac:dyDescent="0.25">
      <c r="A16" s="1" t="s">
        <v>16</v>
      </c>
      <c r="B16" s="1" t="s">
        <v>41</v>
      </c>
      <c r="C16" s="10"/>
      <c r="D16" s="10"/>
      <c r="E16" s="10">
        <v>1620</v>
      </c>
      <c r="F16" s="10"/>
      <c r="G16" s="10">
        <f t="shared" si="0"/>
        <v>1620</v>
      </c>
      <c r="H16" s="16">
        <f t="shared" si="1"/>
        <v>10.8</v>
      </c>
      <c r="I16" s="15">
        <f t="shared" si="2"/>
        <v>2.7E-2</v>
      </c>
      <c r="J16" s="15">
        <f>ROUND(G16/5760-1,2)</f>
        <v>-0.72</v>
      </c>
    </row>
    <row r="17" spans="1:10" x14ac:dyDescent="0.25">
      <c r="A17" s="1" t="s">
        <v>16</v>
      </c>
      <c r="B17" s="1" t="s">
        <v>23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44</v>
      </c>
      <c r="B18" s="1" t="s">
        <v>45</v>
      </c>
      <c r="C18" s="10"/>
      <c r="D18" s="10">
        <v>25145</v>
      </c>
      <c r="E18" s="10"/>
      <c r="F18" s="10"/>
      <c r="G18" s="10">
        <f t="shared" si="0"/>
        <v>25145</v>
      </c>
      <c r="H18" s="16">
        <f t="shared" si="1"/>
        <v>167.63</v>
      </c>
      <c r="I18" s="15">
        <f t="shared" si="2"/>
        <v>0.41399999999999998</v>
      </c>
      <c r="J18" s="15">
        <f>ROUND(G18/23805-1,2)</f>
        <v>0.06</v>
      </c>
    </row>
    <row r="19" spans="1:10" x14ac:dyDescent="0.25">
      <c r="A19" s="1" t="s">
        <v>44</v>
      </c>
      <c r="B19" s="1" t="s">
        <v>46</v>
      </c>
      <c r="C19" s="10"/>
      <c r="D19" s="10"/>
      <c r="E19" s="10">
        <v>5200</v>
      </c>
      <c r="F19" s="10"/>
      <c r="G19" s="10">
        <f t="shared" si="0"/>
        <v>5200</v>
      </c>
      <c r="H19" s="16">
        <f t="shared" si="1"/>
        <v>34.67</v>
      </c>
      <c r="I19" s="15">
        <f t="shared" si="2"/>
        <v>8.5999999999999993E-2</v>
      </c>
      <c r="J19" s="15">
        <f>ROUND(G19/7000-1,2)</f>
        <v>-0.26</v>
      </c>
    </row>
    <row r="20" spans="1:10" x14ac:dyDescent="0.25">
      <c r="A20" s="1" t="s">
        <v>48</v>
      </c>
      <c r="B20" s="1" t="s">
        <v>51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23" t="s">
        <v>12</v>
      </c>
      <c r="B21" s="23"/>
      <c r="C21" s="11">
        <f t="shared" ref="C21:H21" si="3">SUM(C8:C20)</f>
        <v>1080</v>
      </c>
      <c r="D21" s="11">
        <f t="shared" si="3"/>
        <v>50037</v>
      </c>
      <c r="E21" s="11">
        <f t="shared" si="3"/>
        <v>9590</v>
      </c>
      <c r="F21" s="11">
        <f t="shared" si="3"/>
        <v>80</v>
      </c>
      <c r="G21" s="11">
        <f t="shared" si="3"/>
        <v>60787</v>
      </c>
      <c r="H21" s="14">
        <f t="shared" si="3"/>
        <v>405.26000000000005</v>
      </c>
      <c r="I21" s="17"/>
      <c r="J21" s="17"/>
    </row>
    <row r="22" spans="1:10" x14ac:dyDescent="0.25">
      <c r="A22" s="23" t="s">
        <v>14</v>
      </c>
      <c r="B22" s="23"/>
      <c r="C22" s="12">
        <f>ROUND(C21/G21,2)</f>
        <v>0.02</v>
      </c>
      <c r="D22" s="12">
        <f>ROUND(D21/G21,2)</f>
        <v>0.82</v>
      </c>
      <c r="E22" s="12">
        <f>ROUND(E21/G21,2)</f>
        <v>0.16</v>
      </c>
      <c r="F22" s="12">
        <f>ROUND(F21/G21,2)</f>
        <v>0</v>
      </c>
      <c r="G22" s="13"/>
      <c r="H22" s="13"/>
      <c r="I22" s="17"/>
      <c r="J22" s="17"/>
    </row>
    <row r="23" spans="1:10" x14ac:dyDescent="0.25">
      <c r="A23" s="2" t="s">
        <v>52</v>
      </c>
      <c r="B23" s="2"/>
      <c r="C23" s="13"/>
      <c r="D23" s="13"/>
      <c r="E23" s="13"/>
      <c r="F23" s="13"/>
      <c r="G23" s="13"/>
      <c r="H23" s="13"/>
      <c r="I23" s="17"/>
      <c r="J23" s="17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C25" s="8"/>
      <c r="D25" s="8"/>
      <c r="E25" s="8"/>
      <c r="F25" s="8"/>
      <c r="G25" s="8"/>
      <c r="H25" s="8"/>
      <c r="I25" s="9"/>
      <c r="J25" s="9"/>
    </row>
    <row r="26" spans="1:10" x14ac:dyDescent="0.25">
      <c r="C26" s="8"/>
      <c r="D26" s="8"/>
      <c r="E26" s="8"/>
      <c r="F26" s="8"/>
      <c r="G26" s="8"/>
      <c r="H26" s="8"/>
      <c r="I26" s="9"/>
      <c r="J26" s="9"/>
    </row>
    <row r="27" spans="1:10" x14ac:dyDescent="0.25">
      <c r="A27" s="23" t="s">
        <v>53</v>
      </c>
      <c r="B27" s="23"/>
      <c r="C27" s="11" t="s">
        <v>8</v>
      </c>
      <c r="D27" s="11" t="s">
        <v>9</v>
      </c>
      <c r="E27" s="11" t="s">
        <v>10</v>
      </c>
      <c r="F27" s="11" t="s">
        <v>11</v>
      </c>
      <c r="G27" s="11" t="s">
        <v>12</v>
      </c>
      <c r="H27" s="14" t="s">
        <v>13</v>
      </c>
      <c r="I27" s="17"/>
      <c r="J27" s="17"/>
    </row>
    <row r="28" spans="1:10" x14ac:dyDescent="0.25">
      <c r="A28" s="22" t="s">
        <v>54</v>
      </c>
      <c r="B28" s="22"/>
      <c r="C28" s="10">
        <v>1080</v>
      </c>
      <c r="D28" s="10">
        <v>24892</v>
      </c>
      <c r="E28" s="10">
        <v>4390</v>
      </c>
      <c r="F28" s="10">
        <v>80</v>
      </c>
      <c r="G28" s="10">
        <f>SUM(C28:F28)</f>
        <v>30442</v>
      </c>
      <c r="H28" s="16">
        <f>ROUND(G28/150,2)</f>
        <v>202.95</v>
      </c>
      <c r="I28" s="9"/>
      <c r="J28" s="9"/>
    </row>
    <row r="29" spans="1:10" x14ac:dyDescent="0.25">
      <c r="A29" s="22" t="s">
        <v>55</v>
      </c>
      <c r="B29" s="22"/>
      <c r="C29" s="10">
        <v>0</v>
      </c>
      <c r="D29" s="10">
        <v>25145</v>
      </c>
      <c r="E29" s="10">
        <v>5200</v>
      </c>
      <c r="F29" s="10">
        <v>0</v>
      </c>
      <c r="G29" s="10">
        <f>SUM(C29:F29)</f>
        <v>30345</v>
      </c>
      <c r="H29" s="16">
        <f>ROUND(G29/150,2)</f>
        <v>202.3</v>
      </c>
      <c r="I29" s="9"/>
      <c r="J29" s="9"/>
    </row>
    <row r="30" spans="1:10" x14ac:dyDescent="0.25">
      <c r="A30" s="22" t="s">
        <v>56</v>
      </c>
      <c r="B30" s="22"/>
      <c r="C30" s="10">
        <v>0</v>
      </c>
      <c r="D30" s="10">
        <v>0</v>
      </c>
      <c r="E30" s="10">
        <v>0</v>
      </c>
      <c r="F30" s="10">
        <v>0</v>
      </c>
      <c r="G30" s="10">
        <f>SUM(C30:F30)</f>
        <v>0</v>
      </c>
      <c r="H30" s="16">
        <f>ROUND(G30/150,2)</f>
        <v>0</v>
      </c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A35" s="23" t="s">
        <v>57</v>
      </c>
      <c r="B35" s="23"/>
      <c r="C35" s="14" t="s">
        <v>2</v>
      </c>
      <c r="D35" s="14">
        <v>2023</v>
      </c>
      <c r="E35" s="14" t="s">
        <v>59</v>
      </c>
      <c r="F35" s="13"/>
      <c r="G35" s="14" t="s">
        <v>60</v>
      </c>
      <c r="H35" s="14" t="s">
        <v>2</v>
      </c>
      <c r="I35" s="12" t="s">
        <v>61</v>
      </c>
      <c r="J35" s="12" t="s">
        <v>59</v>
      </c>
    </row>
    <row r="36" spans="1:10" x14ac:dyDescent="0.25">
      <c r="A36" s="22" t="s">
        <v>58</v>
      </c>
      <c r="B36" s="22"/>
      <c r="C36" s="15">
        <f>ROUND(0.5771, 4)</f>
        <v>0.57709999999999995</v>
      </c>
      <c r="D36" s="15">
        <f>ROUND(0.5817, 4)</f>
        <v>0.58169999999999999</v>
      </c>
      <c r="E36" s="15">
        <f>ROUND(0.777, 4)</f>
        <v>0.77700000000000002</v>
      </c>
      <c r="F36" s="8"/>
      <c r="G36" s="14" t="s">
        <v>62</v>
      </c>
      <c r="H36" s="26" t="s">
        <v>63</v>
      </c>
      <c r="I36" s="24" t="s">
        <v>64</v>
      </c>
      <c r="J36" s="24" t="s">
        <v>65</v>
      </c>
    </row>
    <row r="37" spans="1:10" x14ac:dyDescent="0.25">
      <c r="A37" s="22" t="s">
        <v>66</v>
      </c>
      <c r="B37" s="22"/>
      <c r="C37" s="15">
        <f>ROUND(0.5397, 4)</f>
        <v>0.53969999999999996</v>
      </c>
      <c r="D37" s="15">
        <f>ROUND(0.5406, 4)</f>
        <v>0.54059999999999997</v>
      </c>
      <c r="E37" s="15">
        <f>ROUND(0.7608, 4)</f>
        <v>0.76080000000000003</v>
      </c>
      <c r="F37" s="8"/>
      <c r="G37" s="14" t="s">
        <v>67</v>
      </c>
      <c r="H37" s="27"/>
      <c r="I37" s="25"/>
      <c r="J37" s="25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3" t="s">
        <v>68</v>
      </c>
      <c r="B41" s="23"/>
      <c r="C41" s="14" t="s">
        <v>2</v>
      </c>
      <c r="D41" s="14" t="s">
        <v>152</v>
      </c>
      <c r="E41" s="14" t="s">
        <v>70</v>
      </c>
      <c r="F41" s="14" t="s">
        <v>71</v>
      </c>
      <c r="G41" s="14" t="s">
        <v>72</v>
      </c>
      <c r="H41" s="13"/>
      <c r="I41" s="17"/>
      <c r="J41" s="17"/>
    </row>
    <row r="42" spans="1:10" x14ac:dyDescent="0.25">
      <c r="A42" s="22" t="s">
        <v>73</v>
      </c>
      <c r="B42" s="22"/>
      <c r="C42" s="16">
        <v>167.63</v>
      </c>
      <c r="D42" s="16">
        <v>188.39</v>
      </c>
      <c r="E42" s="16">
        <v>89.58</v>
      </c>
      <c r="F42" s="16">
        <v>53.73</v>
      </c>
      <c r="G42" s="16">
        <f>12/9*C42</f>
        <v>223.50666666666666</v>
      </c>
      <c r="H42" s="8"/>
      <c r="I42" s="9"/>
      <c r="J42" s="9"/>
    </row>
    <row r="43" spans="1:10" x14ac:dyDescent="0.25">
      <c r="A43" s="22" t="s">
        <v>74</v>
      </c>
      <c r="B43" s="22"/>
      <c r="C43" s="16">
        <v>37.130000000000003</v>
      </c>
      <c r="D43" s="16">
        <v>36.619999999999997</v>
      </c>
      <c r="E43" s="16">
        <v>60.32</v>
      </c>
      <c r="F43" s="16">
        <v>61.62</v>
      </c>
      <c r="G43" s="16">
        <f>12/9*C43</f>
        <v>49.506666666666668</v>
      </c>
      <c r="H43" s="8"/>
      <c r="I43" s="9"/>
      <c r="J43" s="9"/>
    </row>
    <row r="44" spans="1:10" x14ac:dyDescent="0.25">
      <c r="A44" s="22" t="s">
        <v>75</v>
      </c>
      <c r="B44" s="22"/>
      <c r="C44" s="16">
        <v>202.95</v>
      </c>
      <c r="D44" s="16">
        <v>270.83</v>
      </c>
      <c r="E44" s="16">
        <v>282.8</v>
      </c>
      <c r="F44" s="16">
        <v>273.33</v>
      </c>
      <c r="G44" s="16">
        <f>12/9*C44</f>
        <v>270.59999999999997</v>
      </c>
      <c r="H44" s="8"/>
      <c r="I44" s="9"/>
      <c r="J44" s="9"/>
    </row>
    <row r="45" spans="1:10" x14ac:dyDescent="0.25">
      <c r="A45" s="22" t="s">
        <v>76</v>
      </c>
      <c r="B45" s="22"/>
      <c r="C45" s="16">
        <v>202.3</v>
      </c>
      <c r="D45" s="16">
        <v>249.11</v>
      </c>
      <c r="E45" s="16">
        <v>112.72</v>
      </c>
      <c r="F45" s="16">
        <v>76.52</v>
      </c>
      <c r="G45" s="16">
        <f>12/9*C45</f>
        <v>269.73333333333335</v>
      </c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1" t="s">
        <v>60</v>
      </c>
      <c r="B48" s="28"/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77</v>
      </c>
      <c r="B49" s="1" t="s">
        <v>153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70</v>
      </c>
      <c r="B50" s="1" t="s">
        <v>79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" t="s">
        <v>71</v>
      </c>
      <c r="B51" s="1" t="s">
        <v>80</v>
      </c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" t="s">
        <v>72</v>
      </c>
      <c r="B52" s="1" t="s">
        <v>81</v>
      </c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  <row r="71" spans="3:10" x14ac:dyDescent="0.25">
      <c r="C71" s="8"/>
      <c r="D71" s="8"/>
      <c r="E71" s="8"/>
      <c r="F71" s="8"/>
      <c r="G71" s="8"/>
      <c r="H71" s="8"/>
      <c r="I71" s="9"/>
      <c r="J71" s="9"/>
    </row>
    <row r="72" spans="3:10" x14ac:dyDescent="0.25">
      <c r="C72" s="8"/>
      <c r="D72" s="8"/>
      <c r="E72" s="8"/>
      <c r="F72" s="8"/>
      <c r="G72" s="8"/>
      <c r="H72" s="8"/>
      <c r="I72" s="9"/>
      <c r="J72" s="9"/>
    </row>
    <row r="73" spans="3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A43:B43"/>
    <mergeCell ref="A44:B44"/>
    <mergeCell ref="A45:B45"/>
    <mergeCell ref="A48:B48"/>
    <mergeCell ref="I36:I37"/>
    <mergeCell ref="J36:J37"/>
    <mergeCell ref="A37:B37"/>
    <mergeCell ref="A41:B41"/>
    <mergeCell ref="A42:B42"/>
    <mergeCell ref="A29:B29"/>
    <mergeCell ref="A30:B30"/>
    <mergeCell ref="A35:B35"/>
    <mergeCell ref="A36:B36"/>
    <mergeCell ref="H36:H37"/>
    <mergeCell ref="C7:G7"/>
    <mergeCell ref="A21:B21"/>
    <mergeCell ref="A22:B22"/>
    <mergeCell ref="A27:B27"/>
    <mergeCell ref="A28:B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2"/>
  <dimension ref="A2:J77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154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1264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23</v>
      </c>
      <c r="F9" s="10"/>
      <c r="G9" s="10">
        <f t="shared" ref="G9:G41" si="0">SUM(C9:F9)</f>
        <v>23</v>
      </c>
      <c r="H9" s="16">
        <f t="shared" ref="H9:H41" si="1">ROUND(G9/1264,2)</f>
        <v>0.02</v>
      </c>
      <c r="I9" s="15">
        <f t="shared" ref="I9:I41" si="2">ROUND(G9/$G$42,3)</f>
        <v>0</v>
      </c>
      <c r="J9" s="15">
        <f>ROUND(G9/20-1,2)</f>
        <v>0.15</v>
      </c>
    </row>
    <row r="10" spans="1:10" x14ac:dyDescent="0.25">
      <c r="A10" s="1" t="s">
        <v>16</v>
      </c>
      <c r="B10" s="1" t="s">
        <v>19</v>
      </c>
      <c r="C10" s="10">
        <v>29640</v>
      </c>
      <c r="D10" s="10"/>
      <c r="E10" s="10"/>
      <c r="F10" s="10"/>
      <c r="G10" s="10">
        <f t="shared" si="0"/>
        <v>29640</v>
      </c>
      <c r="H10" s="16">
        <f t="shared" si="1"/>
        <v>23.45</v>
      </c>
      <c r="I10" s="15">
        <f t="shared" si="2"/>
        <v>0.09</v>
      </c>
      <c r="J10" s="15">
        <f>ROUND(G10/25930-1,2)</f>
        <v>0.14000000000000001</v>
      </c>
    </row>
    <row r="11" spans="1:10" x14ac:dyDescent="0.25">
      <c r="A11" s="1" t="s">
        <v>16</v>
      </c>
      <c r="B11" s="1" t="s">
        <v>20</v>
      </c>
      <c r="C11" s="10">
        <v>34245</v>
      </c>
      <c r="D11" s="10"/>
      <c r="E11" s="10"/>
      <c r="F11" s="10"/>
      <c r="G11" s="10">
        <f t="shared" si="0"/>
        <v>34245</v>
      </c>
      <c r="H11" s="16">
        <f t="shared" si="1"/>
        <v>27.09</v>
      </c>
      <c r="I11" s="15">
        <f t="shared" si="2"/>
        <v>0.10299999999999999</v>
      </c>
      <c r="J11" s="15">
        <f>ROUND(G11/35095-1,2)</f>
        <v>-0.02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150</v>
      </c>
      <c r="F12" s="10"/>
      <c r="G12" s="10">
        <f t="shared" si="0"/>
        <v>150</v>
      </c>
      <c r="H12" s="16">
        <f t="shared" si="1"/>
        <v>0.12</v>
      </c>
      <c r="I12" s="15">
        <f t="shared" si="2"/>
        <v>0</v>
      </c>
      <c r="J12" s="15">
        <f>ROUND(G12/105-1,2)</f>
        <v>0.43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34160</v>
      </c>
      <c r="F13" s="10"/>
      <c r="G13" s="10">
        <f t="shared" si="0"/>
        <v>34160</v>
      </c>
      <c r="H13" s="16">
        <f t="shared" si="1"/>
        <v>27.03</v>
      </c>
      <c r="I13" s="15">
        <f t="shared" si="2"/>
        <v>0.10299999999999999</v>
      </c>
      <c r="J13" s="15">
        <f>ROUND(G13/36710-1,2)</f>
        <v>-7.0000000000000007E-2</v>
      </c>
    </row>
    <row r="14" spans="1:10" x14ac:dyDescent="0.25">
      <c r="A14" s="1" t="s">
        <v>16</v>
      </c>
      <c r="B14" s="1" t="s">
        <v>24</v>
      </c>
      <c r="C14" s="10">
        <v>30740</v>
      </c>
      <c r="D14" s="10"/>
      <c r="E14" s="10">
        <v>7210</v>
      </c>
      <c r="F14" s="10"/>
      <c r="G14" s="10">
        <f t="shared" si="0"/>
        <v>37950</v>
      </c>
      <c r="H14" s="16">
        <f t="shared" si="1"/>
        <v>30.02</v>
      </c>
      <c r="I14" s="15">
        <f t="shared" si="2"/>
        <v>0.115</v>
      </c>
      <c r="J14" s="15">
        <f>ROUND(G14/35160-1,2)</f>
        <v>0.08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1665</v>
      </c>
      <c r="F15" s="10"/>
      <c r="G15" s="10">
        <f t="shared" si="0"/>
        <v>1665</v>
      </c>
      <c r="H15" s="16">
        <f t="shared" si="1"/>
        <v>1.32</v>
      </c>
      <c r="I15" s="15">
        <f t="shared" si="2"/>
        <v>5.0000000000000001E-3</v>
      </c>
      <c r="J15" s="15">
        <f>ROUND(G15/1670-1,2)</f>
        <v>0</v>
      </c>
    </row>
    <row r="16" spans="1:10" x14ac:dyDescent="0.25">
      <c r="A16" s="1" t="s">
        <v>16</v>
      </c>
      <c r="B16" s="1" t="s">
        <v>26</v>
      </c>
      <c r="C16" s="10">
        <v>34880</v>
      </c>
      <c r="D16" s="10"/>
      <c r="E16" s="10"/>
      <c r="F16" s="10">
        <v>80</v>
      </c>
      <c r="G16" s="10">
        <f t="shared" si="0"/>
        <v>34960</v>
      </c>
      <c r="H16" s="16">
        <f t="shared" si="1"/>
        <v>27.66</v>
      </c>
      <c r="I16" s="15">
        <f t="shared" si="2"/>
        <v>0.106</v>
      </c>
      <c r="J16" s="15">
        <f>ROUND(G16/33920-1,2)</f>
        <v>0.03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629</v>
      </c>
      <c r="F17" s="10"/>
      <c r="G17" s="10">
        <f t="shared" si="0"/>
        <v>629</v>
      </c>
      <c r="H17" s="16">
        <f t="shared" si="1"/>
        <v>0.5</v>
      </c>
      <c r="I17" s="15">
        <f t="shared" si="2"/>
        <v>2E-3</v>
      </c>
      <c r="J17" s="15">
        <f>ROUND(G17/525-1,2)</f>
        <v>0.2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159</v>
      </c>
      <c r="F18" s="10"/>
      <c r="G18" s="10">
        <f t="shared" si="0"/>
        <v>159</v>
      </c>
      <c r="H18" s="16">
        <f t="shared" si="1"/>
        <v>0.13</v>
      </c>
      <c r="I18" s="15">
        <f t="shared" si="2"/>
        <v>0</v>
      </c>
      <c r="J18" s="15">
        <f>ROUND(G18/180-1,2)</f>
        <v>-0.12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460</v>
      </c>
      <c r="F19" s="10"/>
      <c r="G19" s="10">
        <f t="shared" si="0"/>
        <v>460</v>
      </c>
      <c r="H19" s="16">
        <f t="shared" si="1"/>
        <v>0.36</v>
      </c>
      <c r="I19" s="15">
        <f t="shared" si="2"/>
        <v>1E-3</v>
      </c>
      <c r="J19" s="15">
        <f>ROUND(G19/1179-1,2)</f>
        <v>-0.61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300</v>
      </c>
      <c r="F20" s="10"/>
      <c r="G20" s="10">
        <f t="shared" si="0"/>
        <v>300</v>
      </c>
      <c r="H20" s="16">
        <f t="shared" si="1"/>
        <v>0.24</v>
      </c>
      <c r="I20" s="15">
        <f t="shared" si="2"/>
        <v>1E-3</v>
      </c>
      <c r="J20" s="15">
        <f>ROUND(G20/170-1,2)</f>
        <v>0.76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530</v>
      </c>
      <c r="F21" s="10"/>
      <c r="G21" s="10">
        <f t="shared" si="0"/>
        <v>530</v>
      </c>
      <c r="H21" s="16">
        <f t="shared" si="1"/>
        <v>0.42</v>
      </c>
      <c r="I21" s="15">
        <f t="shared" si="2"/>
        <v>2E-3</v>
      </c>
      <c r="J21" s="15">
        <f>ROUND(G21/430-1,2)</f>
        <v>0.23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800</v>
      </c>
      <c r="F22" s="10"/>
      <c r="G22" s="10">
        <f t="shared" si="0"/>
        <v>800</v>
      </c>
      <c r="H22" s="16">
        <f t="shared" si="1"/>
        <v>0.63</v>
      </c>
      <c r="I22" s="15">
        <f t="shared" si="2"/>
        <v>2E-3</v>
      </c>
      <c r="J22" s="15">
        <f>ROUND(G22/360-1,2)</f>
        <v>1.22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66</v>
      </c>
      <c r="F23" s="10"/>
      <c r="G23" s="10">
        <f t="shared" si="0"/>
        <v>66</v>
      </c>
      <c r="H23" s="16">
        <f t="shared" si="1"/>
        <v>0.05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430</v>
      </c>
      <c r="F24" s="10"/>
      <c r="G24" s="10">
        <f t="shared" si="0"/>
        <v>430</v>
      </c>
      <c r="H24" s="16">
        <f t="shared" si="1"/>
        <v>0.34</v>
      </c>
      <c r="I24" s="15">
        <f t="shared" si="2"/>
        <v>1E-3</v>
      </c>
      <c r="J24" s="15">
        <f>ROUND(G24/654-1,2)</f>
        <v>-0.34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1020</v>
      </c>
      <c r="F25" s="10"/>
      <c r="G25" s="10">
        <f t="shared" si="0"/>
        <v>1020</v>
      </c>
      <c r="H25" s="16">
        <f t="shared" si="1"/>
        <v>0.81</v>
      </c>
      <c r="I25" s="15">
        <f t="shared" si="2"/>
        <v>3.0000000000000001E-3</v>
      </c>
      <c r="J25" s="15">
        <f>ROUND(G25/2051-1,2)</f>
        <v>-0.5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1420</v>
      </c>
      <c r="F26" s="10"/>
      <c r="G26" s="10">
        <f t="shared" si="0"/>
        <v>1420</v>
      </c>
      <c r="H26" s="16">
        <f t="shared" si="1"/>
        <v>1.1200000000000001</v>
      </c>
      <c r="I26" s="15">
        <f t="shared" si="2"/>
        <v>4.0000000000000001E-3</v>
      </c>
      <c r="J26" s="15">
        <f>ROUND(G26/2764-1,2)</f>
        <v>-0.49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25250</v>
      </c>
      <c r="F27" s="10"/>
      <c r="G27" s="10">
        <f t="shared" si="0"/>
        <v>25250</v>
      </c>
      <c r="H27" s="16">
        <f t="shared" si="1"/>
        <v>19.98</v>
      </c>
      <c r="I27" s="15">
        <f t="shared" si="2"/>
        <v>7.5999999999999998E-2</v>
      </c>
      <c r="J27" s="15">
        <f>ROUND(G27/17700-1,2)</f>
        <v>0.43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10370</v>
      </c>
      <c r="F28" s="10"/>
      <c r="G28" s="10">
        <f t="shared" si="0"/>
        <v>10370</v>
      </c>
      <c r="H28" s="16">
        <f t="shared" si="1"/>
        <v>8.1999999999999993</v>
      </c>
      <c r="I28" s="15">
        <f t="shared" si="2"/>
        <v>3.1E-2</v>
      </c>
      <c r="J28" s="15">
        <f>ROUND(G28/13010-1,2)</f>
        <v>-0.2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9595</v>
      </c>
      <c r="F29" s="10"/>
      <c r="G29" s="10">
        <f t="shared" si="0"/>
        <v>9595</v>
      </c>
      <c r="H29" s="16">
        <f t="shared" si="1"/>
        <v>7.59</v>
      </c>
      <c r="I29" s="15">
        <f t="shared" si="2"/>
        <v>2.9000000000000001E-2</v>
      </c>
      <c r="J29" s="15">
        <f>ROUND(G29/10045-1,2)</f>
        <v>-0.04</v>
      </c>
    </row>
    <row r="30" spans="1:10" x14ac:dyDescent="0.25">
      <c r="A30" s="1" t="s">
        <v>16</v>
      </c>
      <c r="B30" s="1" t="s">
        <v>120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ROUND(G31/742-1,2)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ROUND(G32/62-1,2)</f>
        <v>-1</v>
      </c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22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155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80590</v>
      </c>
      <c r="D37" s="10"/>
      <c r="E37" s="10"/>
      <c r="F37" s="10">
        <v>260</v>
      </c>
      <c r="G37" s="10">
        <f t="shared" si="0"/>
        <v>80850</v>
      </c>
      <c r="H37" s="16">
        <f t="shared" si="1"/>
        <v>63.96</v>
      </c>
      <c r="I37" s="15">
        <f t="shared" si="2"/>
        <v>0.24399999999999999</v>
      </c>
      <c r="J37" s="15">
        <f>ROUND(G37/85390-1,2)</f>
        <v>-0.05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26380</v>
      </c>
      <c r="F38" s="10"/>
      <c r="G38" s="10">
        <f t="shared" si="0"/>
        <v>26380</v>
      </c>
      <c r="H38" s="16">
        <f t="shared" si="1"/>
        <v>20.87</v>
      </c>
      <c r="I38" s="15">
        <f t="shared" si="2"/>
        <v>0.08</v>
      </c>
      <c r="J38" s="15">
        <f>ROUND(G38/27080-1,2)</f>
        <v>-0.03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ROUND(G39/2650-1,2)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3" t="s">
        <v>12</v>
      </c>
      <c r="B42" s="23"/>
      <c r="C42" s="11">
        <f t="shared" ref="C42:H42" si="3">SUM(C8:C41)</f>
        <v>210095</v>
      </c>
      <c r="D42" s="11">
        <f t="shared" si="3"/>
        <v>0</v>
      </c>
      <c r="E42" s="11">
        <f t="shared" si="3"/>
        <v>120617</v>
      </c>
      <c r="F42" s="11">
        <f t="shared" si="3"/>
        <v>340</v>
      </c>
      <c r="G42" s="11">
        <f t="shared" si="3"/>
        <v>331052</v>
      </c>
      <c r="H42" s="14">
        <f t="shared" si="3"/>
        <v>261.91000000000003</v>
      </c>
      <c r="I42" s="17"/>
      <c r="J42" s="17"/>
    </row>
    <row r="43" spans="1:10" x14ac:dyDescent="0.25">
      <c r="A43" s="23" t="s">
        <v>14</v>
      </c>
      <c r="B43" s="23"/>
      <c r="C43" s="12">
        <f>ROUND(C42/G42,2)</f>
        <v>0.63</v>
      </c>
      <c r="D43" s="12">
        <f>ROUND(D42/G42,2)</f>
        <v>0</v>
      </c>
      <c r="E43" s="12">
        <f>ROUND(E42/G42,2)</f>
        <v>0.36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53</v>
      </c>
      <c r="B48" s="23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129505</v>
      </c>
      <c r="D49" s="10">
        <v>0</v>
      </c>
      <c r="E49" s="10">
        <v>94237</v>
      </c>
      <c r="F49" s="10">
        <v>80</v>
      </c>
      <c r="G49" s="10">
        <f>SUM(C49:F49)</f>
        <v>223822</v>
      </c>
      <c r="H49" s="16">
        <f>ROUND(G49/1264,2)</f>
        <v>177.07</v>
      </c>
      <c r="I49" s="9"/>
      <c r="J49" s="9"/>
    </row>
    <row r="50" spans="1:10" x14ac:dyDescent="0.25">
      <c r="A50" s="22" t="s">
        <v>55</v>
      </c>
      <c r="B50" s="22"/>
      <c r="C50" s="10">
        <v>80590</v>
      </c>
      <c r="D50" s="10">
        <v>0</v>
      </c>
      <c r="E50" s="10">
        <v>26380</v>
      </c>
      <c r="F50" s="10">
        <v>260</v>
      </c>
      <c r="G50" s="10">
        <f>SUM(C50:F50)</f>
        <v>107230</v>
      </c>
      <c r="H50" s="16">
        <f>ROUND(G50/1264,2)</f>
        <v>84.83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ROUND(G51/1264,2)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57</v>
      </c>
      <c r="B56" s="23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ROUND(0.7181, 4)</f>
        <v>0.71809999999999996</v>
      </c>
      <c r="D57" s="15">
        <f>ROUND(0.6897, 4)</f>
        <v>0.68969999999999998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4" t="s">
        <v>64</v>
      </c>
      <c r="J57" s="24" t="s">
        <v>65</v>
      </c>
    </row>
    <row r="58" spans="1:10" x14ac:dyDescent="0.25">
      <c r="A58" s="22" t="s">
        <v>66</v>
      </c>
      <c r="B58" s="22"/>
      <c r="C58" s="15">
        <f>ROUND(0.681, 4)</f>
        <v>0.68100000000000005</v>
      </c>
      <c r="D58" s="15">
        <f>ROUND(0.6575, 4)</f>
        <v>0.65749999999999997</v>
      </c>
      <c r="E58" s="15">
        <f>ROUND(0.7608, 4)</f>
        <v>0.76080000000000003</v>
      </c>
      <c r="F58" s="8"/>
      <c r="G58" s="14" t="s">
        <v>67</v>
      </c>
      <c r="H58" s="27"/>
      <c r="I58" s="25"/>
      <c r="J58" s="25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68</v>
      </c>
      <c r="B62" s="23"/>
      <c r="C62" s="14" t="s">
        <v>2</v>
      </c>
      <c r="D62" s="14" t="s">
        <v>156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63.96</v>
      </c>
      <c r="D63" s="16">
        <v>70.989999999999995</v>
      </c>
      <c r="E63" s="16">
        <v>89.58</v>
      </c>
      <c r="F63" s="16">
        <v>53.73</v>
      </c>
      <c r="G63" s="16">
        <f>12/9*C63</f>
        <v>85.28</v>
      </c>
      <c r="H63" s="8"/>
      <c r="I63" s="9"/>
      <c r="J63" s="9"/>
    </row>
    <row r="64" spans="1:10" x14ac:dyDescent="0.25">
      <c r="A64" s="22" t="s">
        <v>74</v>
      </c>
      <c r="B64" s="22"/>
      <c r="C64" s="16">
        <v>27.66</v>
      </c>
      <c r="D64" s="16">
        <v>41.5</v>
      </c>
      <c r="E64" s="16">
        <v>60.32</v>
      </c>
      <c r="F64" s="16">
        <v>61.62</v>
      </c>
      <c r="G64" s="16">
        <f>12/9*C64</f>
        <v>36.879999999999995</v>
      </c>
      <c r="H64" s="8"/>
      <c r="I64" s="9"/>
      <c r="J64" s="9"/>
    </row>
    <row r="65" spans="1:10" x14ac:dyDescent="0.25">
      <c r="A65" s="22" t="s">
        <v>75</v>
      </c>
      <c r="B65" s="22"/>
      <c r="C65" s="16">
        <v>177.07</v>
      </c>
      <c r="D65" s="16">
        <v>225.14</v>
      </c>
      <c r="E65" s="16">
        <v>282.8</v>
      </c>
      <c r="F65" s="16">
        <v>273.33</v>
      </c>
      <c r="G65" s="16">
        <f>12/9*C65</f>
        <v>236.09333333333331</v>
      </c>
      <c r="H65" s="8"/>
      <c r="I65" s="9"/>
      <c r="J65" s="9"/>
    </row>
    <row r="66" spans="1:10" x14ac:dyDescent="0.25">
      <c r="A66" s="22" t="s">
        <v>76</v>
      </c>
      <c r="B66" s="22"/>
      <c r="C66" s="16">
        <v>84.83</v>
      </c>
      <c r="D66" s="16">
        <v>95.06</v>
      </c>
      <c r="E66" s="16">
        <v>112.72</v>
      </c>
      <c r="F66" s="16">
        <v>76.52</v>
      </c>
      <c r="G66" s="16">
        <f>12/9*C66</f>
        <v>113.10666666666665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8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157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3"/>
  <dimension ref="A2:J77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5993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156</v>
      </c>
      <c r="G9" s="10">
        <f t="shared" ref="G9:G45" si="0">SUM(C9:F9)</f>
        <v>156</v>
      </c>
      <c r="H9" s="16">
        <f t="shared" ref="H9:H45" si="1">ROUND(G9/5993,2)</f>
        <v>0.03</v>
      </c>
      <c r="I9" s="15">
        <f t="shared" ref="I9:I45" si="2">ROUND(G9/$G$46,3)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159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144</v>
      </c>
      <c r="F12" s="10"/>
      <c r="G12" s="10">
        <f t="shared" si="0"/>
        <v>144</v>
      </c>
      <c r="H12" s="16">
        <f t="shared" si="1"/>
        <v>0.02</v>
      </c>
      <c r="I12" s="15">
        <f t="shared" si="2"/>
        <v>0</v>
      </c>
      <c r="J12" s="15">
        <f>ROUND(G12/139-1,2)</f>
        <v>0.04</v>
      </c>
    </row>
    <row r="13" spans="1:10" x14ac:dyDescent="0.25">
      <c r="A13" s="1" t="s">
        <v>16</v>
      </c>
      <c r="B13" s="1" t="s">
        <v>19</v>
      </c>
      <c r="C13" s="10">
        <v>162310</v>
      </c>
      <c r="D13" s="10"/>
      <c r="E13" s="10">
        <v>1600</v>
      </c>
      <c r="F13" s="10"/>
      <c r="G13" s="10">
        <f t="shared" si="0"/>
        <v>163910</v>
      </c>
      <c r="H13" s="16">
        <f t="shared" si="1"/>
        <v>27.35</v>
      </c>
      <c r="I13" s="15">
        <f t="shared" si="2"/>
        <v>7.3999999999999996E-2</v>
      </c>
      <c r="J13" s="15">
        <f>ROUND(G13/161840-1,2)</f>
        <v>0.01</v>
      </c>
    </row>
    <row r="14" spans="1:10" x14ac:dyDescent="0.25">
      <c r="A14" s="1" t="s">
        <v>16</v>
      </c>
      <c r="B14" s="1" t="s">
        <v>20</v>
      </c>
      <c r="C14" s="10">
        <v>222510</v>
      </c>
      <c r="D14" s="10"/>
      <c r="E14" s="10"/>
      <c r="F14" s="10"/>
      <c r="G14" s="10">
        <f t="shared" si="0"/>
        <v>222510</v>
      </c>
      <c r="H14" s="16">
        <f t="shared" si="1"/>
        <v>37.130000000000003</v>
      </c>
      <c r="I14" s="15">
        <f t="shared" si="2"/>
        <v>0.1</v>
      </c>
      <c r="J14" s="15">
        <f>ROUND(G14/218490-1,2)</f>
        <v>0.02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180</v>
      </c>
      <c r="F15" s="10"/>
      <c r="G15" s="10">
        <f t="shared" si="0"/>
        <v>180</v>
      </c>
      <c r="H15" s="16">
        <f t="shared" si="1"/>
        <v>0.03</v>
      </c>
      <c r="I15" s="15">
        <f t="shared" si="2"/>
        <v>0</v>
      </c>
      <c r="J15" s="15">
        <f>ROUND(G15/150-1,2)</f>
        <v>0.2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151</v>
      </c>
      <c r="F16" s="10"/>
      <c r="G16" s="10">
        <f t="shared" si="0"/>
        <v>151</v>
      </c>
      <c r="H16" s="16">
        <f t="shared" si="1"/>
        <v>0.03</v>
      </c>
      <c r="I16" s="15">
        <f t="shared" si="2"/>
        <v>0</v>
      </c>
      <c r="J16" s="15">
        <f>ROUND(G16/128-1,2)</f>
        <v>0.18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2000</v>
      </c>
      <c r="F17" s="10"/>
      <c r="G17" s="10">
        <f t="shared" si="0"/>
        <v>2000</v>
      </c>
      <c r="H17" s="16">
        <f t="shared" si="1"/>
        <v>0.33</v>
      </c>
      <c r="I17" s="15">
        <f t="shared" si="2"/>
        <v>1E-3</v>
      </c>
      <c r="J17" s="15">
        <f>ROUND(G17/2760-1,2)</f>
        <v>-0.28000000000000003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117</v>
      </c>
      <c r="G18" s="10">
        <f t="shared" si="0"/>
        <v>117</v>
      </c>
      <c r="H18" s="16">
        <f t="shared" si="1"/>
        <v>0.02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39790</v>
      </c>
      <c r="F19" s="10"/>
      <c r="G19" s="10">
        <f t="shared" si="0"/>
        <v>39790</v>
      </c>
      <c r="H19" s="16">
        <f t="shared" si="1"/>
        <v>6.64</v>
      </c>
      <c r="I19" s="15">
        <f t="shared" si="2"/>
        <v>1.7999999999999999E-2</v>
      </c>
      <c r="J19" s="15">
        <f>ROUND(G19/49960-1,2)</f>
        <v>-0.2</v>
      </c>
    </row>
    <row r="20" spans="1:10" x14ac:dyDescent="0.25">
      <c r="A20" s="1" t="s">
        <v>16</v>
      </c>
      <c r="B20" s="1" t="s">
        <v>24</v>
      </c>
      <c r="C20" s="10">
        <v>267280</v>
      </c>
      <c r="D20" s="10"/>
      <c r="E20" s="10">
        <v>20200</v>
      </c>
      <c r="F20" s="10"/>
      <c r="G20" s="10">
        <f t="shared" si="0"/>
        <v>287480</v>
      </c>
      <c r="H20" s="16">
        <f t="shared" si="1"/>
        <v>47.97</v>
      </c>
      <c r="I20" s="15">
        <f t="shared" si="2"/>
        <v>0.13</v>
      </c>
      <c r="J20" s="15">
        <f>ROUND(G20/280220-1,2)</f>
        <v>0.03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9105</v>
      </c>
      <c r="F21" s="10"/>
      <c r="G21" s="10">
        <f t="shared" si="0"/>
        <v>9105</v>
      </c>
      <c r="H21" s="16">
        <f t="shared" si="1"/>
        <v>1.52</v>
      </c>
      <c r="I21" s="15">
        <f t="shared" si="2"/>
        <v>4.0000000000000001E-3</v>
      </c>
      <c r="J21" s="15">
        <f>ROUND(G21/7555-1,2)</f>
        <v>0.21</v>
      </c>
    </row>
    <row r="22" spans="1:10" x14ac:dyDescent="0.25">
      <c r="A22" s="1" t="s">
        <v>16</v>
      </c>
      <c r="B22" s="1" t="s">
        <v>26</v>
      </c>
      <c r="C22" s="10">
        <v>316390</v>
      </c>
      <c r="D22" s="10"/>
      <c r="E22" s="10"/>
      <c r="F22" s="10">
        <v>690</v>
      </c>
      <c r="G22" s="10">
        <f t="shared" si="0"/>
        <v>317080</v>
      </c>
      <c r="H22" s="16">
        <f t="shared" si="1"/>
        <v>52.91</v>
      </c>
      <c r="I22" s="15">
        <f t="shared" si="2"/>
        <v>0.14299999999999999</v>
      </c>
      <c r="J22" s="15">
        <f>ROUND(G22/318480-1,2)</f>
        <v>0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1145</v>
      </c>
      <c r="F23" s="10"/>
      <c r="G23" s="10">
        <f t="shared" si="0"/>
        <v>1145</v>
      </c>
      <c r="H23" s="16">
        <f t="shared" si="1"/>
        <v>0.19</v>
      </c>
      <c r="I23" s="15">
        <f t="shared" si="2"/>
        <v>1E-3</v>
      </c>
      <c r="J23" s="15">
        <f>ROUND(G23/1146-1,2)</f>
        <v>0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450</v>
      </c>
      <c r="F24" s="10"/>
      <c r="G24" s="10">
        <f t="shared" si="0"/>
        <v>450</v>
      </c>
      <c r="H24" s="16">
        <f t="shared" si="1"/>
        <v>0.08</v>
      </c>
      <c r="I24" s="15">
        <f t="shared" si="2"/>
        <v>0</v>
      </c>
      <c r="J24" s="15">
        <f>ROUND(G24/440-1,2)</f>
        <v>0.02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1860</v>
      </c>
      <c r="F25" s="10"/>
      <c r="G25" s="10">
        <f t="shared" si="0"/>
        <v>1860</v>
      </c>
      <c r="H25" s="16">
        <f t="shared" si="1"/>
        <v>0.31</v>
      </c>
      <c r="I25" s="15">
        <f t="shared" si="2"/>
        <v>1E-3</v>
      </c>
      <c r="J25" s="15">
        <f>ROUND(G25/1840-1,2)</f>
        <v>0.01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1050</v>
      </c>
      <c r="F26" s="10"/>
      <c r="G26" s="10">
        <f t="shared" si="0"/>
        <v>1050</v>
      </c>
      <c r="H26" s="16">
        <f t="shared" si="1"/>
        <v>0.18</v>
      </c>
      <c r="I26" s="15">
        <f t="shared" si="2"/>
        <v>0</v>
      </c>
      <c r="J26" s="15">
        <f>ROUND(G26/360-1,2)</f>
        <v>1.92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2550</v>
      </c>
      <c r="F27" s="10"/>
      <c r="G27" s="10">
        <f t="shared" si="0"/>
        <v>2550</v>
      </c>
      <c r="H27" s="16">
        <f t="shared" si="1"/>
        <v>0.43</v>
      </c>
      <c r="I27" s="15">
        <f t="shared" si="2"/>
        <v>1E-3</v>
      </c>
      <c r="J27" s="15">
        <f>ROUND(G27/1485-1,2)</f>
        <v>0.72</v>
      </c>
    </row>
    <row r="28" spans="1:10" x14ac:dyDescent="0.25">
      <c r="A28" s="1" t="s">
        <v>16</v>
      </c>
      <c r="B28" s="1" t="s">
        <v>33</v>
      </c>
      <c r="C28" s="10"/>
      <c r="D28" s="10">
        <v>381</v>
      </c>
      <c r="E28" s="10">
        <v>120</v>
      </c>
      <c r="F28" s="10"/>
      <c r="G28" s="10">
        <f t="shared" si="0"/>
        <v>501</v>
      </c>
      <c r="H28" s="16">
        <f t="shared" si="1"/>
        <v>0.08</v>
      </c>
      <c r="I28" s="15">
        <f t="shared" si="2"/>
        <v>0</v>
      </c>
      <c r="J28" s="15">
        <f>ROUND(G28/494-1,2)</f>
        <v>0.01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260</v>
      </c>
      <c r="F29" s="10"/>
      <c r="G29" s="10">
        <f t="shared" si="0"/>
        <v>260</v>
      </c>
      <c r="H29" s="16">
        <f t="shared" si="1"/>
        <v>0.04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35</v>
      </c>
      <c r="C30" s="10"/>
      <c r="D30" s="10">
        <v>190</v>
      </c>
      <c r="E30" s="10"/>
      <c r="F30" s="10"/>
      <c r="G30" s="10">
        <f t="shared" si="0"/>
        <v>190</v>
      </c>
      <c r="H30" s="16">
        <f t="shared" si="1"/>
        <v>0.03</v>
      </c>
      <c r="I30" s="15">
        <f t="shared" si="2"/>
        <v>0</v>
      </c>
      <c r="J30" s="15">
        <f>ROUND(G30/780-1,2)</f>
        <v>-0.76</v>
      </c>
    </row>
    <row r="31" spans="1:10" x14ac:dyDescent="0.25">
      <c r="A31" s="1" t="s">
        <v>16</v>
      </c>
      <c r="B31" s="1" t="s">
        <v>37</v>
      </c>
      <c r="C31" s="10"/>
      <c r="D31" s="10"/>
      <c r="E31" s="10">
        <v>3330</v>
      </c>
      <c r="F31" s="10"/>
      <c r="G31" s="10">
        <f t="shared" si="0"/>
        <v>3330</v>
      </c>
      <c r="H31" s="16">
        <f t="shared" si="1"/>
        <v>0.56000000000000005</v>
      </c>
      <c r="I31" s="15">
        <f t="shared" si="2"/>
        <v>2E-3</v>
      </c>
      <c r="J31" s="15">
        <f>ROUND(G31/6266-1,2)</f>
        <v>-0.47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6250</v>
      </c>
      <c r="F32" s="10"/>
      <c r="G32" s="10">
        <f t="shared" si="0"/>
        <v>6250</v>
      </c>
      <c r="H32" s="16">
        <f t="shared" si="1"/>
        <v>1.04</v>
      </c>
      <c r="I32" s="15">
        <f t="shared" si="2"/>
        <v>3.0000000000000001E-3</v>
      </c>
      <c r="J32" s="15">
        <f>ROUND(G32/7576-1,2)</f>
        <v>-0.18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161600</v>
      </c>
      <c r="F33" s="10"/>
      <c r="G33" s="10">
        <f t="shared" si="0"/>
        <v>161600</v>
      </c>
      <c r="H33" s="16">
        <f t="shared" si="1"/>
        <v>26.96</v>
      </c>
      <c r="I33" s="15">
        <f t="shared" si="2"/>
        <v>7.2999999999999995E-2</v>
      </c>
      <c r="J33" s="15">
        <f>ROUND(G33/116125-1,2)</f>
        <v>0.39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2640</v>
      </c>
      <c r="F34" s="10"/>
      <c r="G34" s="10">
        <f t="shared" si="0"/>
        <v>2640</v>
      </c>
      <c r="H34" s="16">
        <f t="shared" si="1"/>
        <v>0.44</v>
      </c>
      <c r="I34" s="15">
        <f t="shared" si="2"/>
        <v>1E-3</v>
      </c>
      <c r="J34" s="15">
        <f>ROUND(G34/4920-1,2)</f>
        <v>-0.46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27650</v>
      </c>
      <c r="F35" s="10"/>
      <c r="G35" s="10">
        <f t="shared" si="0"/>
        <v>27650</v>
      </c>
      <c r="H35" s="16">
        <f t="shared" si="1"/>
        <v>4.6100000000000003</v>
      </c>
      <c r="I35" s="15">
        <f t="shared" si="2"/>
        <v>1.2E-2</v>
      </c>
      <c r="J35" s="15">
        <f>ROUND(G35/18570-1,2)</f>
        <v>0.49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306560</v>
      </c>
      <c r="F36" s="10">
        <v>3960</v>
      </c>
      <c r="G36" s="10">
        <f t="shared" si="0"/>
        <v>310520</v>
      </c>
      <c r="H36" s="16">
        <f t="shared" si="1"/>
        <v>51.81</v>
      </c>
      <c r="I36" s="15">
        <f t="shared" si="2"/>
        <v>0.14000000000000001</v>
      </c>
      <c r="J36" s="15">
        <f>ROUND(G36/274900-1,2)</f>
        <v>0.13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ROUND(G37/201-1,2)</f>
        <v>-1</v>
      </c>
    </row>
    <row r="38" spans="1:10" x14ac:dyDescent="0.25">
      <c r="A38" s="1" t="s">
        <v>16</v>
      </c>
      <c r="B38" s="1" t="s">
        <v>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ROUND(G38/4720-1,2)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ROUND(G39/2729-1,2)</f>
        <v>-1</v>
      </c>
    </row>
    <row r="40" spans="1:10" x14ac:dyDescent="0.25">
      <c r="A40" s="1" t="s">
        <v>16</v>
      </c>
      <c r="B40" s="1" t="s">
        <v>160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ROUND(G40/350-1,2)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161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519180</v>
      </c>
      <c r="D43" s="10"/>
      <c r="E43" s="10"/>
      <c r="F43" s="10"/>
      <c r="G43" s="10">
        <f t="shared" si="0"/>
        <v>519180</v>
      </c>
      <c r="H43" s="16">
        <f t="shared" si="1"/>
        <v>86.63</v>
      </c>
      <c r="I43" s="15">
        <f t="shared" si="2"/>
        <v>0.23400000000000001</v>
      </c>
      <c r="J43" s="15">
        <f>ROUND(G43/502600-1,2)</f>
        <v>0.03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7820</v>
      </c>
      <c r="G44" s="10">
        <f t="shared" si="0"/>
        <v>7820</v>
      </c>
      <c r="H44" s="16">
        <f t="shared" si="1"/>
        <v>1.3</v>
      </c>
      <c r="I44" s="15">
        <f t="shared" si="2"/>
        <v>4.0000000000000001E-3</v>
      </c>
      <c r="J44" s="15">
        <f>ROUND(G44/6760-1,2)</f>
        <v>0.16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129430</v>
      </c>
      <c r="F45" s="10"/>
      <c r="G45" s="10">
        <f t="shared" si="0"/>
        <v>129430</v>
      </c>
      <c r="H45" s="16">
        <f t="shared" si="1"/>
        <v>21.6</v>
      </c>
      <c r="I45" s="15">
        <f t="shared" si="2"/>
        <v>5.8000000000000003E-2</v>
      </c>
      <c r="J45" s="15">
        <f>ROUND(G45/86100-1,2)</f>
        <v>0.5</v>
      </c>
    </row>
    <row r="46" spans="1:10" x14ac:dyDescent="0.25">
      <c r="A46" s="23" t="s">
        <v>12</v>
      </c>
      <c r="B46" s="23"/>
      <c r="C46" s="11">
        <f t="shared" ref="C46:H46" si="3">SUM(C8:C45)</f>
        <v>1487670</v>
      </c>
      <c r="D46" s="11">
        <f t="shared" si="3"/>
        <v>571</v>
      </c>
      <c r="E46" s="11">
        <f t="shared" si="3"/>
        <v>718065</v>
      </c>
      <c r="F46" s="11">
        <f t="shared" si="3"/>
        <v>12743</v>
      </c>
      <c r="G46" s="11">
        <f t="shared" si="3"/>
        <v>2219049</v>
      </c>
      <c r="H46" s="14">
        <f t="shared" si="3"/>
        <v>370.27000000000004</v>
      </c>
      <c r="I46" s="17"/>
      <c r="J46" s="17"/>
    </row>
    <row r="47" spans="1:10" x14ac:dyDescent="0.25">
      <c r="A47" s="23" t="s">
        <v>14</v>
      </c>
      <c r="B47" s="23"/>
      <c r="C47" s="12">
        <f>ROUND(C46/G46,2)</f>
        <v>0.67</v>
      </c>
      <c r="D47" s="12">
        <f>ROUND(D46/G46,2)</f>
        <v>0</v>
      </c>
      <c r="E47" s="12">
        <f>ROUND(E46/G46,2)</f>
        <v>0.32</v>
      </c>
      <c r="F47" s="12">
        <f>ROUND(F46/G46,2)</f>
        <v>0.01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53</v>
      </c>
      <c r="B52" s="23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2" t="s">
        <v>54</v>
      </c>
      <c r="B53" s="22"/>
      <c r="C53" s="10">
        <v>968490</v>
      </c>
      <c r="D53" s="10">
        <v>571</v>
      </c>
      <c r="E53" s="10">
        <v>588635</v>
      </c>
      <c r="F53" s="10">
        <v>4767</v>
      </c>
      <c r="G53" s="10">
        <f>SUM(C53:F53)</f>
        <v>1562463</v>
      </c>
      <c r="H53" s="16">
        <f>ROUND(G53/5993,2)</f>
        <v>260.70999999999998</v>
      </c>
      <c r="I53" s="9"/>
      <c r="J53" s="9"/>
    </row>
    <row r="54" spans="1:10" x14ac:dyDescent="0.25">
      <c r="A54" s="22" t="s">
        <v>55</v>
      </c>
      <c r="B54" s="22"/>
      <c r="C54" s="10">
        <v>519180</v>
      </c>
      <c r="D54" s="10">
        <v>0</v>
      </c>
      <c r="E54" s="10">
        <v>129430</v>
      </c>
      <c r="F54" s="10">
        <v>7820</v>
      </c>
      <c r="G54" s="10">
        <f>SUM(C54:F54)</f>
        <v>656430</v>
      </c>
      <c r="H54" s="16">
        <f>ROUND(G54/5993,2)</f>
        <v>109.53</v>
      </c>
      <c r="I54" s="9"/>
      <c r="J54" s="9"/>
    </row>
    <row r="55" spans="1:10" x14ac:dyDescent="0.25">
      <c r="A55" s="22" t="s">
        <v>56</v>
      </c>
      <c r="B55" s="22"/>
      <c r="C55" s="10">
        <v>0</v>
      </c>
      <c r="D55" s="10">
        <v>0</v>
      </c>
      <c r="E55" s="10">
        <v>0</v>
      </c>
      <c r="F55" s="10">
        <v>156</v>
      </c>
      <c r="G55" s="10">
        <f>SUM(C55:F55)</f>
        <v>156</v>
      </c>
      <c r="H55" s="16">
        <f>ROUND(G55/5993,2)</f>
        <v>0.03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57</v>
      </c>
      <c r="B60" s="23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2" t="s">
        <v>58</v>
      </c>
      <c r="B61" s="22"/>
      <c r="C61" s="15">
        <f>ROUND(0.7597, 4)</f>
        <v>0.75970000000000004</v>
      </c>
      <c r="D61" s="15">
        <f>ROUND(0.7479, 4)</f>
        <v>0.74790000000000001</v>
      </c>
      <c r="E61" s="15">
        <f>ROUND(0.777, 4)</f>
        <v>0.77700000000000002</v>
      </c>
      <c r="F61" s="8"/>
      <c r="G61" s="14" t="s">
        <v>62</v>
      </c>
      <c r="H61" s="26" t="s">
        <v>63</v>
      </c>
      <c r="I61" s="24" t="s">
        <v>64</v>
      </c>
      <c r="J61" s="24" t="s">
        <v>65</v>
      </c>
    </row>
    <row r="62" spans="1:10" x14ac:dyDescent="0.25">
      <c r="A62" s="22" t="s">
        <v>66</v>
      </c>
      <c r="B62" s="22"/>
      <c r="C62" s="7">
        <f>ROUND(0.75, 4)</f>
        <v>0.75</v>
      </c>
      <c r="D62" s="7">
        <f>ROUND(0.7376, 4)</f>
        <v>0.73760000000000003</v>
      </c>
      <c r="E62" s="7">
        <f>ROUND(0.7608, 4)</f>
        <v>0.76080000000000003</v>
      </c>
      <c r="G62" s="3" t="s">
        <v>67</v>
      </c>
      <c r="H62" s="22"/>
      <c r="I62" s="22"/>
      <c r="J62" s="22"/>
    </row>
    <row r="66" spans="1:10" x14ac:dyDescent="0.25">
      <c r="A66" s="23" t="s">
        <v>68</v>
      </c>
      <c r="B66" s="23"/>
      <c r="C66" s="3" t="s">
        <v>2</v>
      </c>
      <c r="D66" s="3" t="s">
        <v>162</v>
      </c>
      <c r="E66" s="3" t="s">
        <v>70</v>
      </c>
      <c r="F66" s="3" t="s">
        <v>71</v>
      </c>
      <c r="G66" s="3" t="s">
        <v>72</v>
      </c>
      <c r="H66" s="2"/>
      <c r="I66" s="2"/>
      <c r="J66" s="2"/>
    </row>
    <row r="67" spans="1:10" x14ac:dyDescent="0.25">
      <c r="A67" s="22" t="s">
        <v>73</v>
      </c>
      <c r="B67" s="22"/>
      <c r="C67" s="1">
        <v>86.63</v>
      </c>
      <c r="D67" s="1">
        <v>100.88</v>
      </c>
      <c r="E67" s="1">
        <v>89.58</v>
      </c>
      <c r="F67" s="1">
        <v>53.73</v>
      </c>
      <c r="G67" s="1">
        <f>12/9*C67</f>
        <v>115.50666666666666</v>
      </c>
    </row>
    <row r="68" spans="1:10" x14ac:dyDescent="0.25">
      <c r="A68" s="22" t="s">
        <v>74</v>
      </c>
      <c r="B68" s="22"/>
      <c r="C68" s="1">
        <v>52.91</v>
      </c>
      <c r="D68" s="1">
        <v>67.099999999999994</v>
      </c>
      <c r="E68" s="1">
        <v>60.32</v>
      </c>
      <c r="F68" s="1">
        <v>61.62</v>
      </c>
      <c r="G68" s="1">
        <f>12/9*C68</f>
        <v>70.546666666666653</v>
      </c>
    </row>
    <row r="69" spans="1:10" x14ac:dyDescent="0.25">
      <c r="A69" s="22" t="s">
        <v>75</v>
      </c>
      <c r="B69" s="22"/>
      <c r="C69" s="1">
        <v>260.70999999999998</v>
      </c>
      <c r="D69" s="1">
        <v>311.95</v>
      </c>
      <c r="E69" s="1">
        <v>282.8</v>
      </c>
      <c r="F69" s="1">
        <v>273.33</v>
      </c>
      <c r="G69" s="1">
        <f>12/9*C69</f>
        <v>347.61333333333329</v>
      </c>
    </row>
    <row r="70" spans="1:10" x14ac:dyDescent="0.25">
      <c r="A70" s="22" t="s">
        <v>76</v>
      </c>
      <c r="B70" s="22"/>
      <c r="C70" s="1">
        <v>109.53</v>
      </c>
      <c r="D70" s="1">
        <v>128.36000000000001</v>
      </c>
      <c r="E70" s="1">
        <v>112.72</v>
      </c>
      <c r="F70" s="1">
        <v>76.52</v>
      </c>
      <c r="G70" s="1">
        <f>12/9*C70</f>
        <v>146.04</v>
      </c>
    </row>
    <row r="73" spans="1:10" x14ac:dyDescent="0.25">
      <c r="A73" s="21" t="s">
        <v>60</v>
      </c>
      <c r="B73" s="28"/>
    </row>
    <row r="74" spans="1:10" x14ac:dyDescent="0.25">
      <c r="A74" s="3" t="s">
        <v>77</v>
      </c>
      <c r="B74" s="1" t="s">
        <v>163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A68:B68"/>
    <mergeCell ref="A69:B69"/>
    <mergeCell ref="A70:B70"/>
    <mergeCell ref="A73:B73"/>
    <mergeCell ref="I61:I62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C7:G7"/>
    <mergeCell ref="A46:B46"/>
    <mergeCell ref="A47:B47"/>
    <mergeCell ref="A52:B52"/>
    <mergeCell ref="A53:B5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4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164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1086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491</v>
      </c>
      <c r="G9" s="10">
        <f t="shared" ref="G9:G29" si="0">SUM(C9:F9)</f>
        <v>491</v>
      </c>
      <c r="H9" s="16">
        <f t="shared" ref="H9:H29" si="1">ROUND(G9/1086,2)</f>
        <v>0.45</v>
      </c>
      <c r="I9" s="15">
        <f t="shared" ref="I9:I29" si="2">ROUND(G9/$G$30,3)</f>
        <v>2E-3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19</v>
      </c>
      <c r="C11" s="10">
        <v>27310</v>
      </c>
      <c r="D11" s="10"/>
      <c r="E11" s="10"/>
      <c r="F11" s="10">
        <v>200</v>
      </c>
      <c r="G11" s="10">
        <f t="shared" si="0"/>
        <v>27510</v>
      </c>
      <c r="H11" s="16">
        <f t="shared" si="1"/>
        <v>25.33</v>
      </c>
      <c r="I11" s="15">
        <f t="shared" si="2"/>
        <v>9.5000000000000001E-2</v>
      </c>
      <c r="J11" s="15">
        <f>ROUND(G11/25590-1,2)</f>
        <v>0.08</v>
      </c>
    </row>
    <row r="12" spans="1:10" x14ac:dyDescent="0.25">
      <c r="A12" s="1" t="s">
        <v>16</v>
      </c>
      <c r="B12" s="1" t="s">
        <v>20</v>
      </c>
      <c r="C12" s="10">
        <v>50720</v>
      </c>
      <c r="D12" s="10"/>
      <c r="E12" s="10"/>
      <c r="F12" s="10">
        <v>280</v>
      </c>
      <c r="G12" s="10">
        <f t="shared" si="0"/>
        <v>51000</v>
      </c>
      <c r="H12" s="16">
        <f t="shared" si="1"/>
        <v>46.96</v>
      </c>
      <c r="I12" s="15">
        <f t="shared" si="2"/>
        <v>0.17699999999999999</v>
      </c>
      <c r="J12" s="15">
        <f>ROUND(G12/38040-1,2)</f>
        <v>0.34</v>
      </c>
    </row>
    <row r="13" spans="1:10" x14ac:dyDescent="0.25">
      <c r="A13" s="1" t="s">
        <v>16</v>
      </c>
      <c r="B13" s="1" t="s">
        <v>21</v>
      </c>
      <c r="C13" s="10"/>
      <c r="D13" s="10"/>
      <c r="E13" s="10"/>
      <c r="F13" s="10">
        <v>12</v>
      </c>
      <c r="G13" s="10">
        <f t="shared" si="0"/>
        <v>12</v>
      </c>
      <c r="H13" s="16">
        <f t="shared" si="1"/>
        <v>0.01</v>
      </c>
      <c r="I13" s="15">
        <f t="shared" si="2"/>
        <v>0</v>
      </c>
      <c r="J13" s="15">
        <f>ROUND(G13/12-1,2)</f>
        <v>0</v>
      </c>
    </row>
    <row r="14" spans="1:10" x14ac:dyDescent="0.25">
      <c r="A14" s="1" t="s">
        <v>16</v>
      </c>
      <c r="B14" s="1" t="s">
        <v>24</v>
      </c>
      <c r="C14" s="10">
        <v>24990</v>
      </c>
      <c r="D14" s="10"/>
      <c r="E14" s="10"/>
      <c r="F14" s="10">
        <v>270</v>
      </c>
      <c r="G14" s="10">
        <f t="shared" si="0"/>
        <v>25260</v>
      </c>
      <c r="H14" s="16">
        <f t="shared" si="1"/>
        <v>23.26</v>
      </c>
      <c r="I14" s="15">
        <f t="shared" si="2"/>
        <v>8.7999999999999995E-2</v>
      </c>
      <c r="J14" s="15">
        <f>ROUND(G14/30800-1,2)</f>
        <v>-0.18</v>
      </c>
    </row>
    <row r="15" spans="1:10" x14ac:dyDescent="0.25">
      <c r="A15" s="1" t="s">
        <v>16</v>
      </c>
      <c r="B15" s="1" t="s">
        <v>26</v>
      </c>
      <c r="C15" s="10">
        <v>70200</v>
      </c>
      <c r="D15" s="10"/>
      <c r="E15" s="10"/>
      <c r="F15" s="10">
        <v>480</v>
      </c>
      <c r="G15" s="10">
        <f t="shared" si="0"/>
        <v>70680</v>
      </c>
      <c r="H15" s="16">
        <f t="shared" si="1"/>
        <v>65.08</v>
      </c>
      <c r="I15" s="15">
        <f t="shared" si="2"/>
        <v>0.245</v>
      </c>
      <c r="J15" s="15">
        <f>ROUND(G15/87370-1,2)</f>
        <v>-0.19</v>
      </c>
    </row>
    <row r="16" spans="1:10" x14ac:dyDescent="0.25">
      <c r="A16" s="1" t="s">
        <v>16</v>
      </c>
      <c r="B16" s="1" t="s">
        <v>42</v>
      </c>
      <c r="C16" s="10"/>
      <c r="D16" s="10"/>
      <c r="E16" s="10"/>
      <c r="F16" s="10">
        <v>10</v>
      </c>
      <c r="G16" s="10">
        <f t="shared" si="0"/>
        <v>10</v>
      </c>
      <c r="H16" s="16">
        <f t="shared" si="1"/>
        <v>0.01</v>
      </c>
      <c r="I16" s="15">
        <f t="shared" si="2"/>
        <v>0</v>
      </c>
      <c r="J16" s="15">
        <f>ROUND(G16/10-1,2)</f>
        <v>0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60</v>
      </c>
      <c r="F17" s="10">
        <v>30</v>
      </c>
      <c r="G17" s="10">
        <f t="shared" si="0"/>
        <v>90</v>
      </c>
      <c r="H17" s="16">
        <f t="shared" si="1"/>
        <v>0.08</v>
      </c>
      <c r="I17" s="15">
        <f t="shared" si="2"/>
        <v>0</v>
      </c>
      <c r="J17" s="15">
        <f>ROUND(G17/140-1,2)</f>
        <v>-0.36</v>
      </c>
    </row>
    <row r="18" spans="1:10" x14ac:dyDescent="0.25">
      <c r="A18" s="1" t="s">
        <v>16</v>
      </c>
      <c r="B18" s="1" t="s">
        <v>31</v>
      </c>
      <c r="C18" s="10"/>
      <c r="D18" s="10"/>
      <c r="E18" s="10"/>
      <c r="F18" s="10">
        <v>20</v>
      </c>
      <c r="G18" s="10">
        <f t="shared" si="0"/>
        <v>20</v>
      </c>
      <c r="H18" s="16">
        <f t="shared" si="1"/>
        <v>0.02</v>
      </c>
      <c r="I18" s="15">
        <f t="shared" si="2"/>
        <v>0</v>
      </c>
      <c r="J18" s="15">
        <f>ROUND(G18/170-1,2)</f>
        <v>-0.88</v>
      </c>
    </row>
    <row r="19" spans="1:10" x14ac:dyDescent="0.25">
      <c r="A19" s="1" t="s">
        <v>16</v>
      </c>
      <c r="B19" s="1" t="s">
        <v>32</v>
      </c>
      <c r="C19" s="10"/>
      <c r="D19" s="10"/>
      <c r="E19" s="10"/>
      <c r="F19" s="10">
        <v>220</v>
      </c>
      <c r="G19" s="10">
        <f t="shared" si="0"/>
        <v>220</v>
      </c>
      <c r="H19" s="16">
        <f t="shared" si="1"/>
        <v>0.2</v>
      </c>
      <c r="I19" s="15">
        <f t="shared" si="2"/>
        <v>1E-3</v>
      </c>
      <c r="J19" s="15">
        <f>ROUND(G19/595-1,2)</f>
        <v>-0.63</v>
      </c>
    </row>
    <row r="20" spans="1:10" x14ac:dyDescent="0.25">
      <c r="A20" s="1" t="s">
        <v>16</v>
      </c>
      <c r="B20" s="1" t="s">
        <v>33</v>
      </c>
      <c r="C20" s="10"/>
      <c r="D20" s="10">
        <v>127</v>
      </c>
      <c r="E20" s="10"/>
      <c r="F20" s="10">
        <v>15</v>
      </c>
      <c r="G20" s="10">
        <f t="shared" si="0"/>
        <v>142</v>
      </c>
      <c r="H20" s="16">
        <f t="shared" si="1"/>
        <v>0.13</v>
      </c>
      <c r="I20" s="15">
        <f t="shared" si="2"/>
        <v>0</v>
      </c>
      <c r="J20" s="15">
        <f>ROUND(G20/77-1,2)</f>
        <v>0.84</v>
      </c>
    </row>
    <row r="21" spans="1:10" x14ac:dyDescent="0.25">
      <c r="A21" s="1" t="s">
        <v>16</v>
      </c>
      <c r="B21" s="1" t="s">
        <v>35</v>
      </c>
      <c r="C21" s="10"/>
      <c r="D21" s="10">
        <v>40</v>
      </c>
      <c r="E21" s="10"/>
      <c r="F21" s="10">
        <v>110</v>
      </c>
      <c r="G21" s="10">
        <f t="shared" si="0"/>
        <v>150</v>
      </c>
      <c r="H21" s="16">
        <f t="shared" si="1"/>
        <v>0.14000000000000001</v>
      </c>
      <c r="I21" s="15">
        <f t="shared" si="2"/>
        <v>1E-3</v>
      </c>
      <c r="J21" s="15">
        <f>ROUND(G21/341-1,2)</f>
        <v>-0.56000000000000005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1210</v>
      </c>
      <c r="F22" s="10">
        <v>2420</v>
      </c>
      <c r="G22" s="10">
        <f t="shared" si="0"/>
        <v>3630</v>
      </c>
      <c r="H22" s="16">
        <f t="shared" si="1"/>
        <v>3.34</v>
      </c>
      <c r="I22" s="15">
        <f t="shared" si="2"/>
        <v>1.2999999999999999E-2</v>
      </c>
      <c r="J22" s="15">
        <f>ROUND(G22/2740-1,2)</f>
        <v>0.32</v>
      </c>
    </row>
    <row r="23" spans="1:10" x14ac:dyDescent="0.25">
      <c r="A23" s="1" t="s">
        <v>16</v>
      </c>
      <c r="B23" s="1" t="s">
        <v>40</v>
      </c>
      <c r="C23" s="10"/>
      <c r="D23" s="10"/>
      <c r="E23" s="10"/>
      <c r="F23" s="10">
        <v>1800</v>
      </c>
      <c r="G23" s="10">
        <f t="shared" si="0"/>
        <v>1800</v>
      </c>
      <c r="H23" s="16">
        <f t="shared" si="1"/>
        <v>1.66</v>
      </c>
      <c r="I23" s="15">
        <f t="shared" si="2"/>
        <v>6.0000000000000001E-3</v>
      </c>
      <c r="J23" s="15">
        <f>ROUND(G23/1460-1,2)</f>
        <v>0.23</v>
      </c>
    </row>
    <row r="24" spans="1:10" x14ac:dyDescent="0.25">
      <c r="A24" s="1" t="s">
        <v>16</v>
      </c>
      <c r="B24" s="1" t="s">
        <v>41</v>
      </c>
      <c r="C24" s="10"/>
      <c r="D24" s="10"/>
      <c r="E24" s="10"/>
      <c r="F24" s="10">
        <v>28660</v>
      </c>
      <c r="G24" s="10">
        <f t="shared" si="0"/>
        <v>28660</v>
      </c>
      <c r="H24" s="16">
        <f t="shared" si="1"/>
        <v>26.39</v>
      </c>
      <c r="I24" s="15">
        <f t="shared" si="2"/>
        <v>9.9000000000000005E-2</v>
      </c>
      <c r="J24" s="15">
        <f>ROUND(G24/21740-1,2)</f>
        <v>0.32</v>
      </c>
    </row>
    <row r="25" spans="1:10" x14ac:dyDescent="0.25">
      <c r="A25" s="1" t="s">
        <v>16</v>
      </c>
      <c r="B25" s="1" t="s">
        <v>95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ROUND(G25/11-1,2)</f>
        <v>-1</v>
      </c>
    </row>
    <row r="26" spans="1:10" x14ac:dyDescent="0.25">
      <c r="A26" s="1" t="s">
        <v>16</v>
      </c>
      <c r="B26" s="1" t="s">
        <v>34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44</v>
      </c>
      <c r="B27" s="1" t="s">
        <v>45</v>
      </c>
      <c r="C27" s="10">
        <v>70290</v>
      </c>
      <c r="D27" s="10"/>
      <c r="E27" s="10"/>
      <c r="F27" s="10"/>
      <c r="G27" s="10">
        <f t="shared" si="0"/>
        <v>70290</v>
      </c>
      <c r="H27" s="16">
        <f t="shared" si="1"/>
        <v>64.72</v>
      </c>
      <c r="I27" s="15">
        <f t="shared" si="2"/>
        <v>0.24399999999999999</v>
      </c>
      <c r="J27" s="15">
        <f>ROUND(G27/73160-1,2)</f>
        <v>-0.04</v>
      </c>
    </row>
    <row r="28" spans="1:10" x14ac:dyDescent="0.25">
      <c r="A28" s="1" t="s">
        <v>44</v>
      </c>
      <c r="B28" s="1" t="s">
        <v>46</v>
      </c>
      <c r="C28" s="10"/>
      <c r="D28" s="10"/>
      <c r="E28" s="10"/>
      <c r="F28" s="10">
        <v>8160</v>
      </c>
      <c r="G28" s="10">
        <f t="shared" si="0"/>
        <v>8160</v>
      </c>
      <c r="H28" s="16">
        <f t="shared" si="1"/>
        <v>7.51</v>
      </c>
      <c r="I28" s="15">
        <f t="shared" si="2"/>
        <v>2.8000000000000001E-2</v>
      </c>
      <c r="J28" s="15">
        <f>ROUND(G28/8040-1,2)</f>
        <v>0.01</v>
      </c>
    </row>
    <row r="29" spans="1:10" x14ac:dyDescent="0.25">
      <c r="A29" s="1" t="s">
        <v>44</v>
      </c>
      <c r="B29" s="1" t="s">
        <v>47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23" t="s">
        <v>12</v>
      </c>
      <c r="B30" s="23"/>
      <c r="C30" s="11">
        <f t="shared" ref="C30:H30" si="3">SUM(C8:C29)</f>
        <v>243510</v>
      </c>
      <c r="D30" s="11">
        <f t="shared" si="3"/>
        <v>167</v>
      </c>
      <c r="E30" s="11">
        <f t="shared" si="3"/>
        <v>1270</v>
      </c>
      <c r="F30" s="11">
        <f t="shared" si="3"/>
        <v>43178</v>
      </c>
      <c r="G30" s="11">
        <f t="shared" si="3"/>
        <v>288125</v>
      </c>
      <c r="H30" s="14">
        <f t="shared" si="3"/>
        <v>265.28999999999996</v>
      </c>
      <c r="I30" s="17"/>
      <c r="J30" s="17"/>
    </row>
    <row r="31" spans="1:10" x14ac:dyDescent="0.25">
      <c r="A31" s="23" t="s">
        <v>14</v>
      </c>
      <c r="B31" s="23"/>
      <c r="C31" s="12">
        <f>ROUND(C30/G30,2)</f>
        <v>0.85</v>
      </c>
      <c r="D31" s="12">
        <f>ROUND(D30/G30,2)</f>
        <v>0</v>
      </c>
      <c r="E31" s="12">
        <f>ROUND(E30/G30,2)</f>
        <v>0</v>
      </c>
      <c r="F31" s="12">
        <f>ROUND(F30/G30,2)</f>
        <v>0.15</v>
      </c>
      <c r="G31" s="13"/>
      <c r="H31" s="13"/>
      <c r="I31" s="17"/>
      <c r="J31" s="17"/>
    </row>
    <row r="32" spans="1:10" x14ac:dyDescent="0.25">
      <c r="A32" s="2" t="s">
        <v>52</v>
      </c>
      <c r="B32" s="2"/>
      <c r="C32" s="13"/>
      <c r="D32" s="13"/>
      <c r="E32" s="13"/>
      <c r="F32" s="13"/>
      <c r="G32" s="13"/>
      <c r="H32" s="13"/>
      <c r="I32" s="17"/>
      <c r="J32" s="17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C35" s="8"/>
      <c r="D35" s="8"/>
      <c r="E35" s="8"/>
      <c r="F35" s="8"/>
      <c r="G35" s="8"/>
      <c r="H35" s="8"/>
      <c r="I35" s="9"/>
      <c r="J35" s="9"/>
    </row>
    <row r="36" spans="1:10" x14ac:dyDescent="0.25">
      <c r="A36" s="23" t="s">
        <v>53</v>
      </c>
      <c r="B36" s="23"/>
      <c r="C36" s="11" t="s">
        <v>8</v>
      </c>
      <c r="D36" s="11" t="s">
        <v>9</v>
      </c>
      <c r="E36" s="11" t="s">
        <v>10</v>
      </c>
      <c r="F36" s="11" t="s">
        <v>11</v>
      </c>
      <c r="G36" s="11" t="s">
        <v>12</v>
      </c>
      <c r="H36" s="14" t="s">
        <v>13</v>
      </c>
      <c r="I36" s="17"/>
      <c r="J36" s="17"/>
    </row>
    <row r="37" spans="1:10" x14ac:dyDescent="0.25">
      <c r="A37" s="22" t="s">
        <v>54</v>
      </c>
      <c r="B37" s="22"/>
      <c r="C37" s="10">
        <v>173220</v>
      </c>
      <c r="D37" s="10">
        <v>167</v>
      </c>
      <c r="E37" s="10">
        <v>1270</v>
      </c>
      <c r="F37" s="10">
        <v>34527</v>
      </c>
      <c r="G37" s="10">
        <f>SUM(C37:F37)</f>
        <v>209184</v>
      </c>
      <c r="H37" s="16">
        <f>ROUND(G37/1086,2)</f>
        <v>192.62</v>
      </c>
      <c r="I37" s="9"/>
      <c r="J37" s="9"/>
    </row>
    <row r="38" spans="1:10" x14ac:dyDescent="0.25">
      <c r="A38" s="22" t="s">
        <v>55</v>
      </c>
      <c r="B38" s="22"/>
      <c r="C38" s="10">
        <v>70290</v>
      </c>
      <c r="D38" s="10">
        <v>0</v>
      </c>
      <c r="E38" s="10">
        <v>0</v>
      </c>
      <c r="F38" s="10">
        <v>8160</v>
      </c>
      <c r="G38" s="10">
        <f>SUM(C38:F38)</f>
        <v>78450</v>
      </c>
      <c r="H38" s="16">
        <f>ROUND(G38/1086,2)</f>
        <v>72.239999999999995</v>
      </c>
      <c r="I38" s="9"/>
      <c r="J38" s="9"/>
    </row>
    <row r="39" spans="1:10" x14ac:dyDescent="0.25">
      <c r="A39" s="22" t="s">
        <v>56</v>
      </c>
      <c r="B39" s="22"/>
      <c r="C39" s="10">
        <v>0</v>
      </c>
      <c r="D39" s="10">
        <v>0</v>
      </c>
      <c r="E39" s="10">
        <v>0</v>
      </c>
      <c r="F39" s="10">
        <v>491</v>
      </c>
      <c r="G39" s="10">
        <f>SUM(C39:F39)</f>
        <v>491</v>
      </c>
      <c r="H39" s="16">
        <f>ROUND(G39/1086,2)</f>
        <v>0.45</v>
      </c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57</v>
      </c>
      <c r="B44" s="23"/>
      <c r="C44" s="14" t="s">
        <v>2</v>
      </c>
      <c r="D44" s="14">
        <v>2023</v>
      </c>
      <c r="E44" s="14" t="s">
        <v>59</v>
      </c>
      <c r="F44" s="13"/>
      <c r="G44" s="14" t="s">
        <v>60</v>
      </c>
      <c r="H44" s="14" t="s">
        <v>2</v>
      </c>
      <c r="I44" s="12" t="s">
        <v>61</v>
      </c>
      <c r="J44" s="12" t="s">
        <v>59</v>
      </c>
    </row>
    <row r="45" spans="1:10" x14ac:dyDescent="0.25">
      <c r="A45" s="22" t="s">
        <v>58</v>
      </c>
      <c r="B45" s="22"/>
      <c r="C45" s="15">
        <f>ROUND(0.7548, 4)</f>
        <v>0.75480000000000003</v>
      </c>
      <c r="D45" s="15">
        <f>ROUND(0.7399, 4)</f>
        <v>0.7399</v>
      </c>
      <c r="E45" s="15">
        <f>ROUND(0.777, 4)</f>
        <v>0.77700000000000002</v>
      </c>
      <c r="F45" s="8"/>
      <c r="G45" s="14" t="s">
        <v>62</v>
      </c>
      <c r="H45" s="26" t="s">
        <v>63</v>
      </c>
      <c r="I45" s="24" t="s">
        <v>64</v>
      </c>
      <c r="J45" s="24" t="s">
        <v>65</v>
      </c>
    </row>
    <row r="46" spans="1:10" x14ac:dyDescent="0.25">
      <c r="A46" s="22" t="s">
        <v>66</v>
      </c>
      <c r="B46" s="22"/>
      <c r="C46" s="15">
        <f>ROUND(0.7425, 4)</f>
        <v>0.74250000000000005</v>
      </c>
      <c r="D46" s="15">
        <f>ROUND(0.7282, 4)</f>
        <v>0.72819999999999996</v>
      </c>
      <c r="E46" s="15">
        <f>ROUND(0.7608, 4)</f>
        <v>0.76080000000000003</v>
      </c>
      <c r="F46" s="8"/>
      <c r="G46" s="14" t="s">
        <v>67</v>
      </c>
      <c r="H46" s="27"/>
      <c r="I46" s="25"/>
      <c r="J46" s="25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68</v>
      </c>
      <c r="B50" s="23"/>
      <c r="C50" s="14" t="s">
        <v>2</v>
      </c>
      <c r="D50" s="14" t="s">
        <v>165</v>
      </c>
      <c r="E50" s="14" t="s">
        <v>70</v>
      </c>
      <c r="F50" s="14" t="s">
        <v>71</v>
      </c>
      <c r="G50" s="14" t="s">
        <v>72</v>
      </c>
      <c r="H50" s="13"/>
      <c r="I50" s="17"/>
      <c r="J50" s="17"/>
    </row>
    <row r="51" spans="1:10" x14ac:dyDescent="0.25">
      <c r="A51" s="22" t="s">
        <v>73</v>
      </c>
      <c r="B51" s="22"/>
      <c r="C51" s="16">
        <v>64.72</v>
      </c>
      <c r="D51" s="16">
        <v>82.83</v>
      </c>
      <c r="E51" s="16">
        <v>89.58</v>
      </c>
      <c r="F51" s="16">
        <v>53.73</v>
      </c>
      <c r="G51" s="16">
        <f>12/9*C51</f>
        <v>86.293333333333322</v>
      </c>
      <c r="H51" s="8"/>
      <c r="I51" s="9"/>
      <c r="J51" s="9"/>
    </row>
    <row r="52" spans="1:10" x14ac:dyDescent="0.25">
      <c r="A52" s="22" t="s">
        <v>74</v>
      </c>
      <c r="B52" s="22"/>
      <c r="C52" s="16">
        <v>65.08</v>
      </c>
      <c r="D52" s="16">
        <v>94.77</v>
      </c>
      <c r="E52" s="16">
        <v>60.32</v>
      </c>
      <c r="F52" s="16">
        <v>61.62</v>
      </c>
      <c r="G52" s="16">
        <f>12/9*C52</f>
        <v>86.773333333333326</v>
      </c>
      <c r="H52" s="8"/>
      <c r="I52" s="9"/>
      <c r="J52" s="9"/>
    </row>
    <row r="53" spans="1:10" x14ac:dyDescent="0.25">
      <c r="A53" s="22" t="s">
        <v>75</v>
      </c>
      <c r="B53" s="22"/>
      <c r="C53" s="16">
        <v>192.62</v>
      </c>
      <c r="D53" s="16">
        <v>242.37</v>
      </c>
      <c r="E53" s="16">
        <v>282.8</v>
      </c>
      <c r="F53" s="16">
        <v>273.33</v>
      </c>
      <c r="G53" s="16">
        <f>12/9*C53</f>
        <v>256.82666666666665</v>
      </c>
      <c r="H53" s="8"/>
      <c r="I53" s="9"/>
      <c r="J53" s="9"/>
    </row>
    <row r="54" spans="1:10" x14ac:dyDescent="0.25">
      <c r="A54" s="22" t="s">
        <v>76</v>
      </c>
      <c r="B54" s="22"/>
      <c r="C54" s="16">
        <v>72.239999999999995</v>
      </c>
      <c r="D54" s="16">
        <v>93.34</v>
      </c>
      <c r="E54" s="16">
        <v>112.72</v>
      </c>
      <c r="F54" s="16">
        <v>76.52</v>
      </c>
      <c r="G54" s="16">
        <f>12/9*C54</f>
        <v>96.32</v>
      </c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1" t="s">
        <v>60</v>
      </c>
      <c r="B57" s="28"/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3" t="s">
        <v>77</v>
      </c>
      <c r="B58" s="1" t="s">
        <v>166</v>
      </c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3" t="s">
        <v>70</v>
      </c>
      <c r="B59" s="1" t="s">
        <v>79</v>
      </c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" t="s">
        <v>71</v>
      </c>
      <c r="B60" s="1" t="s">
        <v>80</v>
      </c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" t="s">
        <v>72</v>
      </c>
      <c r="B61" s="1" t="s">
        <v>81</v>
      </c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52:B52"/>
    <mergeCell ref="A53:B53"/>
    <mergeCell ref="A54:B54"/>
    <mergeCell ref="A57:B57"/>
    <mergeCell ref="I45:I46"/>
    <mergeCell ref="J45:J46"/>
    <mergeCell ref="A46:B46"/>
    <mergeCell ref="A50:B50"/>
    <mergeCell ref="A51:B51"/>
    <mergeCell ref="A38:B38"/>
    <mergeCell ref="A39:B39"/>
    <mergeCell ref="A44:B44"/>
    <mergeCell ref="A45:B45"/>
    <mergeCell ref="H45:H46"/>
    <mergeCell ref="C7:G7"/>
    <mergeCell ref="A30:B30"/>
    <mergeCell ref="A31:B31"/>
    <mergeCell ref="A36:B36"/>
    <mergeCell ref="A37:B3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5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7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167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1689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159</v>
      </c>
      <c r="C9" s="10"/>
      <c r="D9" s="10"/>
      <c r="E9" s="10">
        <v>23340</v>
      </c>
      <c r="F9" s="10"/>
      <c r="G9" s="10">
        <f t="shared" ref="G9:G38" si="0">SUM(C9:F9)</f>
        <v>23340</v>
      </c>
      <c r="H9" s="16">
        <f t="shared" ref="H9:H38" si="1">ROUND(G9/1689,2)</f>
        <v>13.82</v>
      </c>
      <c r="I9" s="15">
        <f t="shared" ref="I9:I38" si="2">ROUND(G9/$G$39,3)</f>
        <v>4.4999999999999998E-2</v>
      </c>
      <c r="J9" s="15">
        <f>ROUND(G9/33660-1,2)</f>
        <v>-0.31</v>
      </c>
    </row>
    <row r="10" spans="1:10" x14ac:dyDescent="0.25">
      <c r="A10" s="1" t="s">
        <v>48</v>
      </c>
      <c r="B10" s="1" t="s">
        <v>168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19</v>
      </c>
      <c r="C12" s="10">
        <v>45570</v>
      </c>
      <c r="D12" s="10"/>
      <c r="E12" s="10"/>
      <c r="F12" s="10"/>
      <c r="G12" s="10">
        <f t="shared" si="0"/>
        <v>45570</v>
      </c>
      <c r="H12" s="16">
        <f t="shared" si="1"/>
        <v>26.98</v>
      </c>
      <c r="I12" s="15">
        <f t="shared" si="2"/>
        <v>8.6999999999999994E-2</v>
      </c>
      <c r="J12" s="15">
        <f>ROUND(G12/41180-1,2)</f>
        <v>0.11</v>
      </c>
    </row>
    <row r="13" spans="1:10" x14ac:dyDescent="0.25">
      <c r="A13" s="1" t="s">
        <v>16</v>
      </c>
      <c r="B13" s="1" t="s">
        <v>20</v>
      </c>
      <c r="C13" s="10">
        <v>59840</v>
      </c>
      <c r="D13" s="10"/>
      <c r="E13" s="10"/>
      <c r="F13" s="10"/>
      <c r="G13" s="10">
        <f t="shared" si="0"/>
        <v>59840</v>
      </c>
      <c r="H13" s="16">
        <f t="shared" si="1"/>
        <v>35.43</v>
      </c>
      <c r="I13" s="15">
        <f t="shared" si="2"/>
        <v>0.114</v>
      </c>
      <c r="J13" s="15">
        <f>ROUND(G13/56250-1,2)</f>
        <v>0.06</v>
      </c>
    </row>
    <row r="14" spans="1:10" x14ac:dyDescent="0.25">
      <c r="A14" s="1" t="s">
        <v>16</v>
      </c>
      <c r="B14" s="1" t="s">
        <v>21</v>
      </c>
      <c r="C14" s="10"/>
      <c r="D14" s="10"/>
      <c r="E14" s="10">
        <v>184</v>
      </c>
      <c r="F14" s="10"/>
      <c r="G14" s="10">
        <f t="shared" si="0"/>
        <v>184</v>
      </c>
      <c r="H14" s="16">
        <f t="shared" si="1"/>
        <v>0.11</v>
      </c>
      <c r="I14" s="15">
        <f t="shared" si="2"/>
        <v>0</v>
      </c>
      <c r="J14" s="15">
        <f>ROUND(G14/289-1,2)</f>
        <v>-0.36</v>
      </c>
    </row>
    <row r="15" spans="1:10" x14ac:dyDescent="0.25">
      <c r="A15" s="1" t="s">
        <v>16</v>
      </c>
      <c r="B15" s="1" t="s">
        <v>22</v>
      </c>
      <c r="C15" s="10"/>
      <c r="D15" s="10"/>
      <c r="E15" s="10">
        <v>1000</v>
      </c>
      <c r="F15" s="10"/>
      <c r="G15" s="10">
        <f t="shared" si="0"/>
        <v>1000</v>
      </c>
      <c r="H15" s="16">
        <f t="shared" si="1"/>
        <v>0.59</v>
      </c>
      <c r="I15" s="15">
        <f t="shared" si="2"/>
        <v>2E-3</v>
      </c>
      <c r="J15" s="15">
        <f>ROUND(G15/1920-1,2)</f>
        <v>-0.48</v>
      </c>
    </row>
    <row r="16" spans="1:10" x14ac:dyDescent="0.25">
      <c r="A16" s="1" t="s">
        <v>16</v>
      </c>
      <c r="B16" s="1" t="s">
        <v>24</v>
      </c>
      <c r="C16" s="10">
        <v>49760</v>
      </c>
      <c r="D16" s="10"/>
      <c r="E16" s="10"/>
      <c r="F16" s="10"/>
      <c r="G16" s="10">
        <f t="shared" si="0"/>
        <v>49760</v>
      </c>
      <c r="H16" s="16">
        <f t="shared" si="1"/>
        <v>29.46</v>
      </c>
      <c r="I16" s="15">
        <f t="shared" si="2"/>
        <v>9.5000000000000001E-2</v>
      </c>
      <c r="J16" s="15">
        <f>ROUND(G16/58400-1,2)</f>
        <v>-0.15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2035</v>
      </c>
      <c r="F17" s="10"/>
      <c r="G17" s="10">
        <f t="shared" si="0"/>
        <v>2035</v>
      </c>
      <c r="H17" s="16">
        <f t="shared" si="1"/>
        <v>1.2</v>
      </c>
      <c r="I17" s="15">
        <f t="shared" si="2"/>
        <v>4.0000000000000001E-3</v>
      </c>
      <c r="J17" s="15">
        <f>ROUND(G17/830-1,2)</f>
        <v>1.45</v>
      </c>
    </row>
    <row r="18" spans="1:10" x14ac:dyDescent="0.25">
      <c r="A18" s="1" t="s">
        <v>16</v>
      </c>
      <c r="B18" s="1" t="s">
        <v>26</v>
      </c>
      <c r="C18" s="10">
        <v>97250</v>
      </c>
      <c r="D18" s="10"/>
      <c r="E18" s="10"/>
      <c r="F18" s="10">
        <v>620</v>
      </c>
      <c r="G18" s="10">
        <f t="shared" si="0"/>
        <v>97870</v>
      </c>
      <c r="H18" s="16">
        <f t="shared" si="1"/>
        <v>57.95</v>
      </c>
      <c r="I18" s="15">
        <f t="shared" si="2"/>
        <v>0.187</v>
      </c>
      <c r="J18" s="15">
        <f>ROUND(G18/92860-1,2)</f>
        <v>0.05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1124</v>
      </c>
      <c r="F19" s="10"/>
      <c r="G19" s="10">
        <f t="shared" si="0"/>
        <v>1124</v>
      </c>
      <c r="H19" s="16">
        <f t="shared" si="1"/>
        <v>0.67</v>
      </c>
      <c r="I19" s="15">
        <f t="shared" si="2"/>
        <v>2E-3</v>
      </c>
      <c r="J19" s="15">
        <f>ROUND(G19/1077-1,2)</f>
        <v>0.04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2200</v>
      </c>
      <c r="F20" s="10"/>
      <c r="G20" s="10">
        <f t="shared" si="0"/>
        <v>2200</v>
      </c>
      <c r="H20" s="16">
        <f t="shared" si="1"/>
        <v>1.3</v>
      </c>
      <c r="I20" s="15">
        <f t="shared" si="2"/>
        <v>4.0000000000000001E-3</v>
      </c>
      <c r="J20" s="15">
        <f>ROUND(G20/3449-1,2)</f>
        <v>-0.36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440</v>
      </c>
      <c r="F21" s="10"/>
      <c r="G21" s="10">
        <f t="shared" si="0"/>
        <v>440</v>
      </c>
      <c r="H21" s="16">
        <f t="shared" si="1"/>
        <v>0.26</v>
      </c>
      <c r="I21" s="15">
        <f t="shared" si="2"/>
        <v>1E-3</v>
      </c>
      <c r="J21" s="15">
        <f>ROUND(G21/650-1,2)</f>
        <v>-0.32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1160</v>
      </c>
      <c r="F22" s="10"/>
      <c r="G22" s="10">
        <f t="shared" si="0"/>
        <v>1160</v>
      </c>
      <c r="H22" s="16">
        <f t="shared" si="1"/>
        <v>0.69</v>
      </c>
      <c r="I22" s="15">
        <f t="shared" si="2"/>
        <v>2E-3</v>
      </c>
      <c r="J22" s="15">
        <f>ROUND(G22/790-1,2)</f>
        <v>0.47</v>
      </c>
    </row>
    <row r="23" spans="1:10" x14ac:dyDescent="0.25">
      <c r="A23" s="1" t="s">
        <v>16</v>
      </c>
      <c r="B23" s="1" t="s">
        <v>33</v>
      </c>
      <c r="C23" s="10"/>
      <c r="D23" s="10">
        <v>96</v>
      </c>
      <c r="E23" s="10">
        <v>34</v>
      </c>
      <c r="F23" s="10"/>
      <c r="G23" s="10">
        <f t="shared" si="0"/>
        <v>130</v>
      </c>
      <c r="H23" s="16">
        <f t="shared" si="1"/>
        <v>0.08</v>
      </c>
      <c r="I23" s="15">
        <f t="shared" si="2"/>
        <v>0</v>
      </c>
      <c r="J23" s="15">
        <f>ROUND(G23/152-1,2)</f>
        <v>-0.14000000000000001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970</v>
      </c>
      <c r="F24" s="10"/>
      <c r="G24" s="10">
        <f t="shared" si="0"/>
        <v>970</v>
      </c>
      <c r="H24" s="16">
        <f t="shared" si="1"/>
        <v>0.56999999999999995</v>
      </c>
      <c r="I24" s="15">
        <f t="shared" si="2"/>
        <v>2E-3</v>
      </c>
      <c r="J24" s="15">
        <f>ROUND(G24/935-1,2)</f>
        <v>0.04</v>
      </c>
    </row>
    <row r="25" spans="1:10" x14ac:dyDescent="0.25">
      <c r="A25" s="1" t="s">
        <v>16</v>
      </c>
      <c r="B25" s="1" t="s">
        <v>35</v>
      </c>
      <c r="C25" s="10"/>
      <c r="D25" s="10">
        <v>40</v>
      </c>
      <c r="E25" s="10"/>
      <c r="F25" s="10"/>
      <c r="G25" s="10">
        <f t="shared" si="0"/>
        <v>40</v>
      </c>
      <c r="H25" s="16">
        <f t="shared" si="1"/>
        <v>0.02</v>
      </c>
      <c r="I25" s="15">
        <f t="shared" si="2"/>
        <v>0</v>
      </c>
      <c r="J25" s="15">
        <f>ROUND(G25/230-1,2)</f>
        <v>-0.83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2560</v>
      </c>
      <c r="F26" s="10"/>
      <c r="G26" s="10">
        <f t="shared" si="0"/>
        <v>2560</v>
      </c>
      <c r="H26" s="16">
        <f t="shared" si="1"/>
        <v>1.52</v>
      </c>
      <c r="I26" s="15">
        <f t="shared" si="2"/>
        <v>5.0000000000000001E-3</v>
      </c>
      <c r="J26" s="15">
        <f>ROUND(G26/3821-1,2)</f>
        <v>-0.33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3530</v>
      </c>
      <c r="F27" s="10"/>
      <c r="G27" s="10">
        <f t="shared" si="0"/>
        <v>3530</v>
      </c>
      <c r="H27" s="16">
        <f t="shared" si="1"/>
        <v>2.09</v>
      </c>
      <c r="I27" s="15">
        <f t="shared" si="2"/>
        <v>7.0000000000000001E-3</v>
      </c>
      <c r="J27" s="15">
        <f>ROUND(G27/2140-1,2)</f>
        <v>0.65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53820</v>
      </c>
      <c r="F28" s="10"/>
      <c r="G28" s="10">
        <f t="shared" si="0"/>
        <v>53820</v>
      </c>
      <c r="H28" s="16">
        <f t="shared" si="1"/>
        <v>31.87</v>
      </c>
      <c r="I28" s="15">
        <f t="shared" si="2"/>
        <v>0.10299999999999999</v>
      </c>
      <c r="J28" s="15">
        <f>ROUND(G28/35890-1,2)</f>
        <v>0.5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16990</v>
      </c>
      <c r="F29" s="10"/>
      <c r="G29" s="10">
        <f t="shared" si="0"/>
        <v>16990</v>
      </c>
      <c r="H29" s="16">
        <f t="shared" si="1"/>
        <v>10.06</v>
      </c>
      <c r="I29" s="15">
        <f t="shared" si="2"/>
        <v>3.2000000000000001E-2</v>
      </c>
      <c r="J29" s="15">
        <f>ROUND(G29/12050-1,2)</f>
        <v>0.41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26460</v>
      </c>
      <c r="F30" s="10"/>
      <c r="G30" s="10">
        <f t="shared" si="0"/>
        <v>26460</v>
      </c>
      <c r="H30" s="16">
        <f t="shared" si="1"/>
        <v>15.67</v>
      </c>
      <c r="I30" s="15">
        <f t="shared" si="2"/>
        <v>5.0999999999999997E-2</v>
      </c>
      <c r="J30" s="15">
        <f>ROUND(G30/17240-1,2)</f>
        <v>0.53</v>
      </c>
    </row>
    <row r="31" spans="1:10" x14ac:dyDescent="0.25">
      <c r="A31" s="1" t="s">
        <v>16</v>
      </c>
      <c r="B31" s="1" t="s">
        <v>90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133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ROUND(G33/1420-1,2)</f>
        <v>-1</v>
      </c>
    </row>
    <row r="34" spans="1:10" x14ac:dyDescent="0.25">
      <c r="A34" s="1" t="s">
        <v>16</v>
      </c>
      <c r="B34" s="1" t="s">
        <v>95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ROUND(G34/52-1,2)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99540</v>
      </c>
      <c r="D36" s="10"/>
      <c r="E36" s="10"/>
      <c r="F36" s="10"/>
      <c r="G36" s="10">
        <f t="shared" si="0"/>
        <v>99540</v>
      </c>
      <c r="H36" s="16">
        <f t="shared" si="1"/>
        <v>58.93</v>
      </c>
      <c r="I36" s="15">
        <f t="shared" si="2"/>
        <v>0.19</v>
      </c>
      <c r="J36" s="15">
        <f>ROUND(G36/101690-1,2)</f>
        <v>-0.02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34910</v>
      </c>
      <c r="F37" s="10"/>
      <c r="G37" s="10">
        <f t="shared" si="0"/>
        <v>34910</v>
      </c>
      <c r="H37" s="16">
        <f t="shared" si="1"/>
        <v>20.67</v>
      </c>
      <c r="I37" s="15">
        <f t="shared" si="2"/>
        <v>6.7000000000000004E-2</v>
      </c>
      <c r="J37" s="15">
        <f>ROUND(G37/30600-1,2)</f>
        <v>0.14000000000000001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351960</v>
      </c>
      <c r="D39" s="11">
        <f t="shared" si="3"/>
        <v>136</v>
      </c>
      <c r="E39" s="11">
        <f t="shared" si="3"/>
        <v>170757</v>
      </c>
      <c r="F39" s="11">
        <f t="shared" si="3"/>
        <v>620</v>
      </c>
      <c r="G39" s="11">
        <f t="shared" si="3"/>
        <v>523473</v>
      </c>
      <c r="H39" s="14">
        <f t="shared" si="3"/>
        <v>309.94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0.67</v>
      </c>
      <c r="D40" s="12">
        <f>ROUND(D39/G39,2)</f>
        <v>0</v>
      </c>
      <c r="E40" s="12">
        <f>ROUND(E39/G39,2)</f>
        <v>0.33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252420</v>
      </c>
      <c r="D46" s="10">
        <v>136</v>
      </c>
      <c r="E46" s="10">
        <v>112507</v>
      </c>
      <c r="F46" s="10">
        <v>620</v>
      </c>
      <c r="G46" s="10">
        <f>SUM(C46:F46)</f>
        <v>365683</v>
      </c>
      <c r="H46" s="16">
        <f>ROUND(G46/1689,2)</f>
        <v>216.51</v>
      </c>
      <c r="I46" s="9"/>
      <c r="J46" s="9"/>
    </row>
    <row r="47" spans="1:10" x14ac:dyDescent="0.25">
      <c r="A47" s="22" t="s">
        <v>55</v>
      </c>
      <c r="B47" s="22"/>
      <c r="C47" s="10">
        <v>99540</v>
      </c>
      <c r="D47" s="10">
        <v>0</v>
      </c>
      <c r="E47" s="10">
        <v>34910</v>
      </c>
      <c r="F47" s="10">
        <v>0</v>
      </c>
      <c r="G47" s="10">
        <f>SUM(C47:F47)</f>
        <v>134450</v>
      </c>
      <c r="H47" s="16">
        <f>ROUND(G47/1689,2)</f>
        <v>79.599999999999994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23340</v>
      </c>
      <c r="F48" s="10">
        <v>0</v>
      </c>
      <c r="G48" s="10">
        <f>SUM(C48:F48)</f>
        <v>23340</v>
      </c>
      <c r="H48" s="16">
        <f>ROUND(G48/1689,2)</f>
        <v>13.82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ROUND(0.799, 4)</f>
        <v>0.79900000000000004</v>
      </c>
      <c r="D54" s="15">
        <f>ROUND(0.771, 4)</f>
        <v>0.77100000000000002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ROUND(0.7872, 4)</f>
        <v>0.78720000000000001</v>
      </c>
      <c r="D55" s="15">
        <f>ROUND(0.7593, 4)</f>
        <v>0.75929999999999997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169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58.93</v>
      </c>
      <c r="D60" s="16">
        <v>70.28</v>
      </c>
      <c r="E60" s="16">
        <v>89.58</v>
      </c>
      <c r="F60" s="16">
        <v>53.73</v>
      </c>
      <c r="G60" s="16">
        <f>12/9*C60</f>
        <v>78.573333333333323</v>
      </c>
      <c r="H60" s="8"/>
      <c r="I60" s="9"/>
      <c r="J60" s="9"/>
    </row>
    <row r="61" spans="1:10" x14ac:dyDescent="0.25">
      <c r="A61" s="22" t="s">
        <v>74</v>
      </c>
      <c r="B61" s="22"/>
      <c r="C61" s="16">
        <v>57.95</v>
      </c>
      <c r="D61" s="16">
        <v>72.099999999999994</v>
      </c>
      <c r="E61" s="16">
        <v>60.32</v>
      </c>
      <c r="F61" s="16">
        <v>61.62</v>
      </c>
      <c r="G61" s="16">
        <f>12/9*C61</f>
        <v>77.266666666666666</v>
      </c>
      <c r="H61" s="8"/>
      <c r="I61" s="9"/>
      <c r="J61" s="9"/>
    </row>
    <row r="62" spans="1:10" x14ac:dyDescent="0.25">
      <c r="A62" s="22" t="s">
        <v>75</v>
      </c>
      <c r="B62" s="22"/>
      <c r="C62" s="16">
        <v>216.51</v>
      </c>
      <c r="D62" s="16">
        <v>262.91000000000003</v>
      </c>
      <c r="E62" s="16">
        <v>282.8</v>
      </c>
      <c r="F62" s="16">
        <v>273.33</v>
      </c>
      <c r="G62" s="16">
        <f>12/9*C62</f>
        <v>288.67999999999995</v>
      </c>
      <c r="H62" s="8"/>
      <c r="I62" s="9"/>
      <c r="J62" s="9"/>
    </row>
    <row r="63" spans="1:10" x14ac:dyDescent="0.25">
      <c r="A63" s="22" t="s">
        <v>76</v>
      </c>
      <c r="B63" s="22"/>
      <c r="C63" s="16">
        <v>79.599999999999994</v>
      </c>
      <c r="D63" s="16">
        <v>93.5</v>
      </c>
      <c r="E63" s="16">
        <v>112.72</v>
      </c>
      <c r="F63" s="16">
        <v>76.52</v>
      </c>
      <c r="G63" s="16">
        <f>12/9*C63</f>
        <v>106.13333333333333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170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6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72" bestFit="1" customWidth="1"/>
    <col min="3" max="3" width="14" bestFit="1" customWidth="1"/>
    <col min="4" max="4" width="28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501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42" si="0">SUM(C9:F9)</f>
        <v>11</v>
      </c>
      <c r="H9" s="16">
        <f t="shared" ref="H9:H42" si="1">ROUND(G9/501,2)</f>
        <v>0.02</v>
      </c>
      <c r="I9" s="15">
        <f t="shared" ref="I9:I42" si="2">ROUND(G9/$G$43,3)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20160</v>
      </c>
      <c r="D10" s="10"/>
      <c r="E10" s="10">
        <v>1443</v>
      </c>
      <c r="F10" s="10">
        <v>80</v>
      </c>
      <c r="G10" s="10">
        <f t="shared" si="0"/>
        <v>21683</v>
      </c>
      <c r="H10" s="16">
        <f t="shared" si="1"/>
        <v>43.28</v>
      </c>
      <c r="I10" s="15">
        <f t="shared" si="2"/>
        <v>0.10100000000000001</v>
      </c>
      <c r="J10" s="15">
        <f>ROUND(G10/20729.15-1,2)</f>
        <v>0.05</v>
      </c>
    </row>
    <row r="11" spans="1:10" x14ac:dyDescent="0.25">
      <c r="A11" s="1" t="s">
        <v>16</v>
      </c>
      <c r="B11" s="1" t="s">
        <v>20</v>
      </c>
      <c r="C11" s="10">
        <v>30760</v>
      </c>
      <c r="D11" s="10"/>
      <c r="E11" s="10"/>
      <c r="F11" s="10"/>
      <c r="G11" s="10">
        <f t="shared" si="0"/>
        <v>30760</v>
      </c>
      <c r="H11" s="16">
        <f t="shared" si="1"/>
        <v>61.4</v>
      </c>
      <c r="I11" s="15">
        <f t="shared" si="2"/>
        <v>0.14299999999999999</v>
      </c>
      <c r="J11" s="15">
        <f>ROUND(G11/27190-1,2)</f>
        <v>0.13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22</v>
      </c>
      <c r="F12" s="10"/>
      <c r="G12" s="10">
        <f t="shared" si="0"/>
        <v>22</v>
      </c>
      <c r="H12" s="16">
        <f t="shared" si="1"/>
        <v>0.04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182</v>
      </c>
      <c r="F13" s="10">
        <v>1400</v>
      </c>
      <c r="G13" s="10">
        <f t="shared" si="0"/>
        <v>1582</v>
      </c>
      <c r="H13" s="16">
        <f t="shared" si="1"/>
        <v>3.16</v>
      </c>
      <c r="I13" s="15">
        <f t="shared" si="2"/>
        <v>7.0000000000000001E-3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21759</v>
      </c>
      <c r="F14" s="10"/>
      <c r="G14" s="10">
        <f t="shared" si="0"/>
        <v>21759</v>
      </c>
      <c r="H14" s="16">
        <f t="shared" si="1"/>
        <v>43.43</v>
      </c>
      <c r="I14" s="15">
        <f t="shared" si="2"/>
        <v>0.10100000000000001</v>
      </c>
      <c r="J14" s="15">
        <f>ROUND(G14/3249.33-1,2)</f>
        <v>5.7</v>
      </c>
    </row>
    <row r="15" spans="1:10" x14ac:dyDescent="0.25">
      <c r="A15" s="1" t="s">
        <v>16</v>
      </c>
      <c r="B15" s="1" t="s">
        <v>24</v>
      </c>
      <c r="C15" s="10">
        <v>24470</v>
      </c>
      <c r="D15" s="10"/>
      <c r="E15" s="10">
        <v>3977</v>
      </c>
      <c r="F15" s="10">
        <v>100</v>
      </c>
      <c r="G15" s="10">
        <f t="shared" si="0"/>
        <v>28547</v>
      </c>
      <c r="H15" s="16">
        <f t="shared" si="1"/>
        <v>56.98</v>
      </c>
      <c r="I15" s="15">
        <f t="shared" si="2"/>
        <v>0.13200000000000001</v>
      </c>
      <c r="J15" s="15">
        <f>ROUND(G15/27206.22-1,2)</f>
        <v>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901</v>
      </c>
      <c r="F16" s="10"/>
      <c r="G16" s="10">
        <f t="shared" si="0"/>
        <v>901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29040</v>
      </c>
      <c r="D17" s="10"/>
      <c r="E17" s="10"/>
      <c r="F17" s="10">
        <v>40</v>
      </c>
      <c r="G17" s="10">
        <f t="shared" si="0"/>
        <v>29080</v>
      </c>
      <c r="H17" s="16">
        <f t="shared" si="1"/>
        <v>58.04</v>
      </c>
      <c r="I17" s="15">
        <f t="shared" si="2"/>
        <v>0.13500000000000001</v>
      </c>
      <c r="J17" s="15">
        <f>ROUND(G17/26550-1,2)</f>
        <v>0.1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208</v>
      </c>
      <c r="F18" s="10"/>
      <c r="G18" s="10">
        <f t="shared" si="0"/>
        <v>208</v>
      </c>
      <c r="H18" s="16">
        <f t="shared" si="1"/>
        <v>0.42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112</v>
      </c>
      <c r="F19" s="10"/>
      <c r="G19" s="10">
        <f t="shared" si="0"/>
        <v>112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518</v>
      </c>
      <c r="F20" s="10"/>
      <c r="G20" s="10">
        <f t="shared" si="0"/>
        <v>518</v>
      </c>
      <c r="H20" s="16">
        <f t="shared" si="1"/>
        <v>1.03</v>
      </c>
      <c r="I20" s="15">
        <f t="shared" si="2"/>
        <v>2E-3</v>
      </c>
      <c r="J20" s="15">
        <f>ROUND(G20/354.44-1,2)</f>
        <v>0.46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205</v>
      </c>
      <c r="F21" s="10"/>
      <c r="G21" s="10">
        <f t="shared" si="0"/>
        <v>205</v>
      </c>
      <c r="H21" s="16">
        <f t="shared" si="1"/>
        <v>0.41</v>
      </c>
      <c r="I21" s="15">
        <f t="shared" si="2"/>
        <v>1E-3</v>
      </c>
      <c r="J21" s="15">
        <f>ROUND(G21/156.01-1,2)</f>
        <v>0.31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243</v>
      </c>
      <c r="F22" s="10"/>
      <c r="G22" s="10">
        <f t="shared" si="0"/>
        <v>243</v>
      </c>
      <c r="H22" s="16">
        <f t="shared" si="1"/>
        <v>0.49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62</v>
      </c>
      <c r="F23" s="10"/>
      <c r="G23" s="10">
        <f t="shared" si="0"/>
        <v>62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73</v>
      </c>
      <c r="F24" s="10"/>
      <c r="G24" s="10">
        <f t="shared" si="0"/>
        <v>73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794</v>
      </c>
      <c r="F25" s="10"/>
      <c r="G25" s="10">
        <f t="shared" si="0"/>
        <v>794</v>
      </c>
      <c r="H25" s="16">
        <f t="shared" si="1"/>
        <v>1.58</v>
      </c>
      <c r="I25" s="15">
        <f t="shared" si="2"/>
        <v>4.0000000000000001E-3</v>
      </c>
      <c r="J25" s="15">
        <f>ROUND(G25/233.19-1,2)</f>
        <v>2.4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663</v>
      </c>
      <c r="F26" s="10"/>
      <c r="G26" s="10">
        <f t="shared" si="0"/>
        <v>663</v>
      </c>
      <c r="H26" s="16">
        <f t="shared" si="1"/>
        <v>1.32</v>
      </c>
      <c r="I26" s="15">
        <f t="shared" si="2"/>
        <v>3.0000000000000001E-3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14756</v>
      </c>
      <c r="F27" s="10"/>
      <c r="G27" s="10">
        <f t="shared" si="0"/>
        <v>14756</v>
      </c>
      <c r="H27" s="16">
        <f t="shared" si="1"/>
        <v>29.45</v>
      </c>
      <c r="I27" s="15">
        <f t="shared" si="2"/>
        <v>6.8000000000000005E-2</v>
      </c>
      <c r="J27" s="15">
        <f>ROUND(G27/2184.09-1,2)</f>
        <v>5.76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5249</v>
      </c>
      <c r="F28" s="10"/>
      <c r="G28" s="10">
        <f t="shared" si="0"/>
        <v>5249</v>
      </c>
      <c r="H28" s="16">
        <f t="shared" si="1"/>
        <v>10.48</v>
      </c>
      <c r="I28" s="15">
        <f t="shared" si="2"/>
        <v>2.4E-2</v>
      </c>
      <c r="J28" s="15">
        <f>ROUND(G28/1081.93-1,2)</f>
        <v>3.85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2412</v>
      </c>
      <c r="F29" s="10"/>
      <c r="G29" s="10">
        <f t="shared" si="0"/>
        <v>2412</v>
      </c>
      <c r="H29" s="16">
        <f t="shared" si="1"/>
        <v>4.8099999999999996</v>
      </c>
      <c r="I29" s="15">
        <f t="shared" si="2"/>
        <v>1.0999999999999999E-2</v>
      </c>
      <c r="J29" s="15">
        <f>ROUND(G29/95.73-1,2)</f>
        <v>24.2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ROUND(G30/393.54-1,2)</f>
        <v>-1</v>
      </c>
    </row>
    <row r="31" spans="1:10" x14ac:dyDescent="0.25">
      <c r="A31" s="1" t="s">
        <v>16</v>
      </c>
      <c r="B31" s="1" t="s">
        <v>172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173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ROUND(G32/217-1,2)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174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31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39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47500</v>
      </c>
      <c r="D39" s="10"/>
      <c r="E39" s="10"/>
      <c r="F39" s="10">
        <v>600</v>
      </c>
      <c r="G39" s="10">
        <f t="shared" si="0"/>
        <v>48100</v>
      </c>
      <c r="H39" s="16">
        <f t="shared" si="1"/>
        <v>96.01</v>
      </c>
      <c r="I39" s="15">
        <f t="shared" si="2"/>
        <v>0.223</v>
      </c>
      <c r="J39" s="15">
        <f>ROUND(G39/67280-1,2)</f>
        <v>-0.28999999999999998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7900</v>
      </c>
      <c r="F40" s="10"/>
      <c r="G40" s="10">
        <f t="shared" si="0"/>
        <v>7900</v>
      </c>
      <c r="H40" s="16">
        <f t="shared" si="1"/>
        <v>15.77</v>
      </c>
      <c r="I40" s="15">
        <f t="shared" si="2"/>
        <v>3.6999999999999998E-2</v>
      </c>
      <c r="J40" s="15">
        <f>ROUND(G40/1604.15-1,2)</f>
        <v>3.92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3" t="s">
        <v>12</v>
      </c>
      <c r="B43" s="23"/>
      <c r="C43" s="11">
        <f t="shared" ref="C43:H43" si="3">SUM(C8:C42)</f>
        <v>151930</v>
      </c>
      <c r="D43" s="11">
        <f t="shared" si="3"/>
        <v>0</v>
      </c>
      <c r="E43" s="11">
        <f t="shared" si="3"/>
        <v>61490</v>
      </c>
      <c r="F43" s="11">
        <f t="shared" si="3"/>
        <v>2220</v>
      </c>
      <c r="G43" s="11">
        <f t="shared" si="3"/>
        <v>215640</v>
      </c>
      <c r="H43" s="14">
        <f t="shared" si="3"/>
        <v>430.41</v>
      </c>
      <c r="I43" s="17"/>
      <c r="J43" s="17"/>
    </row>
    <row r="44" spans="1:10" x14ac:dyDescent="0.25">
      <c r="A44" s="23" t="s">
        <v>14</v>
      </c>
      <c r="B44" s="23"/>
      <c r="C44" s="12">
        <f>ROUND(C43/G43,2)</f>
        <v>0.7</v>
      </c>
      <c r="D44" s="12">
        <f>ROUND(D43/G43,2)</f>
        <v>0</v>
      </c>
      <c r="E44" s="12">
        <f>ROUND(E43/G43,2)</f>
        <v>0.28999999999999998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53</v>
      </c>
      <c r="B49" s="23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104430</v>
      </c>
      <c r="D50" s="10">
        <v>0</v>
      </c>
      <c r="E50" s="10">
        <v>53590</v>
      </c>
      <c r="F50" s="10">
        <v>1620</v>
      </c>
      <c r="G50" s="10">
        <f>SUM(C50:F50)</f>
        <v>159640</v>
      </c>
      <c r="H50" s="16">
        <f>ROUND(G50/501,2)</f>
        <v>318.64</v>
      </c>
      <c r="I50" s="9"/>
      <c r="J50" s="9"/>
    </row>
    <row r="51" spans="1:10" x14ac:dyDescent="0.25">
      <c r="A51" s="22" t="s">
        <v>55</v>
      </c>
      <c r="B51" s="22"/>
      <c r="C51" s="10">
        <v>47500</v>
      </c>
      <c r="D51" s="10">
        <v>0</v>
      </c>
      <c r="E51" s="10">
        <v>7900</v>
      </c>
      <c r="F51" s="10">
        <v>600</v>
      </c>
      <c r="G51" s="10">
        <f>SUM(C51:F51)</f>
        <v>56000</v>
      </c>
      <c r="H51" s="16">
        <f>ROUND(G51/501,2)</f>
        <v>111.78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ROUND(G52/501,2)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57</v>
      </c>
      <c r="B57" s="23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ROUND(0.7488, 4)</f>
        <v>0.74880000000000002</v>
      </c>
      <c r="D58" s="15">
        <f>ROUND(0.6214, 4)</f>
        <v>0.62139999999999995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4" t="s">
        <v>64</v>
      </c>
      <c r="J58" s="24" t="s">
        <v>65</v>
      </c>
    </row>
    <row r="59" spans="1:10" x14ac:dyDescent="0.25">
      <c r="A59" s="22" t="s">
        <v>66</v>
      </c>
      <c r="B59" s="22"/>
      <c r="C59" s="15">
        <f>ROUND(0.7069, 4)</f>
        <v>0.70689999999999997</v>
      </c>
      <c r="D59" s="15">
        <f>ROUND(0.5774, 4)</f>
        <v>0.57740000000000002</v>
      </c>
      <c r="E59" s="15">
        <f>ROUND(0.7608, 4)</f>
        <v>0.76080000000000003</v>
      </c>
      <c r="F59" s="8"/>
      <c r="G59" s="14" t="s">
        <v>67</v>
      </c>
      <c r="H59" s="27"/>
      <c r="I59" s="25"/>
      <c r="J59" s="25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68</v>
      </c>
      <c r="B63" s="23"/>
      <c r="C63" s="14" t="s">
        <v>2</v>
      </c>
      <c r="D63" s="14" t="s">
        <v>175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96.01</v>
      </c>
      <c r="D64" s="16">
        <v>131.22</v>
      </c>
      <c r="E64" s="16">
        <v>89.58</v>
      </c>
      <c r="F64" s="16">
        <v>53.73</v>
      </c>
      <c r="G64" s="16">
        <f>12/9*C64</f>
        <v>128.01333333333332</v>
      </c>
      <c r="H64" s="8"/>
      <c r="I64" s="9"/>
      <c r="J64" s="9"/>
    </row>
    <row r="65" spans="1:10" x14ac:dyDescent="0.25">
      <c r="A65" s="22" t="s">
        <v>74</v>
      </c>
      <c r="B65" s="22"/>
      <c r="C65" s="16">
        <v>58.04</v>
      </c>
      <c r="D65" s="16">
        <v>67.489999999999995</v>
      </c>
      <c r="E65" s="16">
        <v>60.32</v>
      </c>
      <c r="F65" s="16">
        <v>61.62</v>
      </c>
      <c r="G65" s="16">
        <f>12/9*C65</f>
        <v>77.386666666666656</v>
      </c>
      <c r="H65" s="8"/>
      <c r="I65" s="9"/>
      <c r="J65" s="9"/>
    </row>
    <row r="66" spans="1:10" x14ac:dyDescent="0.25">
      <c r="A66" s="22" t="s">
        <v>75</v>
      </c>
      <c r="B66" s="22"/>
      <c r="C66" s="16">
        <v>318.64</v>
      </c>
      <c r="D66" s="16">
        <v>283.87</v>
      </c>
      <c r="E66" s="16">
        <v>282.8</v>
      </c>
      <c r="F66" s="16">
        <v>273.33</v>
      </c>
      <c r="G66" s="16">
        <f>12/9*C66</f>
        <v>424.8533333333333</v>
      </c>
      <c r="H66" s="8"/>
      <c r="I66" s="9"/>
      <c r="J66" s="9"/>
    </row>
    <row r="67" spans="1:10" x14ac:dyDescent="0.25">
      <c r="A67" s="22" t="s">
        <v>76</v>
      </c>
      <c r="B67" s="22"/>
      <c r="C67" s="16">
        <v>111.78</v>
      </c>
      <c r="D67" s="16">
        <v>138.19</v>
      </c>
      <c r="E67" s="16">
        <v>112.72</v>
      </c>
      <c r="F67" s="16">
        <v>76.52</v>
      </c>
      <c r="G67" s="16">
        <f>12/9*C67</f>
        <v>149.04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8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176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7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1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914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34</v>
      </c>
      <c r="F9" s="10"/>
      <c r="G9" s="10">
        <f t="shared" ref="G9:G38" si="0">SUM(C9:F9)</f>
        <v>34</v>
      </c>
      <c r="H9" s="16">
        <f t="shared" ref="H9:H38" si="1">ROUND(G9/914,2)</f>
        <v>0.04</v>
      </c>
      <c r="I9" s="15">
        <f t="shared" ref="I9:I38" si="2">ROUND(G9/$G$39,3)</f>
        <v>0</v>
      </c>
      <c r="J9" s="15">
        <f>ROUND(G9/30-1,2)</f>
        <v>0.13</v>
      </c>
    </row>
    <row r="10" spans="1:10" x14ac:dyDescent="0.25">
      <c r="A10" s="1" t="s">
        <v>16</v>
      </c>
      <c r="B10" s="1" t="s">
        <v>19</v>
      </c>
      <c r="C10" s="10">
        <v>41390</v>
      </c>
      <c r="D10" s="10"/>
      <c r="E10" s="10">
        <v>3735</v>
      </c>
      <c r="F10" s="10"/>
      <c r="G10" s="10">
        <f t="shared" si="0"/>
        <v>45125</v>
      </c>
      <c r="H10" s="16">
        <f t="shared" si="1"/>
        <v>49.37</v>
      </c>
      <c r="I10" s="15">
        <f t="shared" si="2"/>
        <v>9.4E-2</v>
      </c>
      <c r="J10" s="15">
        <f>ROUND(G10/42591.55-1,2)</f>
        <v>0.06</v>
      </c>
    </row>
    <row r="11" spans="1:10" x14ac:dyDescent="0.25">
      <c r="A11" s="1" t="s">
        <v>16</v>
      </c>
      <c r="B11" s="1" t="s">
        <v>20</v>
      </c>
      <c r="C11" s="10">
        <v>58230</v>
      </c>
      <c r="D11" s="10"/>
      <c r="E11" s="10"/>
      <c r="F11" s="10"/>
      <c r="G11" s="10">
        <f t="shared" si="0"/>
        <v>58230</v>
      </c>
      <c r="H11" s="16">
        <f t="shared" si="1"/>
        <v>63.71</v>
      </c>
      <c r="I11" s="15">
        <f t="shared" si="2"/>
        <v>0.121</v>
      </c>
      <c r="J11" s="15">
        <f>ROUND(G11/66511.32-1,2)</f>
        <v>-0.12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1013</v>
      </c>
      <c r="F12" s="10"/>
      <c r="G12" s="10">
        <f t="shared" si="0"/>
        <v>1013</v>
      </c>
      <c r="H12" s="16">
        <f t="shared" si="1"/>
        <v>1.1100000000000001</v>
      </c>
      <c r="I12" s="15">
        <f t="shared" si="2"/>
        <v>2E-3</v>
      </c>
      <c r="J12" s="15">
        <f>ROUND(G12/2120-1,2)</f>
        <v>-0.52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52911</v>
      </c>
      <c r="F13" s="10"/>
      <c r="G13" s="10">
        <f t="shared" si="0"/>
        <v>52911</v>
      </c>
      <c r="H13" s="16">
        <f t="shared" si="1"/>
        <v>57.89</v>
      </c>
      <c r="I13" s="15">
        <f t="shared" si="2"/>
        <v>0.11</v>
      </c>
      <c r="J13" s="15">
        <f>ROUND(G13/93690.73-1,2)</f>
        <v>-0.44</v>
      </c>
    </row>
    <row r="14" spans="1:10" x14ac:dyDescent="0.25">
      <c r="A14" s="1" t="s">
        <v>16</v>
      </c>
      <c r="B14" s="1" t="s">
        <v>24</v>
      </c>
      <c r="C14" s="10">
        <v>46560</v>
      </c>
      <c r="D14" s="10"/>
      <c r="E14" s="10">
        <v>11699</v>
      </c>
      <c r="F14" s="10"/>
      <c r="G14" s="10">
        <f t="shared" si="0"/>
        <v>58259</v>
      </c>
      <c r="H14" s="16">
        <f t="shared" si="1"/>
        <v>63.74</v>
      </c>
      <c r="I14" s="15">
        <f t="shared" si="2"/>
        <v>0.121</v>
      </c>
      <c r="J14" s="15">
        <f>ROUND(G14/55812.43-1,2)</f>
        <v>0.04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2652</v>
      </c>
      <c r="F15" s="10"/>
      <c r="G15" s="10">
        <f t="shared" si="0"/>
        <v>2652</v>
      </c>
      <c r="H15" s="16">
        <f t="shared" si="1"/>
        <v>2.9</v>
      </c>
      <c r="I15" s="15">
        <f t="shared" si="2"/>
        <v>6.0000000000000001E-3</v>
      </c>
      <c r="J15" s="15">
        <f>ROUND(G15/2730-1,2)</f>
        <v>-0.03</v>
      </c>
    </row>
    <row r="16" spans="1:10" x14ac:dyDescent="0.25">
      <c r="A16" s="1" t="s">
        <v>16</v>
      </c>
      <c r="B16" s="1" t="s">
        <v>26</v>
      </c>
      <c r="C16" s="10">
        <v>60050</v>
      </c>
      <c r="D16" s="10"/>
      <c r="E16" s="10"/>
      <c r="F16" s="10"/>
      <c r="G16" s="10">
        <f t="shared" si="0"/>
        <v>60050</v>
      </c>
      <c r="H16" s="16">
        <f t="shared" si="1"/>
        <v>65.7</v>
      </c>
      <c r="I16" s="15">
        <f t="shared" si="2"/>
        <v>0.125</v>
      </c>
      <c r="J16" s="15">
        <f>ROUND(G16/51800-1,2)</f>
        <v>0.16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640</v>
      </c>
      <c r="F17" s="10"/>
      <c r="G17" s="10">
        <f t="shared" si="0"/>
        <v>640</v>
      </c>
      <c r="H17" s="16">
        <f t="shared" si="1"/>
        <v>0.7</v>
      </c>
      <c r="I17" s="15">
        <f t="shared" si="2"/>
        <v>1E-3</v>
      </c>
      <c r="J17" s="15">
        <f>ROUND(G17/547-1,2)</f>
        <v>0.17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213</v>
      </c>
      <c r="F18" s="10"/>
      <c r="G18" s="10">
        <f t="shared" si="0"/>
        <v>213</v>
      </c>
      <c r="H18" s="16">
        <f t="shared" si="1"/>
        <v>0.23</v>
      </c>
      <c r="I18" s="15">
        <f t="shared" si="2"/>
        <v>0</v>
      </c>
      <c r="J18" s="15">
        <f>ROUND(G18/432-1,2)</f>
        <v>-0.51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85</v>
      </c>
      <c r="F19" s="10"/>
      <c r="G19" s="10">
        <f t="shared" si="0"/>
        <v>85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1304</v>
      </c>
      <c r="F20" s="10"/>
      <c r="G20" s="10">
        <f t="shared" si="0"/>
        <v>1304</v>
      </c>
      <c r="H20" s="16">
        <f t="shared" si="1"/>
        <v>1.43</v>
      </c>
      <c r="I20" s="15">
        <f t="shared" si="2"/>
        <v>3.0000000000000001E-3</v>
      </c>
      <c r="J20" s="15">
        <f>ROUND(G20/2900-1,2)</f>
        <v>-0.55000000000000004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361</v>
      </c>
      <c r="F21" s="10"/>
      <c r="G21" s="10">
        <f t="shared" si="0"/>
        <v>361</v>
      </c>
      <c r="H21" s="16">
        <f t="shared" si="1"/>
        <v>0.39</v>
      </c>
      <c r="I21" s="15">
        <f t="shared" si="2"/>
        <v>1E-3</v>
      </c>
      <c r="J21" s="15">
        <f>ROUND(G21/380-1,2)</f>
        <v>-0.05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494</v>
      </c>
      <c r="F22" s="10"/>
      <c r="G22" s="10">
        <f t="shared" si="0"/>
        <v>494</v>
      </c>
      <c r="H22" s="16">
        <f t="shared" si="1"/>
        <v>0.54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78</v>
      </c>
      <c r="F23" s="10"/>
      <c r="G23" s="10">
        <f t="shared" si="0"/>
        <v>78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3158</v>
      </c>
      <c r="F24" s="10"/>
      <c r="G24" s="10">
        <f t="shared" si="0"/>
        <v>3158</v>
      </c>
      <c r="H24" s="16">
        <f t="shared" si="1"/>
        <v>3.46</v>
      </c>
      <c r="I24" s="15">
        <f t="shared" si="2"/>
        <v>7.0000000000000001E-3</v>
      </c>
      <c r="J24" s="15">
        <f>ROUND(G24/1890-1,2)</f>
        <v>0.67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22806</v>
      </c>
      <c r="F25" s="10"/>
      <c r="G25" s="10">
        <f t="shared" si="0"/>
        <v>22806</v>
      </c>
      <c r="H25" s="16">
        <f t="shared" si="1"/>
        <v>24.95</v>
      </c>
      <c r="I25" s="15">
        <f t="shared" si="2"/>
        <v>4.7E-2</v>
      </c>
      <c r="J25" s="15">
        <f>ROUND(G25/42115.84-1,2)</f>
        <v>-0.46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9419</v>
      </c>
      <c r="F26" s="10"/>
      <c r="G26" s="10">
        <f t="shared" si="0"/>
        <v>9419</v>
      </c>
      <c r="H26" s="16">
        <f t="shared" si="1"/>
        <v>10.31</v>
      </c>
      <c r="I26" s="15">
        <f t="shared" si="2"/>
        <v>0.02</v>
      </c>
      <c r="J26" s="15">
        <f>ROUND(G26/14439.54-1,2)</f>
        <v>-0.35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6598</v>
      </c>
      <c r="F27" s="10"/>
      <c r="G27" s="10">
        <f t="shared" si="0"/>
        <v>6598</v>
      </c>
      <c r="H27" s="16">
        <f t="shared" si="1"/>
        <v>7.22</v>
      </c>
      <c r="I27" s="15">
        <f t="shared" si="2"/>
        <v>1.4E-2</v>
      </c>
      <c r="J27" s="15">
        <f>ROUND(G27/8128.91-1,2)</f>
        <v>-0.19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ROUND(G28/921-1,2)</f>
        <v>-1</v>
      </c>
    </row>
    <row r="29" spans="1:10" x14ac:dyDescent="0.25">
      <c r="A29" s="1" t="s">
        <v>16</v>
      </c>
      <c r="B29" s="1" t="s">
        <v>43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ROUND(G29/8830-1,2)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ROUND(G30/1458.89-1,2)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21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130040</v>
      </c>
      <c r="D35" s="10"/>
      <c r="E35" s="10"/>
      <c r="F35" s="10"/>
      <c r="G35" s="10">
        <f t="shared" si="0"/>
        <v>130040</v>
      </c>
      <c r="H35" s="16">
        <f t="shared" si="1"/>
        <v>142.28</v>
      </c>
      <c r="I35" s="15">
        <f t="shared" si="2"/>
        <v>0.27100000000000002</v>
      </c>
      <c r="J35" s="15">
        <f>ROUND(G35/148320-1,2)</f>
        <v>-0.12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26686</v>
      </c>
      <c r="F36" s="10"/>
      <c r="G36" s="10">
        <f t="shared" si="0"/>
        <v>26686</v>
      </c>
      <c r="H36" s="16">
        <f t="shared" si="1"/>
        <v>29.2</v>
      </c>
      <c r="I36" s="15">
        <f t="shared" si="2"/>
        <v>5.6000000000000001E-2</v>
      </c>
      <c r="J36" s="15">
        <f>ROUND(G36/35072.48-1,2)</f>
        <v>-0.24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336270</v>
      </c>
      <c r="D39" s="11">
        <f t="shared" si="3"/>
        <v>0</v>
      </c>
      <c r="E39" s="11">
        <f t="shared" si="3"/>
        <v>143886</v>
      </c>
      <c r="F39" s="11">
        <f t="shared" si="3"/>
        <v>0</v>
      </c>
      <c r="G39" s="11">
        <f t="shared" si="3"/>
        <v>480156</v>
      </c>
      <c r="H39" s="14">
        <f t="shared" si="3"/>
        <v>525.35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0.7</v>
      </c>
      <c r="D40" s="12">
        <f>ROUND(D39/G39,2)</f>
        <v>0</v>
      </c>
      <c r="E40" s="12">
        <f>ROUND(E39/G39,2)</f>
        <v>0.3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206230</v>
      </c>
      <c r="D46" s="10">
        <v>0</v>
      </c>
      <c r="E46" s="10">
        <v>117200</v>
      </c>
      <c r="F46" s="10">
        <v>0</v>
      </c>
      <c r="G46" s="10">
        <f>SUM(C46:F46)</f>
        <v>323430</v>
      </c>
      <c r="H46" s="16">
        <f>ROUND(G46/914,2)</f>
        <v>353.86</v>
      </c>
      <c r="I46" s="9"/>
      <c r="J46" s="9"/>
    </row>
    <row r="47" spans="1:10" x14ac:dyDescent="0.25">
      <c r="A47" s="22" t="s">
        <v>55</v>
      </c>
      <c r="B47" s="22"/>
      <c r="C47" s="10">
        <v>130040</v>
      </c>
      <c r="D47" s="10">
        <v>0</v>
      </c>
      <c r="E47" s="10">
        <v>26686</v>
      </c>
      <c r="F47" s="10">
        <v>0</v>
      </c>
      <c r="G47" s="10">
        <f>SUM(C47:F47)</f>
        <v>156726</v>
      </c>
      <c r="H47" s="16">
        <f>ROUND(G47/914,2)</f>
        <v>171.47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ROUND(G48/914,2)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ROUND(0.6887, 4)</f>
        <v>0.68869999999999998</v>
      </c>
      <c r="D54" s="15">
        <f>ROUND(0.6978, 4)</f>
        <v>0.69779999999999998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ROUND(0.6493, 4)</f>
        <v>0.64929999999999999</v>
      </c>
      <c r="D55" s="15">
        <f>ROUND(0.6651, 4)</f>
        <v>0.66510000000000002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178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142.28</v>
      </c>
      <c r="D60" s="16">
        <v>156.97999999999999</v>
      </c>
      <c r="E60" s="16">
        <v>89.58</v>
      </c>
      <c r="F60" s="16">
        <v>53.73</v>
      </c>
      <c r="G60" s="16">
        <f>12/9*C60</f>
        <v>189.70666666666665</v>
      </c>
      <c r="H60" s="8"/>
      <c r="I60" s="9"/>
      <c r="J60" s="9"/>
    </row>
    <row r="61" spans="1:10" x14ac:dyDescent="0.25">
      <c r="A61" s="22" t="s">
        <v>74</v>
      </c>
      <c r="B61" s="22"/>
      <c r="C61" s="16">
        <v>65.7</v>
      </c>
      <c r="D61" s="16">
        <v>79.38</v>
      </c>
      <c r="E61" s="16">
        <v>60.32</v>
      </c>
      <c r="F61" s="16">
        <v>61.62</v>
      </c>
      <c r="G61" s="16">
        <f>12/9*C61</f>
        <v>87.6</v>
      </c>
      <c r="H61" s="8"/>
      <c r="I61" s="9"/>
      <c r="J61" s="9"/>
    </row>
    <row r="62" spans="1:10" x14ac:dyDescent="0.25">
      <c r="A62" s="22" t="s">
        <v>75</v>
      </c>
      <c r="B62" s="22"/>
      <c r="C62" s="16">
        <v>353.86</v>
      </c>
      <c r="D62" s="16">
        <v>493.3</v>
      </c>
      <c r="E62" s="16">
        <v>282.8</v>
      </c>
      <c r="F62" s="16">
        <v>273.33</v>
      </c>
      <c r="G62" s="16">
        <f>12/9*C62</f>
        <v>471.81333333333333</v>
      </c>
      <c r="H62" s="8"/>
      <c r="I62" s="9"/>
      <c r="J62" s="9"/>
    </row>
    <row r="63" spans="1:10" x14ac:dyDescent="0.25">
      <c r="A63" s="22" t="s">
        <v>76</v>
      </c>
      <c r="B63" s="22"/>
      <c r="C63" s="16">
        <v>171.47</v>
      </c>
      <c r="D63" s="16">
        <v>217.86</v>
      </c>
      <c r="E63" s="16">
        <v>112.72</v>
      </c>
      <c r="F63" s="16">
        <v>76.52</v>
      </c>
      <c r="G63" s="16">
        <f>12/9*C63</f>
        <v>228.62666666666667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8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8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530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6" si="0">SUM(C9:F9)</f>
        <v>19</v>
      </c>
      <c r="H9" s="16">
        <f t="shared" ref="H9:H36" si="1">ROUND(G9/530,2)</f>
        <v>0.04</v>
      </c>
      <c r="I9" s="15">
        <f t="shared" ref="I9:I36" si="2">ROUND(G9/$G$37,3)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15150</v>
      </c>
      <c r="D10" s="10"/>
      <c r="E10" s="10">
        <v>2165</v>
      </c>
      <c r="F10" s="10"/>
      <c r="G10" s="10">
        <f t="shared" si="0"/>
        <v>17315</v>
      </c>
      <c r="H10" s="16">
        <f t="shared" si="1"/>
        <v>32.67</v>
      </c>
      <c r="I10" s="15">
        <f t="shared" si="2"/>
        <v>7.6999999999999999E-2</v>
      </c>
      <c r="J10" s="15">
        <f>ROUND(G10/17748.45-1,2)</f>
        <v>-0.02</v>
      </c>
    </row>
    <row r="11" spans="1:10" x14ac:dyDescent="0.25">
      <c r="A11" s="1" t="s">
        <v>16</v>
      </c>
      <c r="B11" s="1" t="s">
        <v>20</v>
      </c>
      <c r="C11" s="10">
        <v>17550</v>
      </c>
      <c r="D11" s="10"/>
      <c r="E11" s="10"/>
      <c r="F11" s="10"/>
      <c r="G11" s="10">
        <f t="shared" si="0"/>
        <v>17550</v>
      </c>
      <c r="H11" s="16">
        <f t="shared" si="1"/>
        <v>33.11</v>
      </c>
      <c r="I11" s="15">
        <f t="shared" si="2"/>
        <v>7.8E-2</v>
      </c>
      <c r="J11" s="15">
        <f>ROUND(G11/18123.68-1,2)</f>
        <v>-0.03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587</v>
      </c>
      <c r="F12" s="10"/>
      <c r="G12" s="10">
        <f t="shared" si="0"/>
        <v>587</v>
      </c>
      <c r="H12" s="16">
        <f t="shared" si="1"/>
        <v>1.1100000000000001</v>
      </c>
      <c r="I12" s="15">
        <f t="shared" si="2"/>
        <v>3.0000000000000001E-3</v>
      </c>
      <c r="J12" s="15"/>
    </row>
    <row r="13" spans="1:10" x14ac:dyDescent="0.25">
      <c r="A13" s="1" t="s">
        <v>16</v>
      </c>
      <c r="B13" s="1" t="s">
        <v>23</v>
      </c>
      <c r="C13" s="10"/>
      <c r="D13" s="10"/>
      <c r="E13" s="10">
        <v>30679</v>
      </c>
      <c r="F13" s="10"/>
      <c r="G13" s="10">
        <f t="shared" si="0"/>
        <v>30679</v>
      </c>
      <c r="H13" s="16">
        <f t="shared" si="1"/>
        <v>57.88</v>
      </c>
      <c r="I13" s="15">
        <f t="shared" si="2"/>
        <v>0.13600000000000001</v>
      </c>
      <c r="J13" s="15">
        <f>ROUND(G13/6869.27-1,2)</f>
        <v>3.47</v>
      </c>
    </row>
    <row r="14" spans="1:10" x14ac:dyDescent="0.25">
      <c r="A14" s="1" t="s">
        <v>16</v>
      </c>
      <c r="B14" s="1" t="s">
        <v>24</v>
      </c>
      <c r="C14" s="10">
        <v>21990</v>
      </c>
      <c r="D14" s="10"/>
      <c r="E14" s="10">
        <v>6781</v>
      </c>
      <c r="F14" s="10"/>
      <c r="G14" s="10">
        <f t="shared" si="0"/>
        <v>28771</v>
      </c>
      <c r="H14" s="16">
        <f t="shared" si="1"/>
        <v>54.28</v>
      </c>
      <c r="I14" s="15">
        <f t="shared" si="2"/>
        <v>0.128</v>
      </c>
      <c r="J14" s="15">
        <f>ROUND(G14/22157.57-1,2)</f>
        <v>0.3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1538</v>
      </c>
      <c r="F15" s="10"/>
      <c r="G15" s="10">
        <f t="shared" si="0"/>
        <v>1538</v>
      </c>
      <c r="H15" s="16">
        <f t="shared" si="1"/>
        <v>2.9</v>
      </c>
      <c r="I15" s="15">
        <f t="shared" si="2"/>
        <v>7.0000000000000001E-3</v>
      </c>
      <c r="J15" s="15"/>
    </row>
    <row r="16" spans="1:10" x14ac:dyDescent="0.25">
      <c r="A16" s="1" t="s">
        <v>16</v>
      </c>
      <c r="B16" s="1" t="s">
        <v>26</v>
      </c>
      <c r="C16" s="10">
        <v>21430</v>
      </c>
      <c r="D16" s="10"/>
      <c r="E16" s="10"/>
      <c r="F16" s="10"/>
      <c r="G16" s="10">
        <f t="shared" si="0"/>
        <v>21430</v>
      </c>
      <c r="H16" s="16">
        <f t="shared" si="1"/>
        <v>40.43</v>
      </c>
      <c r="I16" s="15">
        <f t="shared" si="2"/>
        <v>9.5000000000000001E-2</v>
      </c>
      <c r="J16" s="15">
        <f>ROUND(G16/19130-1,2)</f>
        <v>0.12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370</v>
      </c>
      <c r="F17" s="10"/>
      <c r="G17" s="10">
        <f t="shared" si="0"/>
        <v>370</v>
      </c>
      <c r="H17" s="16">
        <f t="shared" si="1"/>
        <v>0.7</v>
      </c>
      <c r="I17" s="15">
        <f t="shared" si="2"/>
        <v>2E-3</v>
      </c>
      <c r="J17" s="15"/>
    </row>
    <row r="18" spans="1:10" x14ac:dyDescent="0.25">
      <c r="A18" s="1" t="s">
        <v>16</v>
      </c>
      <c r="B18" s="1" t="s">
        <v>28</v>
      </c>
      <c r="C18" s="10"/>
      <c r="D18" s="10"/>
      <c r="E18" s="10">
        <v>123</v>
      </c>
      <c r="F18" s="10"/>
      <c r="G18" s="10">
        <f t="shared" si="0"/>
        <v>123</v>
      </c>
      <c r="H18" s="16">
        <f t="shared" si="1"/>
        <v>0.23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42</v>
      </c>
      <c r="C19" s="10"/>
      <c r="D19" s="10"/>
      <c r="E19" s="10">
        <v>50</v>
      </c>
      <c r="F19" s="10"/>
      <c r="G19" s="10">
        <f t="shared" si="0"/>
        <v>50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755</v>
      </c>
      <c r="F20" s="10"/>
      <c r="G20" s="10">
        <f t="shared" si="0"/>
        <v>755</v>
      </c>
      <c r="H20" s="16">
        <f t="shared" si="1"/>
        <v>1.42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30</v>
      </c>
      <c r="C21" s="10"/>
      <c r="D21" s="10"/>
      <c r="E21" s="10">
        <v>209</v>
      </c>
      <c r="F21" s="10"/>
      <c r="G21" s="10">
        <f t="shared" si="0"/>
        <v>209</v>
      </c>
      <c r="H21" s="16">
        <f t="shared" si="1"/>
        <v>0.39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32</v>
      </c>
      <c r="C22" s="10"/>
      <c r="D22" s="10"/>
      <c r="E22" s="10">
        <v>286</v>
      </c>
      <c r="F22" s="10"/>
      <c r="G22" s="10">
        <f t="shared" si="0"/>
        <v>286</v>
      </c>
      <c r="H22" s="16">
        <f t="shared" si="1"/>
        <v>0.54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46</v>
      </c>
      <c r="F23" s="10"/>
      <c r="G23" s="10">
        <f t="shared" si="0"/>
        <v>46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1832</v>
      </c>
      <c r="F24" s="10"/>
      <c r="G24" s="10">
        <f t="shared" si="0"/>
        <v>1832</v>
      </c>
      <c r="H24" s="16">
        <f t="shared" si="1"/>
        <v>3.46</v>
      </c>
      <c r="I24" s="15">
        <f t="shared" si="2"/>
        <v>8.0000000000000002E-3</v>
      </c>
      <c r="J24" s="15"/>
    </row>
    <row r="25" spans="1:10" x14ac:dyDescent="0.25">
      <c r="A25" s="1" t="s">
        <v>16</v>
      </c>
      <c r="B25" s="1" t="s">
        <v>38</v>
      </c>
      <c r="C25" s="10"/>
      <c r="D25" s="10"/>
      <c r="E25" s="10">
        <v>13224</v>
      </c>
      <c r="F25" s="10"/>
      <c r="G25" s="10">
        <f t="shared" si="0"/>
        <v>13224</v>
      </c>
      <c r="H25" s="16">
        <f t="shared" si="1"/>
        <v>24.95</v>
      </c>
      <c r="I25" s="15">
        <f t="shared" si="2"/>
        <v>5.8999999999999997E-2</v>
      </c>
      <c r="J25" s="15">
        <f>ROUND(G25/4149.16-1,2)</f>
        <v>2.19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5461</v>
      </c>
      <c r="F26" s="10"/>
      <c r="G26" s="10">
        <f t="shared" si="0"/>
        <v>5461</v>
      </c>
      <c r="H26" s="16">
        <f t="shared" si="1"/>
        <v>10.3</v>
      </c>
      <c r="I26" s="15">
        <f t="shared" si="2"/>
        <v>2.4E-2</v>
      </c>
      <c r="J26" s="15">
        <f>ROUND(G26/1500.46-1,2)</f>
        <v>2.64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7756</v>
      </c>
      <c r="F27" s="10"/>
      <c r="G27" s="10">
        <f t="shared" si="0"/>
        <v>7756</v>
      </c>
      <c r="H27" s="16">
        <f t="shared" si="1"/>
        <v>14.63</v>
      </c>
      <c r="I27" s="15">
        <f t="shared" si="2"/>
        <v>3.4000000000000002E-2</v>
      </c>
      <c r="J27" s="15">
        <f>ROUND(G27/1896.09-1,2)</f>
        <v>3.09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ROUND(G28/621.11-1,2)</f>
        <v>-1</v>
      </c>
    </row>
    <row r="29" spans="1:10" x14ac:dyDescent="0.25">
      <c r="A29" s="1" t="s">
        <v>16</v>
      </c>
      <c r="B29" s="1" t="s">
        <v>21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54200</v>
      </c>
      <c r="D33" s="10"/>
      <c r="E33" s="10"/>
      <c r="F33" s="10"/>
      <c r="G33" s="10">
        <f t="shared" si="0"/>
        <v>54200</v>
      </c>
      <c r="H33" s="16">
        <f t="shared" si="1"/>
        <v>102.26</v>
      </c>
      <c r="I33" s="15">
        <f t="shared" si="2"/>
        <v>0.24099999999999999</v>
      </c>
      <c r="J33" s="15">
        <f>ROUND(G33/56820-1,2)</f>
        <v>-0.05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7300</v>
      </c>
      <c r="G34" s="10">
        <f t="shared" si="0"/>
        <v>7300</v>
      </c>
      <c r="H34" s="16">
        <f t="shared" si="1"/>
        <v>13.77</v>
      </c>
      <c r="I34" s="15">
        <f t="shared" si="2"/>
        <v>3.2000000000000001E-2</v>
      </c>
      <c r="J34" s="15">
        <f>ROUND(G34/6765-1,2)</f>
        <v>0.08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15474</v>
      </c>
      <c r="F35" s="10"/>
      <c r="G35" s="10">
        <f t="shared" si="0"/>
        <v>15474</v>
      </c>
      <c r="H35" s="16">
        <f t="shared" si="1"/>
        <v>29.2</v>
      </c>
      <c r="I35" s="15">
        <f t="shared" si="2"/>
        <v>6.9000000000000006E-2</v>
      </c>
      <c r="J35" s="15">
        <f>ROUND(G35/4137.52-1,2)</f>
        <v>2.74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3" t="s">
        <v>12</v>
      </c>
      <c r="B37" s="23"/>
      <c r="C37" s="11">
        <f t="shared" ref="C37:H37" si="3">SUM(C8:C36)</f>
        <v>130320</v>
      </c>
      <c r="D37" s="11">
        <f t="shared" si="3"/>
        <v>0</v>
      </c>
      <c r="E37" s="11">
        <f t="shared" si="3"/>
        <v>87355</v>
      </c>
      <c r="F37" s="11">
        <f t="shared" si="3"/>
        <v>7300</v>
      </c>
      <c r="G37" s="11">
        <f t="shared" si="3"/>
        <v>224975</v>
      </c>
      <c r="H37" s="14">
        <f t="shared" si="3"/>
        <v>424.44999999999993</v>
      </c>
      <c r="I37" s="17"/>
      <c r="J37" s="17"/>
    </row>
    <row r="38" spans="1:10" x14ac:dyDescent="0.25">
      <c r="A38" s="23" t="s">
        <v>14</v>
      </c>
      <c r="B38" s="23"/>
      <c r="C38" s="12">
        <f>ROUND(C37/G37,2)</f>
        <v>0.57999999999999996</v>
      </c>
      <c r="D38" s="12">
        <f>ROUND(D37/G37,2)</f>
        <v>0</v>
      </c>
      <c r="E38" s="12">
        <f>ROUND(E37/G37,2)</f>
        <v>0.39</v>
      </c>
      <c r="F38" s="12">
        <f>ROUND(F37/G37,2)</f>
        <v>0.03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3" t="s">
        <v>53</v>
      </c>
      <c r="B43" s="23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76120</v>
      </c>
      <c r="D44" s="10">
        <v>0</v>
      </c>
      <c r="E44" s="10">
        <v>71881</v>
      </c>
      <c r="F44" s="10">
        <v>0</v>
      </c>
      <c r="G44" s="10">
        <f>SUM(C44:F44)</f>
        <v>148001</v>
      </c>
      <c r="H44" s="16">
        <f>ROUND(G44/530,2)</f>
        <v>279.25</v>
      </c>
      <c r="I44" s="9"/>
      <c r="J44" s="9"/>
    </row>
    <row r="45" spans="1:10" x14ac:dyDescent="0.25">
      <c r="A45" s="22" t="s">
        <v>55</v>
      </c>
      <c r="B45" s="22"/>
      <c r="C45" s="10">
        <v>54200</v>
      </c>
      <c r="D45" s="10">
        <v>0</v>
      </c>
      <c r="E45" s="10">
        <v>15474</v>
      </c>
      <c r="F45" s="10">
        <v>7300</v>
      </c>
      <c r="G45" s="10">
        <f>SUM(C45:F45)</f>
        <v>76974</v>
      </c>
      <c r="H45" s="16">
        <f>ROUND(G45/530,2)</f>
        <v>145.22999999999999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ROUND(G46/530,2)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57</v>
      </c>
      <c r="B51" s="23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ROUND(0.7069, 4)</f>
        <v>0.70689999999999997</v>
      </c>
      <c r="D52" s="15">
        <f>ROUND(0.595, 4)</f>
        <v>0.59499999999999997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4" t="s">
        <v>64</v>
      </c>
      <c r="J52" s="24" t="s">
        <v>65</v>
      </c>
    </row>
    <row r="53" spans="1:10" x14ac:dyDescent="0.25">
      <c r="A53" s="22" t="s">
        <v>66</v>
      </c>
      <c r="B53" s="22"/>
      <c r="C53" s="15">
        <f>ROUND(0.6737, 4)</f>
        <v>0.67369999999999997</v>
      </c>
      <c r="D53" s="15">
        <f>ROUND(0.5522, 4)</f>
        <v>0.55220000000000002</v>
      </c>
      <c r="E53" s="15">
        <f>ROUND(0.7608, 4)</f>
        <v>0.76080000000000003</v>
      </c>
      <c r="F53" s="8"/>
      <c r="G53" s="14" t="s">
        <v>67</v>
      </c>
      <c r="H53" s="27"/>
      <c r="I53" s="25"/>
      <c r="J53" s="25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68</v>
      </c>
      <c r="B57" s="23"/>
      <c r="C57" s="14" t="s">
        <v>2</v>
      </c>
      <c r="D57" s="14" t="s">
        <v>181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102.26</v>
      </c>
      <c r="D58" s="16">
        <v>110.18</v>
      </c>
      <c r="E58" s="16">
        <v>89.58</v>
      </c>
      <c r="F58" s="16">
        <v>53.73</v>
      </c>
      <c r="G58" s="16">
        <f>12/9*C58</f>
        <v>136.34666666666666</v>
      </c>
      <c r="H58" s="8"/>
      <c r="I58" s="9"/>
      <c r="J58" s="9"/>
    </row>
    <row r="59" spans="1:10" x14ac:dyDescent="0.25">
      <c r="A59" s="22" t="s">
        <v>74</v>
      </c>
      <c r="B59" s="22"/>
      <c r="C59" s="16">
        <v>40.43</v>
      </c>
      <c r="D59" s="16">
        <v>49.24</v>
      </c>
      <c r="E59" s="16">
        <v>60.32</v>
      </c>
      <c r="F59" s="16">
        <v>61.62</v>
      </c>
      <c r="G59" s="16">
        <f>12/9*C59</f>
        <v>53.906666666666666</v>
      </c>
      <c r="H59" s="8"/>
      <c r="I59" s="9"/>
      <c r="J59" s="9"/>
    </row>
    <row r="60" spans="1:10" x14ac:dyDescent="0.25">
      <c r="A60" s="22" t="s">
        <v>75</v>
      </c>
      <c r="B60" s="22"/>
      <c r="C60" s="16">
        <v>279.25</v>
      </c>
      <c r="D60" s="16">
        <v>249.96</v>
      </c>
      <c r="E60" s="16">
        <v>282.8</v>
      </c>
      <c r="F60" s="16">
        <v>273.33</v>
      </c>
      <c r="G60" s="16">
        <f>12/9*C60</f>
        <v>372.33333333333331</v>
      </c>
      <c r="H60" s="8"/>
      <c r="I60" s="9"/>
      <c r="J60" s="9"/>
    </row>
    <row r="61" spans="1:10" x14ac:dyDescent="0.25">
      <c r="A61" s="22" t="s">
        <v>76</v>
      </c>
      <c r="B61" s="22"/>
      <c r="C61" s="16">
        <v>145.22999999999999</v>
      </c>
      <c r="D61" s="16">
        <v>144.03</v>
      </c>
      <c r="E61" s="16">
        <v>112.72</v>
      </c>
      <c r="F61" s="16">
        <v>76.52</v>
      </c>
      <c r="G61" s="16">
        <f>12/9*C61</f>
        <v>193.64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8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182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29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2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10520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211</v>
      </c>
      <c r="F9" s="10"/>
      <c r="G9" s="10">
        <f t="shared" ref="G9:G47" si="0">SUM(C9:F9)</f>
        <v>211</v>
      </c>
      <c r="H9" s="16">
        <f t="shared" ref="H9:H47" si="1">ROUND(G9/10520,2)</f>
        <v>0.02</v>
      </c>
      <c r="I9" s="15">
        <f t="shared" ref="I9:I47" si="2">ROUND(G9/$G$48,3)</f>
        <v>0</v>
      </c>
      <c r="J9" s="15">
        <f>ROUND(G9/297-1,2)</f>
        <v>-0.28999999999999998</v>
      </c>
    </row>
    <row r="10" spans="1:10" x14ac:dyDescent="0.25">
      <c r="A10" s="1" t="s">
        <v>16</v>
      </c>
      <c r="B10" s="1" t="s">
        <v>18</v>
      </c>
      <c r="C10" s="10"/>
      <c r="D10" s="10"/>
      <c r="E10" s="10">
        <v>31220</v>
      </c>
      <c r="F10" s="10">
        <v>19800</v>
      </c>
      <c r="G10" s="10">
        <f t="shared" si="0"/>
        <v>51020</v>
      </c>
      <c r="H10" s="16">
        <f t="shared" si="1"/>
        <v>4.8499999999999996</v>
      </c>
      <c r="I10" s="15">
        <f t="shared" si="2"/>
        <v>1.4999999999999999E-2</v>
      </c>
      <c r="J10" s="15">
        <f>ROUND(G10/38960-1,2)</f>
        <v>0.31</v>
      </c>
    </row>
    <row r="11" spans="1:10" x14ac:dyDescent="0.25">
      <c r="A11" s="1" t="s">
        <v>16</v>
      </c>
      <c r="B11" s="1" t="s">
        <v>90</v>
      </c>
      <c r="C11" s="10"/>
      <c r="D11" s="10"/>
      <c r="E11" s="10">
        <v>10540</v>
      </c>
      <c r="F11" s="10">
        <v>500</v>
      </c>
      <c r="G11" s="10">
        <f t="shared" si="0"/>
        <v>11040</v>
      </c>
      <c r="H11" s="16">
        <f t="shared" si="1"/>
        <v>1.05</v>
      </c>
      <c r="I11" s="15">
        <f t="shared" si="2"/>
        <v>3.0000000000000001E-3</v>
      </c>
      <c r="J11" s="15">
        <f>ROUND(G11/9020-1,2)</f>
        <v>0.22</v>
      </c>
    </row>
    <row r="12" spans="1:10" x14ac:dyDescent="0.25">
      <c r="A12" s="1" t="s">
        <v>16</v>
      </c>
      <c r="B12" s="1" t="s">
        <v>19</v>
      </c>
      <c r="C12" s="10">
        <v>276650</v>
      </c>
      <c r="D12" s="10"/>
      <c r="E12" s="10"/>
      <c r="F12" s="10">
        <v>5390</v>
      </c>
      <c r="G12" s="10">
        <f t="shared" si="0"/>
        <v>282040</v>
      </c>
      <c r="H12" s="16">
        <f t="shared" si="1"/>
        <v>26.81</v>
      </c>
      <c r="I12" s="15">
        <f t="shared" si="2"/>
        <v>8.5000000000000006E-2</v>
      </c>
      <c r="J12" s="15">
        <f>ROUND(G12/273220-1,2)</f>
        <v>0.03</v>
      </c>
    </row>
    <row r="13" spans="1:10" x14ac:dyDescent="0.25">
      <c r="A13" s="1" t="s">
        <v>16</v>
      </c>
      <c r="B13" s="1" t="s">
        <v>20</v>
      </c>
      <c r="C13" s="10">
        <v>382930</v>
      </c>
      <c r="D13" s="10"/>
      <c r="E13" s="10"/>
      <c r="F13" s="10">
        <v>1910</v>
      </c>
      <c r="G13" s="10">
        <f t="shared" si="0"/>
        <v>384840</v>
      </c>
      <c r="H13" s="16">
        <f t="shared" si="1"/>
        <v>36.58</v>
      </c>
      <c r="I13" s="15">
        <f t="shared" si="2"/>
        <v>0.11600000000000001</v>
      </c>
      <c r="J13" s="15">
        <f>ROUND(G13/353590-1,2)</f>
        <v>0.09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218</v>
      </c>
      <c r="F14" s="10"/>
      <c r="G14" s="10">
        <f t="shared" si="0"/>
        <v>218</v>
      </c>
      <c r="H14" s="16">
        <f t="shared" si="1"/>
        <v>0.02</v>
      </c>
      <c r="I14" s="15">
        <f t="shared" si="2"/>
        <v>0</v>
      </c>
      <c r="J14" s="15">
        <f>ROUND(G14/335-1,2)</f>
        <v>-0.35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959</v>
      </c>
      <c r="F15" s="10"/>
      <c r="G15" s="10">
        <f t="shared" si="0"/>
        <v>959</v>
      </c>
      <c r="H15" s="16">
        <f t="shared" si="1"/>
        <v>0.09</v>
      </c>
      <c r="I15" s="15">
        <f t="shared" si="2"/>
        <v>0</v>
      </c>
      <c r="J15" s="15">
        <f>ROUND(G15/915-1,2)</f>
        <v>0.05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3800</v>
      </c>
      <c r="F16" s="10"/>
      <c r="G16" s="10">
        <f t="shared" si="0"/>
        <v>3800</v>
      </c>
      <c r="H16" s="16">
        <f t="shared" si="1"/>
        <v>0.36</v>
      </c>
      <c r="I16" s="15">
        <f t="shared" si="2"/>
        <v>1E-3</v>
      </c>
      <c r="J16" s="15">
        <f>ROUND(G16/2860-1,2)</f>
        <v>0.33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176770</v>
      </c>
      <c r="F17" s="10"/>
      <c r="G17" s="10">
        <f t="shared" si="0"/>
        <v>176770</v>
      </c>
      <c r="H17" s="16">
        <f t="shared" si="1"/>
        <v>16.8</v>
      </c>
      <c r="I17" s="15">
        <f t="shared" si="2"/>
        <v>5.2999999999999999E-2</v>
      </c>
      <c r="J17" s="15">
        <f>ROUND(G17/181060-1,2)</f>
        <v>-0.02</v>
      </c>
    </row>
    <row r="18" spans="1:10" x14ac:dyDescent="0.25">
      <c r="A18" s="1" t="s">
        <v>16</v>
      </c>
      <c r="B18" s="1" t="s">
        <v>24</v>
      </c>
      <c r="C18" s="10">
        <v>445910</v>
      </c>
      <c r="D18" s="10"/>
      <c r="E18" s="10">
        <v>24670</v>
      </c>
      <c r="F18" s="10">
        <v>2490</v>
      </c>
      <c r="G18" s="10">
        <f t="shared" si="0"/>
        <v>473070</v>
      </c>
      <c r="H18" s="16">
        <f t="shared" si="1"/>
        <v>44.97</v>
      </c>
      <c r="I18" s="15">
        <f t="shared" si="2"/>
        <v>0.14299999999999999</v>
      </c>
      <c r="J18" s="15">
        <f>ROUND(G18/450440-1,2)</f>
        <v>0.05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15685</v>
      </c>
      <c r="F19" s="10"/>
      <c r="G19" s="10">
        <f t="shared" si="0"/>
        <v>15685</v>
      </c>
      <c r="H19" s="16">
        <f t="shared" si="1"/>
        <v>1.49</v>
      </c>
      <c r="I19" s="15">
        <f t="shared" si="2"/>
        <v>5.0000000000000001E-3</v>
      </c>
      <c r="J19" s="15">
        <f>ROUND(G19/13185-1,2)</f>
        <v>0.19</v>
      </c>
    </row>
    <row r="20" spans="1:10" x14ac:dyDescent="0.25">
      <c r="A20" s="1" t="s">
        <v>16</v>
      </c>
      <c r="B20" s="1" t="s">
        <v>26</v>
      </c>
      <c r="C20" s="10">
        <v>578410</v>
      </c>
      <c r="D20" s="10"/>
      <c r="E20" s="10"/>
      <c r="F20" s="10">
        <v>3290</v>
      </c>
      <c r="G20" s="10">
        <f t="shared" si="0"/>
        <v>581700</v>
      </c>
      <c r="H20" s="16">
        <f t="shared" si="1"/>
        <v>55.29</v>
      </c>
      <c r="I20" s="15">
        <f t="shared" si="2"/>
        <v>0.17599999999999999</v>
      </c>
      <c r="J20" s="15">
        <f>ROUND(G20/562140-1,2)</f>
        <v>0.03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1156</v>
      </c>
      <c r="F21" s="10"/>
      <c r="G21" s="10">
        <f t="shared" si="0"/>
        <v>1156</v>
      </c>
      <c r="H21" s="16">
        <f t="shared" si="1"/>
        <v>0.11</v>
      </c>
      <c r="I21" s="15">
        <f t="shared" si="2"/>
        <v>0</v>
      </c>
      <c r="J21" s="15">
        <f>ROUND(G21/628-1,2)</f>
        <v>0.84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725</v>
      </c>
      <c r="F22" s="10"/>
      <c r="G22" s="10">
        <f t="shared" si="0"/>
        <v>725</v>
      </c>
      <c r="H22" s="16">
        <f t="shared" si="1"/>
        <v>7.0000000000000007E-2</v>
      </c>
      <c r="I22" s="15">
        <f t="shared" si="2"/>
        <v>0</v>
      </c>
      <c r="J22" s="15">
        <f>ROUND(G22/468-1,2)</f>
        <v>0.55000000000000004</v>
      </c>
    </row>
    <row r="23" spans="1:10" x14ac:dyDescent="0.25">
      <c r="A23" s="1" t="s">
        <v>16</v>
      </c>
      <c r="B23" s="1" t="s">
        <v>42</v>
      </c>
      <c r="C23" s="10"/>
      <c r="D23" s="10"/>
      <c r="E23" s="10">
        <v>372</v>
      </c>
      <c r="F23" s="10"/>
      <c r="G23" s="10">
        <f t="shared" si="0"/>
        <v>372</v>
      </c>
      <c r="H23" s="16">
        <f t="shared" si="1"/>
        <v>0.04</v>
      </c>
      <c r="I23" s="15">
        <f t="shared" si="2"/>
        <v>0</v>
      </c>
      <c r="J23" s="15">
        <f>ROUND(G23/542-1,2)</f>
        <v>-0.31</v>
      </c>
    </row>
    <row r="24" spans="1:10" x14ac:dyDescent="0.25">
      <c r="A24" s="1" t="s">
        <v>16</v>
      </c>
      <c r="B24" s="1" t="s">
        <v>29</v>
      </c>
      <c r="C24" s="10"/>
      <c r="D24" s="10"/>
      <c r="E24" s="10">
        <v>12790</v>
      </c>
      <c r="F24" s="10"/>
      <c r="G24" s="10">
        <f t="shared" si="0"/>
        <v>12790</v>
      </c>
      <c r="H24" s="16">
        <f t="shared" si="1"/>
        <v>1.22</v>
      </c>
      <c r="I24" s="15">
        <f t="shared" si="2"/>
        <v>4.0000000000000001E-3</v>
      </c>
      <c r="J24" s="15">
        <f>ROUND(G24/19150-1,2)</f>
        <v>-0.33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2880</v>
      </c>
      <c r="F25" s="10"/>
      <c r="G25" s="10">
        <f t="shared" si="0"/>
        <v>2880</v>
      </c>
      <c r="H25" s="16">
        <f t="shared" si="1"/>
        <v>0.27</v>
      </c>
      <c r="I25" s="15">
        <f t="shared" si="2"/>
        <v>1E-3</v>
      </c>
      <c r="J25" s="15">
        <f>ROUND(G25/2490-1,2)</f>
        <v>0.16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1500</v>
      </c>
      <c r="F26" s="10"/>
      <c r="G26" s="10">
        <f t="shared" si="0"/>
        <v>1500</v>
      </c>
      <c r="H26" s="16">
        <f t="shared" si="1"/>
        <v>0.14000000000000001</v>
      </c>
      <c r="I26" s="15">
        <f t="shared" si="2"/>
        <v>0</v>
      </c>
      <c r="J26" s="15">
        <f>ROUND(G26/1600-1,2)</f>
        <v>-0.06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5690</v>
      </c>
      <c r="F27" s="10"/>
      <c r="G27" s="10">
        <f t="shared" si="0"/>
        <v>5690</v>
      </c>
      <c r="H27" s="16">
        <f t="shared" si="1"/>
        <v>0.54</v>
      </c>
      <c r="I27" s="15">
        <f t="shared" si="2"/>
        <v>2E-3</v>
      </c>
      <c r="J27" s="15">
        <f>ROUND(G27/4890-1,2)</f>
        <v>0.16</v>
      </c>
    </row>
    <row r="28" spans="1:10" x14ac:dyDescent="0.25">
      <c r="A28" s="1" t="s">
        <v>16</v>
      </c>
      <c r="B28" s="1" t="s">
        <v>33</v>
      </c>
      <c r="C28" s="10"/>
      <c r="D28" s="10">
        <v>538</v>
      </c>
      <c r="E28" s="10">
        <v>143</v>
      </c>
      <c r="F28" s="10"/>
      <c r="G28" s="10">
        <f t="shared" si="0"/>
        <v>681</v>
      </c>
      <c r="H28" s="16">
        <f t="shared" si="1"/>
        <v>0.06</v>
      </c>
      <c r="I28" s="15">
        <f t="shared" si="2"/>
        <v>0</v>
      </c>
      <c r="J28" s="15">
        <f>ROUND(G28/852-1,2)</f>
        <v>-0.2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3895</v>
      </c>
      <c r="F29" s="10"/>
      <c r="G29" s="10">
        <f t="shared" si="0"/>
        <v>3895</v>
      </c>
      <c r="H29" s="16">
        <f t="shared" si="1"/>
        <v>0.37</v>
      </c>
      <c r="I29" s="15">
        <f t="shared" si="2"/>
        <v>1E-3</v>
      </c>
      <c r="J29" s="15">
        <f>ROUND(G29/6140-1,2)</f>
        <v>-0.37</v>
      </c>
    </row>
    <row r="30" spans="1:10" x14ac:dyDescent="0.25">
      <c r="A30" s="1" t="s">
        <v>16</v>
      </c>
      <c r="B30" s="1" t="s">
        <v>35</v>
      </c>
      <c r="C30" s="10"/>
      <c r="D30" s="10">
        <v>240</v>
      </c>
      <c r="E30" s="10">
        <v>350</v>
      </c>
      <c r="F30" s="10"/>
      <c r="G30" s="10">
        <f t="shared" si="0"/>
        <v>590</v>
      </c>
      <c r="H30" s="16">
        <f t="shared" si="1"/>
        <v>0.06</v>
      </c>
      <c r="I30" s="15">
        <f t="shared" si="2"/>
        <v>0</v>
      </c>
      <c r="J30" s="15">
        <f>ROUND(G30/1060-1,2)</f>
        <v>-0.44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4300</v>
      </c>
      <c r="F31" s="10"/>
      <c r="G31" s="10">
        <f t="shared" si="0"/>
        <v>4300</v>
      </c>
      <c r="H31" s="16">
        <f t="shared" si="1"/>
        <v>0.41</v>
      </c>
      <c r="I31" s="15">
        <f t="shared" si="2"/>
        <v>1E-3</v>
      </c>
      <c r="J31" s="15">
        <f>ROUND(G31/16080-1,2)</f>
        <v>-0.73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20400</v>
      </c>
      <c r="F32" s="10"/>
      <c r="G32" s="10">
        <f t="shared" si="0"/>
        <v>20400</v>
      </c>
      <c r="H32" s="16">
        <f t="shared" si="1"/>
        <v>1.94</v>
      </c>
      <c r="I32" s="15">
        <f t="shared" si="2"/>
        <v>6.0000000000000001E-3</v>
      </c>
      <c r="J32" s="15">
        <f>ROUND(G32/34420-1,2)</f>
        <v>-0.41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236120</v>
      </c>
      <c r="F33" s="10"/>
      <c r="G33" s="10">
        <f t="shared" si="0"/>
        <v>236120</v>
      </c>
      <c r="H33" s="16">
        <f t="shared" si="1"/>
        <v>22.44</v>
      </c>
      <c r="I33" s="15">
        <f t="shared" si="2"/>
        <v>7.0999999999999994E-2</v>
      </c>
      <c r="J33" s="15">
        <f>ROUND(G33/169700-1,2)</f>
        <v>0.39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11920</v>
      </c>
      <c r="F34" s="10"/>
      <c r="G34" s="10">
        <f t="shared" si="0"/>
        <v>11920</v>
      </c>
      <c r="H34" s="16">
        <f t="shared" si="1"/>
        <v>1.1299999999999999</v>
      </c>
      <c r="I34" s="15">
        <f t="shared" si="2"/>
        <v>4.0000000000000001E-3</v>
      </c>
      <c r="J34" s="15">
        <f>ROUND(G34/12870-1,2)</f>
        <v>-7.0000000000000007E-2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52970</v>
      </c>
      <c r="F35" s="10"/>
      <c r="G35" s="10">
        <f t="shared" si="0"/>
        <v>52970</v>
      </c>
      <c r="H35" s="16">
        <f t="shared" si="1"/>
        <v>5.04</v>
      </c>
      <c r="I35" s="15">
        <f t="shared" si="2"/>
        <v>1.6E-2</v>
      </c>
      <c r="J35" s="15">
        <f>ROUND(G35/42420-1,2)</f>
        <v>0.25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196130</v>
      </c>
      <c r="F36" s="10">
        <v>1600</v>
      </c>
      <c r="G36" s="10">
        <f t="shared" si="0"/>
        <v>197730</v>
      </c>
      <c r="H36" s="16">
        <f t="shared" si="1"/>
        <v>18.8</v>
      </c>
      <c r="I36" s="15">
        <f t="shared" si="2"/>
        <v>0.06</v>
      </c>
      <c r="J36" s="15">
        <f>ROUND(G36/141970-1,2)</f>
        <v>0.39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ROUND(G37/7760-1,2)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184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172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600990</v>
      </c>
      <c r="D41" s="10"/>
      <c r="E41" s="10"/>
      <c r="F41" s="10">
        <v>2800</v>
      </c>
      <c r="G41" s="10">
        <f t="shared" si="0"/>
        <v>603790</v>
      </c>
      <c r="H41" s="16">
        <f t="shared" si="1"/>
        <v>57.39</v>
      </c>
      <c r="I41" s="15">
        <f t="shared" si="2"/>
        <v>0.182</v>
      </c>
      <c r="J41" s="15">
        <f>ROUND(G41/568240-1,2)</f>
        <v>0.06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54360</v>
      </c>
      <c r="G42" s="10">
        <f t="shared" si="0"/>
        <v>54360</v>
      </c>
      <c r="H42" s="16">
        <f t="shared" si="1"/>
        <v>5.17</v>
      </c>
      <c r="I42" s="15">
        <f t="shared" si="2"/>
        <v>1.6E-2</v>
      </c>
      <c r="J42" s="15">
        <f>ROUND(G42/37440-1,2)</f>
        <v>0.45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115910</v>
      </c>
      <c r="F43" s="10"/>
      <c r="G43" s="10">
        <f t="shared" si="0"/>
        <v>115910</v>
      </c>
      <c r="H43" s="16">
        <f t="shared" si="1"/>
        <v>11.02</v>
      </c>
      <c r="I43" s="15">
        <f t="shared" si="2"/>
        <v>3.5000000000000003E-2</v>
      </c>
      <c r="J43" s="15">
        <f>ROUND(G43/81560-1,2)</f>
        <v>0.42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94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23" t="s">
        <v>12</v>
      </c>
      <c r="B48" s="23"/>
      <c r="C48" s="11">
        <f t="shared" ref="C48:H48" si="3">SUM(C8:C47)</f>
        <v>2284890</v>
      </c>
      <c r="D48" s="11">
        <f t="shared" si="3"/>
        <v>778</v>
      </c>
      <c r="E48" s="11">
        <f t="shared" si="3"/>
        <v>931324</v>
      </c>
      <c r="F48" s="11">
        <f t="shared" si="3"/>
        <v>92140</v>
      </c>
      <c r="G48" s="11">
        <f t="shared" si="3"/>
        <v>3309132</v>
      </c>
      <c r="H48" s="14">
        <f t="shared" si="3"/>
        <v>314.55</v>
      </c>
      <c r="I48" s="17"/>
      <c r="J48" s="17"/>
    </row>
    <row r="49" spans="1:10" x14ac:dyDescent="0.25">
      <c r="A49" s="23" t="s">
        <v>14</v>
      </c>
      <c r="B49" s="23"/>
      <c r="C49" s="12">
        <f>ROUND(C48/G48,2)</f>
        <v>0.69</v>
      </c>
      <c r="D49" s="12">
        <f>ROUND(D48/G48,2)</f>
        <v>0</v>
      </c>
      <c r="E49" s="12">
        <f>ROUND(E48/G48,2)</f>
        <v>0.28000000000000003</v>
      </c>
      <c r="F49" s="12">
        <f>ROUND(F48/G48,2)</f>
        <v>0.03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53</v>
      </c>
      <c r="B54" s="23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1683900</v>
      </c>
      <c r="D55" s="10">
        <v>778</v>
      </c>
      <c r="E55" s="10">
        <v>815414</v>
      </c>
      <c r="F55" s="10">
        <v>34980</v>
      </c>
      <c r="G55" s="10">
        <f>SUM(C55:F55)</f>
        <v>2535072</v>
      </c>
      <c r="H55" s="16">
        <f>ROUND(G55/10520,2)</f>
        <v>240.98</v>
      </c>
      <c r="I55" s="9"/>
      <c r="J55" s="9"/>
    </row>
    <row r="56" spans="1:10" x14ac:dyDescent="0.25">
      <c r="A56" s="22" t="s">
        <v>55</v>
      </c>
      <c r="B56" s="22"/>
      <c r="C56" s="10">
        <v>600990</v>
      </c>
      <c r="D56" s="10">
        <v>0</v>
      </c>
      <c r="E56" s="10">
        <v>115910</v>
      </c>
      <c r="F56" s="10">
        <v>57160</v>
      </c>
      <c r="G56" s="10">
        <f>SUM(C56:F56)</f>
        <v>774060</v>
      </c>
      <c r="H56" s="16">
        <f>ROUND(G56/10520,2)</f>
        <v>73.58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ROUND(G57/10520,2)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57</v>
      </c>
      <c r="B62" s="23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ROUND(0.8046, 4)</f>
        <v>0.80459999999999998</v>
      </c>
      <c r="D63" s="15">
        <f>ROUND(0.7897, 4)</f>
        <v>0.78969999999999996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4" t="s">
        <v>64</v>
      </c>
      <c r="J63" s="24" t="s">
        <v>65</v>
      </c>
    </row>
    <row r="64" spans="1:10" x14ac:dyDescent="0.25">
      <c r="A64" s="22" t="s">
        <v>66</v>
      </c>
      <c r="B64" s="22"/>
      <c r="C64" s="15">
        <f>ROUND(0.7932, 4)</f>
        <v>0.79320000000000002</v>
      </c>
      <c r="D64" s="15">
        <f>ROUND(0.7772, 4)</f>
        <v>0.7772</v>
      </c>
      <c r="E64" s="15">
        <f>ROUND(0.7608, 4)</f>
        <v>0.76080000000000003</v>
      </c>
      <c r="F64" s="8"/>
      <c r="G64" s="14" t="s">
        <v>67</v>
      </c>
      <c r="H64" s="27"/>
      <c r="I64" s="25"/>
      <c r="J64" s="25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68</v>
      </c>
      <c r="B68" s="23"/>
      <c r="C68" s="14" t="s">
        <v>2</v>
      </c>
      <c r="D68" s="14" t="s">
        <v>185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57.39</v>
      </c>
      <c r="D69" s="16">
        <v>69.13</v>
      </c>
      <c r="E69" s="16">
        <v>89.58</v>
      </c>
      <c r="F69" s="16">
        <v>53.73</v>
      </c>
      <c r="G69" s="16">
        <f>12/9*C69</f>
        <v>76.52</v>
      </c>
      <c r="H69" s="8"/>
      <c r="I69" s="9"/>
      <c r="J69" s="9"/>
    </row>
    <row r="70" spans="1:10" x14ac:dyDescent="0.25">
      <c r="A70" s="22" t="s">
        <v>74</v>
      </c>
      <c r="B70" s="22"/>
      <c r="C70" s="1">
        <v>55.29</v>
      </c>
      <c r="D70" s="1">
        <v>69.64</v>
      </c>
      <c r="E70" s="1">
        <v>60.32</v>
      </c>
      <c r="F70" s="1">
        <v>61.62</v>
      </c>
      <c r="G70" s="1">
        <f>12/9*C70</f>
        <v>73.72</v>
      </c>
    </row>
    <row r="71" spans="1:10" x14ac:dyDescent="0.25">
      <c r="A71" s="22" t="s">
        <v>75</v>
      </c>
      <c r="B71" s="22"/>
      <c r="C71" s="1">
        <v>244.49</v>
      </c>
      <c r="D71" s="1">
        <v>283.02999999999997</v>
      </c>
      <c r="E71" s="1">
        <v>282.8</v>
      </c>
      <c r="F71" s="1">
        <v>273.33</v>
      </c>
      <c r="G71" s="1">
        <f>12/9*C71</f>
        <v>325.98666666666668</v>
      </c>
    </row>
    <row r="72" spans="1:10" x14ac:dyDescent="0.25">
      <c r="A72" s="22" t="s">
        <v>76</v>
      </c>
      <c r="B72" s="22"/>
      <c r="C72" s="1">
        <v>73.58</v>
      </c>
      <c r="D72" s="1">
        <v>89.05</v>
      </c>
      <c r="E72" s="1">
        <v>112.72</v>
      </c>
      <c r="F72" s="1">
        <v>76.52</v>
      </c>
      <c r="G72" s="1">
        <f>12/9*C72</f>
        <v>98.106666666666655</v>
      </c>
    </row>
    <row r="75" spans="1:10" x14ac:dyDescent="0.25">
      <c r="A75" s="21" t="s">
        <v>60</v>
      </c>
      <c r="B75" s="28"/>
    </row>
    <row r="76" spans="1:10" x14ac:dyDescent="0.25">
      <c r="A76" s="3" t="s">
        <v>77</v>
      </c>
      <c r="B76" s="1" t="s">
        <v>186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0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0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187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652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</v>
      </c>
      <c r="F9" s="10"/>
      <c r="G9" s="10">
        <f t="shared" ref="G9:G37" si="0">SUM(C9:F9)</f>
        <v>14</v>
      </c>
      <c r="H9" s="16">
        <f t="shared" ref="H9:H37" si="1">ROUND(G9/652,2)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19230</v>
      </c>
      <c r="D10" s="10"/>
      <c r="E10" s="10">
        <v>2606</v>
      </c>
      <c r="F10" s="10"/>
      <c r="G10" s="10">
        <f t="shared" si="0"/>
        <v>21836</v>
      </c>
      <c r="H10" s="16">
        <f t="shared" si="1"/>
        <v>33.49</v>
      </c>
      <c r="I10" s="15">
        <f t="shared" si="2"/>
        <v>0.113</v>
      </c>
      <c r="J10" s="15">
        <f>ROUND(G10/16159.54-1,2)</f>
        <v>0.35</v>
      </c>
    </row>
    <row r="11" spans="1:10" x14ac:dyDescent="0.25">
      <c r="A11" s="1" t="s">
        <v>16</v>
      </c>
      <c r="B11" s="1" t="s">
        <v>20</v>
      </c>
      <c r="C11" s="10">
        <v>17980</v>
      </c>
      <c r="D11" s="10"/>
      <c r="E11" s="10"/>
      <c r="F11" s="10"/>
      <c r="G11" s="10">
        <f t="shared" si="0"/>
        <v>17980</v>
      </c>
      <c r="H11" s="16">
        <f t="shared" si="1"/>
        <v>27.58</v>
      </c>
      <c r="I11" s="15">
        <f t="shared" si="2"/>
        <v>9.2999999999999999E-2</v>
      </c>
      <c r="J11" s="15">
        <f>ROUND(G11/18710-1,2)</f>
        <v>-0.04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46</v>
      </c>
      <c r="F12" s="10"/>
      <c r="G12" s="10">
        <f t="shared" si="0"/>
        <v>46</v>
      </c>
      <c r="H12" s="16">
        <f t="shared" si="1"/>
        <v>7.0000000000000007E-2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722</v>
      </c>
      <c r="F13" s="10"/>
      <c r="G13" s="10">
        <f t="shared" si="0"/>
        <v>722</v>
      </c>
      <c r="H13" s="16">
        <f t="shared" si="1"/>
        <v>1.1100000000000001</v>
      </c>
      <c r="I13" s="15">
        <f t="shared" si="2"/>
        <v>4.0000000000000001E-3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14484</v>
      </c>
      <c r="F14" s="10"/>
      <c r="G14" s="10">
        <f t="shared" si="0"/>
        <v>14484</v>
      </c>
      <c r="H14" s="16">
        <f t="shared" si="1"/>
        <v>22.21</v>
      </c>
      <c r="I14" s="15">
        <f t="shared" si="2"/>
        <v>7.4999999999999997E-2</v>
      </c>
      <c r="J14" s="15">
        <f>ROUND(G14/5202.37-1,2)</f>
        <v>1.78</v>
      </c>
    </row>
    <row r="15" spans="1:10" x14ac:dyDescent="0.25">
      <c r="A15" s="1" t="s">
        <v>16</v>
      </c>
      <c r="B15" s="1" t="s">
        <v>24</v>
      </c>
      <c r="C15" s="10">
        <v>13750</v>
      </c>
      <c r="D15" s="10"/>
      <c r="E15" s="10">
        <v>5830</v>
      </c>
      <c r="F15" s="10"/>
      <c r="G15" s="10">
        <f t="shared" si="0"/>
        <v>19580</v>
      </c>
      <c r="H15" s="16">
        <f t="shared" si="1"/>
        <v>30.03</v>
      </c>
      <c r="I15" s="15">
        <f t="shared" si="2"/>
        <v>0.10100000000000001</v>
      </c>
      <c r="J15" s="15">
        <f>ROUND(G15/16552.97-1,2)</f>
        <v>0.18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1055</v>
      </c>
      <c r="F16" s="10"/>
      <c r="G16" s="10">
        <f t="shared" si="0"/>
        <v>1055</v>
      </c>
      <c r="H16" s="16">
        <f t="shared" si="1"/>
        <v>1.62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18440</v>
      </c>
      <c r="D17" s="10"/>
      <c r="E17" s="10"/>
      <c r="F17" s="10"/>
      <c r="G17" s="10">
        <f t="shared" si="0"/>
        <v>18440</v>
      </c>
      <c r="H17" s="16">
        <f t="shared" si="1"/>
        <v>28.28</v>
      </c>
      <c r="I17" s="15">
        <f t="shared" si="2"/>
        <v>9.6000000000000002E-2</v>
      </c>
      <c r="J17" s="15">
        <f>ROUND(G17/19990-1,2)</f>
        <v>-0.08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170</v>
      </c>
      <c r="F18" s="10"/>
      <c r="G18" s="10">
        <f t="shared" si="0"/>
        <v>170</v>
      </c>
      <c r="H18" s="16">
        <f t="shared" si="1"/>
        <v>0.26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104</v>
      </c>
      <c r="F19" s="10"/>
      <c r="G19" s="10">
        <f t="shared" si="0"/>
        <v>104</v>
      </c>
      <c r="H19" s="16">
        <f t="shared" si="1"/>
        <v>0.16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21</v>
      </c>
      <c r="F20" s="10"/>
      <c r="G20" s="10">
        <f t="shared" si="0"/>
        <v>21</v>
      </c>
      <c r="H20" s="16">
        <f t="shared" si="1"/>
        <v>0.03</v>
      </c>
      <c r="I20" s="15">
        <f t="shared" si="2"/>
        <v>0</v>
      </c>
      <c r="J20" s="15">
        <f>ROUND(G20/37.24-1,2)</f>
        <v>-0.44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499</v>
      </c>
      <c r="F21" s="10"/>
      <c r="G21" s="10">
        <f t="shared" si="0"/>
        <v>499</v>
      </c>
      <c r="H21" s="16">
        <f t="shared" si="1"/>
        <v>0.77</v>
      </c>
      <c r="I21" s="15">
        <f t="shared" si="2"/>
        <v>3.0000000000000001E-3</v>
      </c>
      <c r="J21" s="15">
        <f>ROUND(G21/428.57-1,2)</f>
        <v>0.16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118</v>
      </c>
      <c r="F22" s="10"/>
      <c r="G22" s="10">
        <f t="shared" si="0"/>
        <v>118</v>
      </c>
      <c r="H22" s="16">
        <f t="shared" si="1"/>
        <v>0.18</v>
      </c>
      <c r="I22" s="15">
        <f t="shared" si="2"/>
        <v>1E-3</v>
      </c>
      <c r="J22" s="15">
        <f>ROUND(G22/33.62-1,2)</f>
        <v>2.5099999999999998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57</v>
      </c>
      <c r="F23" s="10"/>
      <c r="G23" s="10">
        <f t="shared" si="0"/>
        <v>57</v>
      </c>
      <c r="H23" s="16">
        <f t="shared" si="1"/>
        <v>0.09</v>
      </c>
      <c r="I23" s="15">
        <f t="shared" si="2"/>
        <v>0</v>
      </c>
      <c r="J23" s="15">
        <f>ROUND(G23/42.86-1,2)</f>
        <v>0.33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316</v>
      </c>
      <c r="F24" s="10"/>
      <c r="G24" s="10">
        <f t="shared" si="0"/>
        <v>316</v>
      </c>
      <c r="H24" s="16">
        <f t="shared" si="1"/>
        <v>0.48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55</v>
      </c>
      <c r="F25" s="10"/>
      <c r="G25" s="10">
        <f t="shared" si="0"/>
        <v>55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43</v>
      </c>
      <c r="C26" s="10"/>
      <c r="D26" s="10"/>
      <c r="E26" s="10">
        <v>884</v>
      </c>
      <c r="F26" s="10"/>
      <c r="G26" s="10">
        <f t="shared" si="0"/>
        <v>884</v>
      </c>
      <c r="H26" s="16">
        <f t="shared" si="1"/>
        <v>1.36</v>
      </c>
      <c r="I26" s="15">
        <f t="shared" si="2"/>
        <v>5.0000000000000001E-3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895</v>
      </c>
      <c r="F27" s="10"/>
      <c r="G27" s="10">
        <f t="shared" si="0"/>
        <v>895</v>
      </c>
      <c r="H27" s="16">
        <f t="shared" si="1"/>
        <v>1.37</v>
      </c>
      <c r="I27" s="15">
        <f t="shared" si="2"/>
        <v>5.0000000000000001E-3</v>
      </c>
      <c r="J27" s="15">
        <f>ROUND(G27/58.02-1,2)</f>
        <v>14.43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14436</v>
      </c>
      <c r="F28" s="10"/>
      <c r="G28" s="10">
        <f t="shared" si="0"/>
        <v>14436</v>
      </c>
      <c r="H28" s="16">
        <f t="shared" si="1"/>
        <v>22.14</v>
      </c>
      <c r="I28" s="15">
        <f t="shared" si="2"/>
        <v>7.4999999999999997E-2</v>
      </c>
      <c r="J28" s="15">
        <f>ROUND(G28/6507.65-1,2)</f>
        <v>1.22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5397</v>
      </c>
      <c r="F29" s="10"/>
      <c r="G29" s="10">
        <f t="shared" si="0"/>
        <v>5397</v>
      </c>
      <c r="H29" s="16">
        <f t="shared" si="1"/>
        <v>8.2799999999999994</v>
      </c>
      <c r="I29" s="15">
        <f t="shared" si="2"/>
        <v>2.8000000000000001E-2</v>
      </c>
      <c r="J29" s="15">
        <f>ROUND(G29/2866.29-1,2)</f>
        <v>0.88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10315</v>
      </c>
      <c r="F30" s="10"/>
      <c r="G30" s="10">
        <f t="shared" si="0"/>
        <v>10315</v>
      </c>
      <c r="H30" s="16">
        <f t="shared" si="1"/>
        <v>15.82</v>
      </c>
      <c r="I30" s="15">
        <f t="shared" si="2"/>
        <v>5.2999999999999999E-2</v>
      </c>
      <c r="J30" s="15">
        <f>ROUND(G30/730.07-1,2)</f>
        <v>13.13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ROUND(G31/499.69-1,2)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56720</v>
      </c>
      <c r="D34" s="10"/>
      <c r="E34" s="10"/>
      <c r="F34" s="10"/>
      <c r="G34" s="10">
        <f t="shared" si="0"/>
        <v>56720</v>
      </c>
      <c r="H34" s="16">
        <f t="shared" si="1"/>
        <v>86.99</v>
      </c>
      <c r="I34" s="15">
        <f t="shared" si="2"/>
        <v>0.29399999999999998</v>
      </c>
      <c r="J34" s="15">
        <f>ROUND(G34/50920-1,2)</f>
        <v>0.11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8846</v>
      </c>
      <c r="F35" s="10"/>
      <c r="G35" s="10">
        <f t="shared" si="0"/>
        <v>8846</v>
      </c>
      <c r="H35" s="16">
        <f t="shared" si="1"/>
        <v>13.57</v>
      </c>
      <c r="I35" s="15">
        <f t="shared" si="2"/>
        <v>4.5999999999999999E-2</v>
      </c>
      <c r="J35" s="15">
        <f>ROUND(G35/3473.55-1,2)</f>
        <v>1.55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126120</v>
      </c>
      <c r="D38" s="11">
        <f t="shared" si="3"/>
        <v>0</v>
      </c>
      <c r="E38" s="11">
        <f t="shared" si="3"/>
        <v>66870</v>
      </c>
      <c r="F38" s="11">
        <f t="shared" si="3"/>
        <v>0</v>
      </c>
      <c r="G38" s="11">
        <f t="shared" si="3"/>
        <v>192990</v>
      </c>
      <c r="H38" s="14">
        <f t="shared" si="3"/>
        <v>295.99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0.65</v>
      </c>
      <c r="D39" s="12">
        <f>ROUND(D38/G38,2)</f>
        <v>0</v>
      </c>
      <c r="E39" s="12">
        <f>ROUND(E38/G38,2)</f>
        <v>0.35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69400</v>
      </c>
      <c r="D45" s="10">
        <v>0</v>
      </c>
      <c r="E45" s="10">
        <v>58024</v>
      </c>
      <c r="F45" s="10">
        <v>0</v>
      </c>
      <c r="G45" s="10">
        <f>SUM(C45:F45)</f>
        <v>127424</v>
      </c>
      <c r="H45" s="16">
        <f>ROUND(G45/652,2)</f>
        <v>195.44</v>
      </c>
      <c r="I45" s="9"/>
      <c r="J45" s="9"/>
    </row>
    <row r="46" spans="1:10" x14ac:dyDescent="0.25">
      <c r="A46" s="22" t="s">
        <v>55</v>
      </c>
      <c r="B46" s="22"/>
      <c r="C46" s="10">
        <v>56720</v>
      </c>
      <c r="D46" s="10">
        <v>0</v>
      </c>
      <c r="E46" s="10">
        <v>8846</v>
      </c>
      <c r="F46" s="10">
        <v>0</v>
      </c>
      <c r="G46" s="10">
        <f>SUM(C46:F46)</f>
        <v>65566</v>
      </c>
      <c r="H46" s="16">
        <f>ROUND(G46/652,2)</f>
        <v>100.56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ROUND(G47/652,2)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ROUND(0.6782, 4)</f>
        <v>0.67820000000000003</v>
      </c>
      <c r="D53" s="15">
        <f>ROUND(0.5958, 4)</f>
        <v>0.5958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ROUND(0.6325, 4)</f>
        <v>0.63249999999999995</v>
      </c>
      <c r="D54" s="15">
        <f>ROUND(0.5494, 4)</f>
        <v>0.5494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188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86.99</v>
      </c>
      <c r="D59" s="16">
        <v>91.56</v>
      </c>
      <c r="E59" s="16">
        <v>89.58</v>
      </c>
      <c r="F59" s="16">
        <v>53.73</v>
      </c>
      <c r="G59" s="16">
        <f>12/9*C59</f>
        <v>115.98666666666665</v>
      </c>
      <c r="H59" s="8"/>
      <c r="I59" s="9"/>
      <c r="J59" s="9"/>
    </row>
    <row r="60" spans="1:10" x14ac:dyDescent="0.25">
      <c r="A60" s="22" t="s">
        <v>74</v>
      </c>
      <c r="B60" s="22"/>
      <c r="C60" s="16">
        <v>28.28</v>
      </c>
      <c r="D60" s="16">
        <v>34.299999999999997</v>
      </c>
      <c r="E60" s="16">
        <v>60.32</v>
      </c>
      <c r="F60" s="16">
        <v>61.62</v>
      </c>
      <c r="G60" s="16">
        <f>12/9*C60</f>
        <v>37.706666666666663</v>
      </c>
      <c r="H60" s="8"/>
      <c r="I60" s="9"/>
      <c r="J60" s="9"/>
    </row>
    <row r="61" spans="1:10" x14ac:dyDescent="0.25">
      <c r="A61" s="22" t="s">
        <v>75</v>
      </c>
      <c r="B61" s="22"/>
      <c r="C61" s="16">
        <v>195.44</v>
      </c>
      <c r="D61" s="16">
        <v>187.82</v>
      </c>
      <c r="E61" s="16">
        <v>282.8</v>
      </c>
      <c r="F61" s="16">
        <v>273.33</v>
      </c>
      <c r="G61" s="16">
        <f>12/9*C61</f>
        <v>260.58666666666664</v>
      </c>
      <c r="H61" s="8"/>
      <c r="I61" s="9"/>
      <c r="J61" s="9"/>
    </row>
    <row r="62" spans="1:10" x14ac:dyDescent="0.25">
      <c r="A62" s="22" t="s">
        <v>76</v>
      </c>
      <c r="B62" s="22"/>
      <c r="C62" s="16">
        <v>100.56</v>
      </c>
      <c r="D62" s="16">
        <v>104.13</v>
      </c>
      <c r="E62" s="16">
        <v>112.72</v>
      </c>
      <c r="F62" s="16">
        <v>76.52</v>
      </c>
      <c r="G62" s="16">
        <f>12/9*C62</f>
        <v>134.07999999999998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189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1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190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3611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102</v>
      </c>
      <c r="F9" s="10"/>
      <c r="G9" s="10">
        <f t="shared" ref="G9:G42" si="0">SUM(C9:F9)</f>
        <v>102</v>
      </c>
      <c r="H9" s="16">
        <f t="shared" ref="H9:H42" si="1">ROUND(G9/3611,2)</f>
        <v>0.03</v>
      </c>
      <c r="I9" s="15">
        <f t="shared" ref="I9:I42" si="2">ROUND(G9/$G$43,3)</f>
        <v>0</v>
      </c>
      <c r="J9" s="15">
        <f>ROUND(G9/57-1,2)</f>
        <v>0.79</v>
      </c>
    </row>
    <row r="10" spans="1:10" x14ac:dyDescent="0.25">
      <c r="A10" s="1" t="s">
        <v>16</v>
      </c>
      <c r="B10" s="1" t="s">
        <v>19</v>
      </c>
      <c r="C10" s="10">
        <v>91930</v>
      </c>
      <c r="D10" s="10"/>
      <c r="E10" s="10">
        <v>3640</v>
      </c>
      <c r="F10" s="10">
        <v>170</v>
      </c>
      <c r="G10" s="10">
        <f t="shared" si="0"/>
        <v>95740</v>
      </c>
      <c r="H10" s="16">
        <f t="shared" si="1"/>
        <v>26.51</v>
      </c>
      <c r="I10" s="15">
        <f t="shared" si="2"/>
        <v>9.4E-2</v>
      </c>
      <c r="J10" s="15">
        <f>ROUND(G10/88070-1,2)</f>
        <v>0.09</v>
      </c>
    </row>
    <row r="11" spans="1:10" x14ac:dyDescent="0.25">
      <c r="A11" s="1" t="s">
        <v>16</v>
      </c>
      <c r="B11" s="1" t="s">
        <v>20</v>
      </c>
      <c r="C11" s="10">
        <v>96690</v>
      </c>
      <c r="D11" s="10"/>
      <c r="E11" s="10"/>
      <c r="F11" s="10"/>
      <c r="G11" s="10">
        <f t="shared" si="0"/>
        <v>96690</v>
      </c>
      <c r="H11" s="16">
        <f t="shared" si="1"/>
        <v>26.78</v>
      </c>
      <c r="I11" s="15">
        <f t="shared" si="2"/>
        <v>9.5000000000000001E-2</v>
      </c>
      <c r="J11" s="15">
        <f>ROUND(G11/100460-1,2)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168</v>
      </c>
      <c r="F12" s="10"/>
      <c r="G12" s="10">
        <f t="shared" si="0"/>
        <v>168</v>
      </c>
      <c r="H12" s="16">
        <f t="shared" si="1"/>
        <v>0.05</v>
      </c>
      <c r="I12" s="15">
        <f t="shared" si="2"/>
        <v>0</v>
      </c>
      <c r="J12" s="15">
        <f>ROUND(G12/102-1,2)</f>
        <v>0.65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502</v>
      </c>
      <c r="F13" s="10"/>
      <c r="G13" s="10">
        <f t="shared" si="0"/>
        <v>502</v>
      </c>
      <c r="H13" s="16">
        <f t="shared" si="1"/>
        <v>0.14000000000000001</v>
      </c>
      <c r="I13" s="15">
        <f t="shared" si="2"/>
        <v>0</v>
      </c>
      <c r="J13" s="15">
        <f>ROUND(G13/252-1,2)</f>
        <v>0.99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1280</v>
      </c>
      <c r="F14" s="10"/>
      <c r="G14" s="10">
        <f t="shared" si="0"/>
        <v>1280</v>
      </c>
      <c r="H14" s="16">
        <f t="shared" si="1"/>
        <v>0.35</v>
      </c>
      <c r="I14" s="15">
        <f t="shared" si="2"/>
        <v>1E-3</v>
      </c>
      <c r="J14" s="15">
        <f>ROUND(G14/2260-1,2)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104740</v>
      </c>
      <c r="F15" s="10"/>
      <c r="G15" s="10">
        <f t="shared" si="0"/>
        <v>104740</v>
      </c>
      <c r="H15" s="16">
        <f t="shared" si="1"/>
        <v>29.01</v>
      </c>
      <c r="I15" s="15">
        <f t="shared" si="2"/>
        <v>0.10299999999999999</v>
      </c>
      <c r="J15" s="15">
        <f>ROUND(G15/20940-1,2)</f>
        <v>4</v>
      </c>
    </row>
    <row r="16" spans="1:10" x14ac:dyDescent="0.25">
      <c r="A16" s="1" t="s">
        <v>16</v>
      </c>
      <c r="B16" s="1" t="s">
        <v>24</v>
      </c>
      <c r="C16" s="10">
        <v>117200</v>
      </c>
      <c r="D16" s="10"/>
      <c r="E16" s="10">
        <v>13900</v>
      </c>
      <c r="F16" s="10"/>
      <c r="G16" s="10">
        <f t="shared" si="0"/>
        <v>131100</v>
      </c>
      <c r="H16" s="16">
        <f t="shared" si="1"/>
        <v>36.31</v>
      </c>
      <c r="I16" s="15">
        <f t="shared" si="2"/>
        <v>0.128</v>
      </c>
      <c r="J16" s="15">
        <f>ROUND(G16/134220-1,2)</f>
        <v>-0.02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10580</v>
      </c>
      <c r="F17" s="10"/>
      <c r="G17" s="10">
        <f t="shared" si="0"/>
        <v>10580</v>
      </c>
      <c r="H17" s="16">
        <f t="shared" si="1"/>
        <v>2.93</v>
      </c>
      <c r="I17" s="15">
        <f t="shared" si="2"/>
        <v>0.01</v>
      </c>
      <c r="J17" s="15">
        <f>ROUND(G17/3740-1,2)</f>
        <v>1.83</v>
      </c>
    </row>
    <row r="18" spans="1:10" x14ac:dyDescent="0.25">
      <c r="A18" s="1" t="s">
        <v>16</v>
      </c>
      <c r="B18" s="1" t="s">
        <v>26</v>
      </c>
      <c r="C18" s="10">
        <v>148210</v>
      </c>
      <c r="D18" s="10"/>
      <c r="E18" s="10"/>
      <c r="F18" s="10">
        <v>1530</v>
      </c>
      <c r="G18" s="10">
        <f t="shared" si="0"/>
        <v>149740</v>
      </c>
      <c r="H18" s="16">
        <f t="shared" si="1"/>
        <v>41.47</v>
      </c>
      <c r="I18" s="15">
        <f t="shared" si="2"/>
        <v>0.14699999999999999</v>
      </c>
      <c r="J18" s="15">
        <f>ROUND(G18/142860-1,2)</f>
        <v>0.05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827</v>
      </c>
      <c r="F19" s="10"/>
      <c r="G19" s="10">
        <f t="shared" si="0"/>
        <v>827</v>
      </c>
      <c r="H19" s="16">
        <f t="shared" si="1"/>
        <v>0.23</v>
      </c>
      <c r="I19" s="15">
        <f t="shared" si="2"/>
        <v>1E-3</v>
      </c>
      <c r="J19" s="15">
        <f>ROUND(G19/621-1,2)</f>
        <v>0.33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624</v>
      </c>
      <c r="F20" s="10"/>
      <c r="G20" s="10">
        <f t="shared" si="0"/>
        <v>624</v>
      </c>
      <c r="H20" s="16">
        <f t="shared" si="1"/>
        <v>0.17</v>
      </c>
      <c r="I20" s="15">
        <f t="shared" si="2"/>
        <v>1E-3</v>
      </c>
      <c r="J20" s="15">
        <f>ROUND(G20/550-1,2)</f>
        <v>0.13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93</v>
      </c>
      <c r="F21" s="10"/>
      <c r="G21" s="10">
        <f t="shared" si="0"/>
        <v>93</v>
      </c>
      <c r="H21" s="16">
        <f t="shared" si="1"/>
        <v>0.03</v>
      </c>
      <c r="I21" s="15">
        <f t="shared" si="2"/>
        <v>0</v>
      </c>
      <c r="J21" s="15">
        <f>ROUND(G21/144-1,2)</f>
        <v>-0.35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3880</v>
      </c>
      <c r="F22" s="10"/>
      <c r="G22" s="10">
        <f t="shared" si="0"/>
        <v>3880</v>
      </c>
      <c r="H22" s="16">
        <f t="shared" si="1"/>
        <v>1.07</v>
      </c>
      <c r="I22" s="15">
        <f t="shared" si="2"/>
        <v>4.0000000000000001E-3</v>
      </c>
      <c r="J22" s="15">
        <f>ROUND(G22/5640-1,2)</f>
        <v>-0.31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1180</v>
      </c>
      <c r="F23" s="10"/>
      <c r="G23" s="10">
        <f t="shared" si="0"/>
        <v>1180</v>
      </c>
      <c r="H23" s="16">
        <f t="shared" si="1"/>
        <v>0.33</v>
      </c>
      <c r="I23" s="15">
        <f t="shared" si="2"/>
        <v>1E-3</v>
      </c>
      <c r="J23" s="15">
        <f>ROUND(G23/1060-1,2)</f>
        <v>0.11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400</v>
      </c>
      <c r="F24" s="10"/>
      <c r="G24" s="10">
        <f t="shared" si="0"/>
        <v>400</v>
      </c>
      <c r="H24" s="16">
        <f t="shared" si="1"/>
        <v>0.11</v>
      </c>
      <c r="I24" s="15">
        <f t="shared" si="2"/>
        <v>0</v>
      </c>
      <c r="J24" s="15">
        <f>ROUND(G24/530-1,2)</f>
        <v>-0.25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1900</v>
      </c>
      <c r="F25" s="10"/>
      <c r="G25" s="10">
        <f t="shared" si="0"/>
        <v>1900</v>
      </c>
      <c r="H25" s="16">
        <f t="shared" si="1"/>
        <v>0.53</v>
      </c>
      <c r="I25" s="15">
        <f t="shared" si="2"/>
        <v>2E-3</v>
      </c>
      <c r="J25" s="15">
        <f>ROUND(G25/745-1,2)</f>
        <v>1.55</v>
      </c>
    </row>
    <row r="26" spans="1:10" x14ac:dyDescent="0.25">
      <c r="A26" s="1" t="s">
        <v>16</v>
      </c>
      <c r="B26" s="1" t="s">
        <v>33</v>
      </c>
      <c r="C26" s="10"/>
      <c r="D26" s="10">
        <v>181</v>
      </c>
      <c r="E26" s="10">
        <v>104</v>
      </c>
      <c r="F26" s="10"/>
      <c r="G26" s="10">
        <f t="shared" si="0"/>
        <v>285</v>
      </c>
      <c r="H26" s="16">
        <f t="shared" si="1"/>
        <v>0.08</v>
      </c>
      <c r="I26" s="15">
        <f t="shared" si="2"/>
        <v>0</v>
      </c>
      <c r="J26" s="15">
        <f>ROUND(G26/183-1,2)</f>
        <v>0.56000000000000005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0.17</v>
      </c>
      <c r="I27" s="15">
        <f t="shared" si="2"/>
        <v>1E-3</v>
      </c>
      <c r="J27" s="15"/>
    </row>
    <row r="28" spans="1:10" x14ac:dyDescent="0.25">
      <c r="A28" s="1" t="s">
        <v>16</v>
      </c>
      <c r="B28" s="1" t="s">
        <v>35</v>
      </c>
      <c r="C28" s="10"/>
      <c r="D28" s="10"/>
      <c r="E28" s="10">
        <v>190</v>
      </c>
      <c r="F28" s="10"/>
      <c r="G28" s="10">
        <f t="shared" si="0"/>
        <v>190</v>
      </c>
      <c r="H28" s="16">
        <f t="shared" si="1"/>
        <v>0.05</v>
      </c>
      <c r="I28" s="15">
        <f t="shared" si="2"/>
        <v>0</v>
      </c>
      <c r="J28" s="15">
        <f>ROUND(G28/741-1,2)</f>
        <v>-0.74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4330</v>
      </c>
      <c r="F29" s="10"/>
      <c r="G29" s="10">
        <f t="shared" si="0"/>
        <v>4330</v>
      </c>
      <c r="H29" s="16">
        <f t="shared" si="1"/>
        <v>1.2</v>
      </c>
      <c r="I29" s="15">
        <f t="shared" si="2"/>
        <v>4.0000000000000001E-3</v>
      </c>
      <c r="J29" s="15">
        <f>ROUND(G29/2320-1,2)</f>
        <v>0.87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11180</v>
      </c>
      <c r="F30" s="10"/>
      <c r="G30" s="10">
        <f t="shared" si="0"/>
        <v>11180</v>
      </c>
      <c r="H30" s="16">
        <f t="shared" si="1"/>
        <v>3.1</v>
      </c>
      <c r="I30" s="15">
        <f t="shared" si="2"/>
        <v>1.0999999999999999E-2</v>
      </c>
      <c r="J30" s="15">
        <f>ROUND(G30/5363-1,2)</f>
        <v>1.08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76120</v>
      </c>
      <c r="F31" s="10"/>
      <c r="G31" s="10">
        <f t="shared" si="0"/>
        <v>76120</v>
      </c>
      <c r="H31" s="16">
        <f t="shared" si="1"/>
        <v>21.08</v>
      </c>
      <c r="I31" s="15">
        <f t="shared" si="2"/>
        <v>7.4999999999999997E-2</v>
      </c>
      <c r="J31" s="15">
        <f>ROUND(G31/36700-1,2)</f>
        <v>1.07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4940</v>
      </c>
      <c r="F32" s="10"/>
      <c r="G32" s="10">
        <f t="shared" si="0"/>
        <v>4940</v>
      </c>
      <c r="H32" s="16">
        <f t="shared" si="1"/>
        <v>1.37</v>
      </c>
      <c r="I32" s="15">
        <f t="shared" si="2"/>
        <v>5.0000000000000001E-3</v>
      </c>
      <c r="J32" s="15">
        <f>ROUND(G32/8945-1,2)</f>
        <v>-0.45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19560</v>
      </c>
      <c r="F33" s="10"/>
      <c r="G33" s="10">
        <f t="shared" si="0"/>
        <v>19560</v>
      </c>
      <c r="H33" s="16">
        <f t="shared" si="1"/>
        <v>5.42</v>
      </c>
      <c r="I33" s="15">
        <f t="shared" si="2"/>
        <v>1.9E-2</v>
      </c>
      <c r="J33" s="15">
        <f>ROUND(G33/17310-1,2)</f>
        <v>0.13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99960</v>
      </c>
      <c r="F34" s="10"/>
      <c r="G34" s="10">
        <f t="shared" si="0"/>
        <v>99960</v>
      </c>
      <c r="H34" s="16">
        <f t="shared" si="1"/>
        <v>27.68</v>
      </c>
      <c r="I34" s="15">
        <f t="shared" si="2"/>
        <v>9.8000000000000004E-2</v>
      </c>
      <c r="J34" s="15">
        <f>ROUND(G34/50770-1,2)</f>
        <v>0.97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ROUND(G35/4395-1,2)</f>
        <v>-1</v>
      </c>
    </row>
    <row r="36" spans="1:10" x14ac:dyDescent="0.25">
      <c r="A36" s="1" t="s">
        <v>44</v>
      </c>
      <c r="B36" s="1" t="s">
        <v>45</v>
      </c>
      <c r="C36" s="10">
        <v>129300</v>
      </c>
      <c r="D36" s="10"/>
      <c r="E36" s="10"/>
      <c r="F36" s="10"/>
      <c r="G36" s="10">
        <f t="shared" si="0"/>
        <v>129300</v>
      </c>
      <c r="H36" s="16">
        <f t="shared" si="1"/>
        <v>35.81</v>
      </c>
      <c r="I36" s="15">
        <f t="shared" si="2"/>
        <v>0.127</v>
      </c>
      <c r="J36" s="15">
        <f>ROUND(G36/123600-1,2)</f>
        <v>0.05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13690</v>
      </c>
      <c r="G37" s="10">
        <f t="shared" si="0"/>
        <v>13690</v>
      </c>
      <c r="H37" s="16">
        <f t="shared" si="1"/>
        <v>3.79</v>
      </c>
      <c r="I37" s="15">
        <f t="shared" si="2"/>
        <v>1.2999999999999999E-2</v>
      </c>
      <c r="J37" s="15">
        <f>ROUND(G37/8820-1,2)</f>
        <v>0.55000000000000004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61700</v>
      </c>
      <c r="F38" s="10"/>
      <c r="G38" s="10">
        <f t="shared" si="0"/>
        <v>61700</v>
      </c>
      <c r="H38" s="16">
        <f t="shared" si="1"/>
        <v>17.09</v>
      </c>
      <c r="I38" s="15">
        <f t="shared" si="2"/>
        <v>0.06</v>
      </c>
      <c r="J38" s="15">
        <f>ROUND(G38/33080-1,2)</f>
        <v>0.87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86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3" t="s">
        <v>12</v>
      </c>
      <c r="B43" s="23"/>
      <c r="C43" s="11">
        <f t="shared" ref="C43:H43" si="3">SUM(C8:C42)</f>
        <v>583330</v>
      </c>
      <c r="D43" s="11">
        <f t="shared" si="3"/>
        <v>181</v>
      </c>
      <c r="E43" s="11">
        <f t="shared" si="3"/>
        <v>422500</v>
      </c>
      <c r="F43" s="11">
        <f t="shared" si="3"/>
        <v>15390</v>
      </c>
      <c r="G43" s="11">
        <f t="shared" si="3"/>
        <v>1021401</v>
      </c>
      <c r="H43" s="14">
        <f t="shared" si="3"/>
        <v>282.89</v>
      </c>
      <c r="I43" s="17"/>
      <c r="J43" s="17"/>
    </row>
    <row r="44" spans="1:10" x14ac:dyDescent="0.25">
      <c r="A44" s="23" t="s">
        <v>14</v>
      </c>
      <c r="B44" s="23"/>
      <c r="C44" s="12">
        <f>ROUND(C43/G43,2)</f>
        <v>0.56999999999999995</v>
      </c>
      <c r="D44" s="12">
        <f>ROUND(D43/G43,2)</f>
        <v>0</v>
      </c>
      <c r="E44" s="12">
        <f>ROUND(E43/G43,2)</f>
        <v>0.41</v>
      </c>
      <c r="F44" s="12">
        <f>ROUND(F43/G43,2)</f>
        <v>0.02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53</v>
      </c>
      <c r="B49" s="23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454030</v>
      </c>
      <c r="D50" s="10">
        <v>181</v>
      </c>
      <c r="E50" s="10">
        <v>360800</v>
      </c>
      <c r="F50" s="10">
        <v>1700</v>
      </c>
      <c r="G50" s="10">
        <f>SUM(C50:F50)</f>
        <v>816711</v>
      </c>
      <c r="H50" s="16">
        <f>ROUND(G50/3611,2)</f>
        <v>226.17</v>
      </c>
      <c r="I50" s="9"/>
      <c r="J50" s="9"/>
    </row>
    <row r="51" spans="1:10" x14ac:dyDescent="0.25">
      <c r="A51" s="22" t="s">
        <v>55</v>
      </c>
      <c r="B51" s="22"/>
      <c r="C51" s="10">
        <v>129300</v>
      </c>
      <c r="D51" s="10">
        <v>0</v>
      </c>
      <c r="E51" s="10">
        <v>61700</v>
      </c>
      <c r="F51" s="10">
        <v>13690</v>
      </c>
      <c r="G51" s="10">
        <f>SUM(C51:F51)</f>
        <v>204690</v>
      </c>
      <c r="H51" s="16">
        <f>ROUND(G51/3611,2)</f>
        <v>56.69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ROUND(G52/3611,2)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57</v>
      </c>
      <c r="B57" s="23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ROUND(0.8563, 4)</f>
        <v>0.85629999999999995</v>
      </c>
      <c r="D58" s="15">
        <f>ROUND(0.8455, 4)</f>
        <v>0.84550000000000003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4" t="s">
        <v>64</v>
      </c>
      <c r="J58" s="24" t="s">
        <v>65</v>
      </c>
    </row>
    <row r="59" spans="1:10" x14ac:dyDescent="0.25">
      <c r="A59" s="22" t="s">
        <v>66</v>
      </c>
      <c r="B59" s="22"/>
      <c r="C59" s="15">
        <f>ROUND(0.8428, 4)</f>
        <v>0.84279999999999999</v>
      </c>
      <c r="D59" s="15">
        <f>ROUND(0.8324, 4)</f>
        <v>0.83240000000000003</v>
      </c>
      <c r="E59" s="15">
        <f>ROUND(0.7608, 4)</f>
        <v>0.76080000000000003</v>
      </c>
      <c r="F59" s="8"/>
      <c r="G59" s="14" t="s">
        <v>67</v>
      </c>
      <c r="H59" s="27"/>
      <c r="I59" s="25"/>
      <c r="J59" s="25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68</v>
      </c>
      <c r="B63" s="23"/>
      <c r="C63" s="14" t="s">
        <v>2</v>
      </c>
      <c r="D63" s="14" t="s">
        <v>191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35.81</v>
      </c>
      <c r="D64" s="16">
        <v>42.03</v>
      </c>
      <c r="E64" s="16">
        <v>89.58</v>
      </c>
      <c r="F64" s="16">
        <v>53.73</v>
      </c>
      <c r="G64" s="16">
        <f>12/9*C64</f>
        <v>47.74666666666667</v>
      </c>
      <c r="H64" s="8"/>
      <c r="I64" s="9"/>
      <c r="J64" s="9"/>
    </row>
    <row r="65" spans="1:10" x14ac:dyDescent="0.25">
      <c r="A65" s="22" t="s">
        <v>74</v>
      </c>
      <c r="B65" s="22"/>
      <c r="C65" s="16">
        <v>41.47</v>
      </c>
      <c r="D65" s="16">
        <v>52.86</v>
      </c>
      <c r="E65" s="16">
        <v>60.32</v>
      </c>
      <c r="F65" s="16">
        <v>61.62</v>
      </c>
      <c r="G65" s="16">
        <f>12/9*C65</f>
        <v>55.293333333333329</v>
      </c>
      <c r="H65" s="8"/>
      <c r="I65" s="9"/>
      <c r="J65" s="9"/>
    </row>
    <row r="66" spans="1:10" x14ac:dyDescent="0.25">
      <c r="A66" s="22" t="s">
        <v>75</v>
      </c>
      <c r="B66" s="22"/>
      <c r="C66" s="16">
        <v>249.23</v>
      </c>
      <c r="D66" s="16">
        <v>270.35000000000002</v>
      </c>
      <c r="E66" s="16">
        <v>282.8</v>
      </c>
      <c r="F66" s="16">
        <v>273.33</v>
      </c>
      <c r="G66" s="16">
        <f>12/9*C66</f>
        <v>332.30666666666662</v>
      </c>
      <c r="H66" s="8"/>
      <c r="I66" s="9"/>
      <c r="J66" s="9"/>
    </row>
    <row r="67" spans="1:10" x14ac:dyDescent="0.25">
      <c r="A67" s="22" t="s">
        <v>76</v>
      </c>
      <c r="B67" s="22"/>
      <c r="C67" s="16">
        <v>56.69</v>
      </c>
      <c r="D67" s="16">
        <v>68.02</v>
      </c>
      <c r="E67" s="16">
        <v>112.72</v>
      </c>
      <c r="F67" s="16">
        <v>76.52</v>
      </c>
      <c r="G67" s="16">
        <f>12/9*C67</f>
        <v>75.586666666666659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8"/>
    </row>
    <row r="71" spans="1:10" x14ac:dyDescent="0.25">
      <c r="A71" s="3" t="s">
        <v>77</v>
      </c>
      <c r="B71" s="1" t="s">
        <v>192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2"/>
  <dimension ref="A2:J72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600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15310</v>
      </c>
      <c r="D9" s="10"/>
      <c r="E9" s="10"/>
      <c r="F9" s="10"/>
      <c r="G9" s="10">
        <f t="shared" ref="G9:G37" si="0">SUM(C9:F9)</f>
        <v>15310</v>
      </c>
      <c r="H9" s="16">
        <f t="shared" ref="H9:H37" si="1">ROUND(G9/600,2)</f>
        <v>25.52</v>
      </c>
      <c r="I9" s="15">
        <f t="shared" ref="I9:I37" si="2">ROUND(G9/$G$38,3)</f>
        <v>0.09</v>
      </c>
      <c r="J9" s="15">
        <f>ROUND(G9/14430-1,2)</f>
        <v>0.06</v>
      </c>
    </row>
    <row r="10" spans="1:10" x14ac:dyDescent="0.25">
      <c r="A10" s="1" t="s">
        <v>16</v>
      </c>
      <c r="B10" s="1" t="s">
        <v>20</v>
      </c>
      <c r="C10" s="10">
        <v>22350</v>
      </c>
      <c r="D10" s="10"/>
      <c r="E10" s="10"/>
      <c r="F10" s="10"/>
      <c r="G10" s="10">
        <f t="shared" si="0"/>
        <v>22350</v>
      </c>
      <c r="H10" s="16">
        <f t="shared" si="1"/>
        <v>37.25</v>
      </c>
      <c r="I10" s="15">
        <f t="shared" si="2"/>
        <v>0.13200000000000001</v>
      </c>
      <c r="J10" s="15">
        <f>ROUND(G10/23440-1,2)</f>
        <v>-0.05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60</v>
      </c>
      <c r="F11" s="10"/>
      <c r="G11" s="10">
        <f t="shared" si="0"/>
        <v>60</v>
      </c>
      <c r="H11" s="16">
        <f t="shared" si="1"/>
        <v>0.1</v>
      </c>
      <c r="I11" s="15">
        <f t="shared" si="2"/>
        <v>0</v>
      </c>
      <c r="J11" s="15">
        <f>ROUND(G11/91-1,2)</f>
        <v>-0.34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14460</v>
      </c>
      <c r="F12" s="10"/>
      <c r="G12" s="10">
        <f t="shared" si="0"/>
        <v>14460</v>
      </c>
      <c r="H12" s="16">
        <f t="shared" si="1"/>
        <v>24.1</v>
      </c>
      <c r="I12" s="15">
        <f t="shared" si="2"/>
        <v>8.5000000000000006E-2</v>
      </c>
      <c r="J12" s="15">
        <f>ROUND(G12/7380-1,2)</f>
        <v>0.96</v>
      </c>
    </row>
    <row r="13" spans="1:10" x14ac:dyDescent="0.25">
      <c r="A13" s="1" t="s">
        <v>16</v>
      </c>
      <c r="B13" s="1" t="s">
        <v>24</v>
      </c>
      <c r="C13" s="10">
        <v>18620</v>
      </c>
      <c r="D13" s="10"/>
      <c r="E13" s="10"/>
      <c r="F13" s="10"/>
      <c r="G13" s="10">
        <f t="shared" si="0"/>
        <v>18620</v>
      </c>
      <c r="H13" s="16">
        <f t="shared" si="1"/>
        <v>31.03</v>
      </c>
      <c r="I13" s="15">
        <f t="shared" si="2"/>
        <v>0.11</v>
      </c>
      <c r="J13" s="15">
        <f>ROUND(G13/18380-1,2)</f>
        <v>0.01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950</v>
      </c>
      <c r="F14" s="10"/>
      <c r="G14" s="10">
        <f t="shared" si="0"/>
        <v>950</v>
      </c>
      <c r="H14" s="16">
        <f t="shared" si="1"/>
        <v>1.58</v>
      </c>
      <c r="I14" s="15">
        <f t="shared" si="2"/>
        <v>6.0000000000000001E-3</v>
      </c>
      <c r="J14" s="15">
        <f>ROUND(G14/1550-1,2)</f>
        <v>-0.39</v>
      </c>
    </row>
    <row r="15" spans="1:10" x14ac:dyDescent="0.25">
      <c r="A15" s="1" t="s">
        <v>16</v>
      </c>
      <c r="B15" s="1" t="s">
        <v>26</v>
      </c>
      <c r="C15" s="10">
        <v>20280</v>
      </c>
      <c r="D15" s="10"/>
      <c r="E15" s="10"/>
      <c r="F15" s="10"/>
      <c r="G15" s="10">
        <f t="shared" si="0"/>
        <v>20280</v>
      </c>
      <c r="H15" s="16">
        <f t="shared" si="1"/>
        <v>33.799999999999997</v>
      </c>
      <c r="I15" s="15">
        <f t="shared" si="2"/>
        <v>0.12</v>
      </c>
      <c r="J15" s="15">
        <f>ROUND(G15/20220-1,2)</f>
        <v>0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579</v>
      </c>
      <c r="F16" s="10"/>
      <c r="G16" s="10">
        <f t="shared" si="0"/>
        <v>579</v>
      </c>
      <c r="H16" s="16">
        <f t="shared" si="1"/>
        <v>0.97</v>
      </c>
      <c r="I16" s="15">
        <f t="shared" si="2"/>
        <v>3.0000000000000001E-3</v>
      </c>
      <c r="J16" s="15">
        <f>ROUND(G16/822-1,2)</f>
        <v>-0.3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265</v>
      </c>
      <c r="F17" s="10"/>
      <c r="G17" s="10">
        <f t="shared" si="0"/>
        <v>265</v>
      </c>
      <c r="H17" s="16">
        <f t="shared" si="1"/>
        <v>0.44</v>
      </c>
      <c r="I17" s="15">
        <f t="shared" si="2"/>
        <v>2E-3</v>
      </c>
      <c r="J17" s="15">
        <f>ROUND(G17/400-1,2)</f>
        <v>-0.34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1030</v>
      </c>
      <c r="F18" s="10"/>
      <c r="G18" s="10">
        <f t="shared" si="0"/>
        <v>1030</v>
      </c>
      <c r="H18" s="16">
        <f t="shared" si="1"/>
        <v>1.72</v>
      </c>
      <c r="I18" s="15">
        <f t="shared" si="2"/>
        <v>6.0000000000000001E-3</v>
      </c>
      <c r="J18" s="15">
        <f>ROUND(G18/1680-1,2)</f>
        <v>-0.39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0.33</v>
      </c>
      <c r="I19" s="15">
        <f t="shared" si="2"/>
        <v>1E-3</v>
      </c>
      <c r="J19" s="15">
        <f>ROUND(G19/180-1,2)</f>
        <v>0.11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600</v>
      </c>
      <c r="F20" s="10"/>
      <c r="G20" s="10">
        <f t="shared" si="0"/>
        <v>600</v>
      </c>
      <c r="H20" s="16">
        <f t="shared" si="1"/>
        <v>1</v>
      </c>
      <c r="I20" s="15">
        <f t="shared" si="2"/>
        <v>4.0000000000000001E-3</v>
      </c>
      <c r="J20" s="15">
        <f>ROUND(G20/605-1,2)</f>
        <v>-0.01</v>
      </c>
    </row>
    <row r="21" spans="1:10" x14ac:dyDescent="0.25">
      <c r="A21" s="1" t="s">
        <v>16</v>
      </c>
      <c r="B21" s="1" t="s">
        <v>33</v>
      </c>
      <c r="C21" s="10"/>
      <c r="D21" s="10">
        <v>38</v>
      </c>
      <c r="E21" s="10">
        <v>15</v>
      </c>
      <c r="F21" s="10"/>
      <c r="G21" s="10">
        <f t="shared" si="0"/>
        <v>53</v>
      </c>
      <c r="H21" s="16">
        <f t="shared" si="1"/>
        <v>0.09</v>
      </c>
      <c r="I21" s="15">
        <f t="shared" si="2"/>
        <v>0</v>
      </c>
      <c r="J21" s="15">
        <f>ROUND(G21/50-1,2)</f>
        <v>0.06</v>
      </c>
    </row>
    <row r="22" spans="1:10" x14ac:dyDescent="0.25">
      <c r="A22" s="1" t="s">
        <v>16</v>
      </c>
      <c r="B22" s="1" t="s">
        <v>35</v>
      </c>
      <c r="C22" s="10"/>
      <c r="D22" s="10"/>
      <c r="E22" s="10">
        <v>160</v>
      </c>
      <c r="F22" s="10"/>
      <c r="G22" s="10">
        <f t="shared" si="0"/>
        <v>160</v>
      </c>
      <c r="H22" s="16">
        <f t="shared" si="1"/>
        <v>0.27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37</v>
      </c>
      <c r="C23" s="10"/>
      <c r="D23" s="10"/>
      <c r="E23" s="10">
        <v>750</v>
      </c>
      <c r="F23" s="10"/>
      <c r="G23" s="10">
        <f t="shared" si="0"/>
        <v>750</v>
      </c>
      <c r="H23" s="16">
        <f t="shared" si="1"/>
        <v>1.25</v>
      </c>
      <c r="I23" s="15">
        <f t="shared" si="2"/>
        <v>4.0000000000000001E-3</v>
      </c>
      <c r="J23" s="15">
        <f>ROUND(G23/1640-1,2)</f>
        <v>-0.54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13800</v>
      </c>
      <c r="F24" s="10"/>
      <c r="G24" s="10">
        <f t="shared" si="0"/>
        <v>13800</v>
      </c>
      <c r="H24" s="16">
        <f t="shared" si="1"/>
        <v>23</v>
      </c>
      <c r="I24" s="15">
        <f t="shared" si="2"/>
        <v>8.1000000000000003E-2</v>
      </c>
      <c r="J24" s="15">
        <f>ROUND(G24/11220-1,2)</f>
        <v>0.23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990</v>
      </c>
      <c r="F25" s="10"/>
      <c r="G25" s="10">
        <f t="shared" si="0"/>
        <v>990</v>
      </c>
      <c r="H25" s="16">
        <f t="shared" si="1"/>
        <v>1.65</v>
      </c>
      <c r="I25" s="15">
        <f t="shared" si="2"/>
        <v>6.0000000000000001E-3</v>
      </c>
      <c r="J25" s="15">
        <f>ROUND(G25/2600-1,2)</f>
        <v>-0.62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5460</v>
      </c>
      <c r="F26" s="10"/>
      <c r="G26" s="10">
        <f t="shared" si="0"/>
        <v>5460</v>
      </c>
      <c r="H26" s="16">
        <f t="shared" si="1"/>
        <v>9.1</v>
      </c>
      <c r="I26" s="15">
        <f t="shared" si="2"/>
        <v>3.2000000000000001E-2</v>
      </c>
      <c r="J26" s="15">
        <f>ROUND(G26/5230-1,2)</f>
        <v>0.04</v>
      </c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ROUND(G27/900-1,2)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ROUND(G28/700-1,2)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95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ROUND(G32/800-1,2)</f>
        <v>-1</v>
      </c>
    </row>
    <row r="33" spans="1:10" x14ac:dyDescent="0.25">
      <c r="A33" s="1" t="s">
        <v>16</v>
      </c>
      <c r="B33" s="1" t="s">
        <v>194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39750</v>
      </c>
      <c r="D35" s="10"/>
      <c r="E35" s="10"/>
      <c r="F35" s="10"/>
      <c r="G35" s="10">
        <f t="shared" si="0"/>
        <v>39750</v>
      </c>
      <c r="H35" s="16">
        <f t="shared" si="1"/>
        <v>66.25</v>
      </c>
      <c r="I35" s="15">
        <f t="shared" si="2"/>
        <v>0.23499999999999999</v>
      </c>
      <c r="J35" s="15">
        <f>ROUND(G35/39915-1,2)</f>
        <v>0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13780</v>
      </c>
      <c r="F36" s="10"/>
      <c r="G36" s="10">
        <f t="shared" si="0"/>
        <v>13780</v>
      </c>
      <c r="H36" s="16">
        <f t="shared" si="1"/>
        <v>22.97</v>
      </c>
      <c r="I36" s="15">
        <f t="shared" si="2"/>
        <v>8.1000000000000003E-2</v>
      </c>
      <c r="J36" s="15">
        <f>ROUND(G36/5360-1,2)</f>
        <v>1.57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116310</v>
      </c>
      <c r="D38" s="11">
        <f t="shared" si="3"/>
        <v>38</v>
      </c>
      <c r="E38" s="11">
        <f t="shared" si="3"/>
        <v>53099</v>
      </c>
      <c r="F38" s="11">
        <f t="shared" si="3"/>
        <v>0</v>
      </c>
      <c r="G38" s="11">
        <f t="shared" si="3"/>
        <v>169447</v>
      </c>
      <c r="H38" s="14">
        <f t="shared" si="3"/>
        <v>282.42000000000007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0.69</v>
      </c>
      <c r="D39" s="12">
        <f>ROUND(D38/G38,2)</f>
        <v>0</v>
      </c>
      <c r="E39" s="12">
        <f>ROUND(E38/G38,2)</f>
        <v>0.31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76560</v>
      </c>
      <c r="D45" s="10">
        <v>38</v>
      </c>
      <c r="E45" s="10">
        <v>39319</v>
      </c>
      <c r="F45" s="10">
        <v>0</v>
      </c>
      <c r="G45" s="10">
        <f>SUM(C45:F45)</f>
        <v>115917</v>
      </c>
      <c r="H45" s="16">
        <f>ROUND(G45/600,2)</f>
        <v>193.2</v>
      </c>
      <c r="I45" s="9"/>
      <c r="J45" s="9"/>
    </row>
    <row r="46" spans="1:10" x14ac:dyDescent="0.25">
      <c r="A46" s="22" t="s">
        <v>55</v>
      </c>
      <c r="B46" s="22"/>
      <c r="C46" s="10">
        <v>39750</v>
      </c>
      <c r="D46" s="10">
        <v>0</v>
      </c>
      <c r="E46" s="10">
        <v>13780</v>
      </c>
      <c r="F46" s="10">
        <v>0</v>
      </c>
      <c r="G46" s="10">
        <f>SUM(C46:F46)</f>
        <v>53530</v>
      </c>
      <c r="H46" s="16">
        <f>ROUND(G46/600,2)</f>
        <v>89.22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ROUND(G47/600,2)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ROUND(0.734, 4)</f>
        <v>0.73399999999999999</v>
      </c>
      <c r="D53" s="15">
        <f>ROUND(0.7388, 4)</f>
        <v>0.73880000000000001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ROUND(0.7213, 4)</f>
        <v>0.72130000000000005</v>
      </c>
      <c r="D54" s="15">
        <f>ROUND(0.7263, 4)</f>
        <v>0.72629999999999995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195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66.25</v>
      </c>
      <c r="D59" s="16">
        <v>87.37</v>
      </c>
      <c r="E59" s="16">
        <v>89.58</v>
      </c>
      <c r="F59" s="16">
        <v>53.73</v>
      </c>
      <c r="G59" s="16">
        <f>12/9*C59</f>
        <v>88.333333333333329</v>
      </c>
      <c r="H59" s="8"/>
      <c r="I59" s="9"/>
      <c r="J59" s="9"/>
    </row>
    <row r="60" spans="1:10" x14ac:dyDescent="0.25">
      <c r="A60" s="22" t="s">
        <v>74</v>
      </c>
      <c r="B60" s="22"/>
      <c r="C60" s="16">
        <v>33.799999999999997</v>
      </c>
      <c r="D60" s="16">
        <v>40.86</v>
      </c>
      <c r="E60" s="16">
        <v>60.32</v>
      </c>
      <c r="F60" s="16">
        <v>61.62</v>
      </c>
      <c r="G60" s="16">
        <f>12/9*C60</f>
        <v>45.066666666666663</v>
      </c>
      <c r="H60" s="8"/>
      <c r="I60" s="9"/>
      <c r="J60" s="9"/>
    </row>
    <row r="61" spans="1:10" x14ac:dyDescent="0.25">
      <c r="A61" s="22" t="s">
        <v>75</v>
      </c>
      <c r="B61" s="22"/>
      <c r="C61" s="16">
        <v>193.19</v>
      </c>
      <c r="D61" s="16">
        <v>244.61</v>
      </c>
      <c r="E61" s="16">
        <v>282.8</v>
      </c>
      <c r="F61" s="16">
        <v>273.33</v>
      </c>
      <c r="G61" s="16">
        <f>12/9*C61</f>
        <v>257.58666666666664</v>
      </c>
      <c r="H61" s="8"/>
      <c r="I61" s="9"/>
      <c r="J61" s="9"/>
    </row>
    <row r="62" spans="1:10" x14ac:dyDescent="0.25">
      <c r="A62" s="22" t="s">
        <v>76</v>
      </c>
      <c r="B62" s="22"/>
      <c r="C62" s="16">
        <v>89.22</v>
      </c>
      <c r="D62" s="16">
        <v>106.8</v>
      </c>
      <c r="E62" s="16">
        <v>112.72</v>
      </c>
      <c r="F62" s="16">
        <v>76.52</v>
      </c>
      <c r="G62" s="16">
        <f>12/9*C62</f>
        <v>118.96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196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3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112" bestFit="1" customWidth="1"/>
    <col min="3" max="3" width="14" bestFit="1" customWidth="1"/>
    <col min="4" max="4" width="34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197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2253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74</v>
      </c>
      <c r="F9" s="10"/>
      <c r="G9" s="10">
        <f t="shared" ref="G9:G40" si="0">SUM(C9:F9)</f>
        <v>74</v>
      </c>
      <c r="H9" s="16">
        <f t="shared" ref="H9:H40" si="1">ROUND(G9/2253,2)</f>
        <v>0.03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19</v>
      </c>
      <c r="C10" s="10">
        <v>46590</v>
      </c>
      <c r="D10" s="10"/>
      <c r="E10" s="10">
        <v>2840</v>
      </c>
      <c r="F10" s="10"/>
      <c r="G10" s="10">
        <f t="shared" si="0"/>
        <v>49430</v>
      </c>
      <c r="H10" s="16">
        <f t="shared" si="1"/>
        <v>21.94</v>
      </c>
      <c r="I10" s="15">
        <f t="shared" si="2"/>
        <v>5.7000000000000002E-2</v>
      </c>
      <c r="J10" s="15">
        <f>ROUND(G10/48125-1,2)</f>
        <v>0.03</v>
      </c>
    </row>
    <row r="11" spans="1:10" x14ac:dyDescent="0.25">
      <c r="A11" s="1" t="s">
        <v>16</v>
      </c>
      <c r="B11" s="1" t="s">
        <v>20</v>
      </c>
      <c r="C11" s="10">
        <v>67280</v>
      </c>
      <c r="D11" s="10"/>
      <c r="E11" s="10"/>
      <c r="F11" s="10"/>
      <c r="G11" s="10">
        <f t="shared" si="0"/>
        <v>67280</v>
      </c>
      <c r="H11" s="16">
        <f t="shared" si="1"/>
        <v>29.86</v>
      </c>
      <c r="I11" s="15">
        <f t="shared" si="2"/>
        <v>7.6999999999999999E-2</v>
      </c>
      <c r="J11" s="15">
        <f>ROUND(G11/64800-1,2)</f>
        <v>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221</v>
      </c>
      <c r="F12" s="10"/>
      <c r="G12" s="10">
        <f t="shared" si="0"/>
        <v>221</v>
      </c>
      <c r="H12" s="16">
        <f t="shared" si="1"/>
        <v>0.1</v>
      </c>
      <c r="I12" s="15">
        <f t="shared" si="2"/>
        <v>0</v>
      </c>
      <c r="J12" s="15">
        <f>ROUND(G12/190-1,2)</f>
        <v>0.16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31640</v>
      </c>
      <c r="F13" s="10"/>
      <c r="G13" s="10">
        <f t="shared" si="0"/>
        <v>31640</v>
      </c>
      <c r="H13" s="16">
        <f t="shared" si="1"/>
        <v>14.04</v>
      </c>
      <c r="I13" s="15">
        <f t="shared" si="2"/>
        <v>3.5999999999999997E-2</v>
      </c>
      <c r="J13" s="15">
        <f>ROUND(G13/21180-1,2)</f>
        <v>0.49</v>
      </c>
    </row>
    <row r="14" spans="1:10" x14ac:dyDescent="0.25">
      <c r="A14" s="1" t="s">
        <v>16</v>
      </c>
      <c r="B14" s="1" t="s">
        <v>24</v>
      </c>
      <c r="C14" s="10">
        <v>67540</v>
      </c>
      <c r="D14" s="10"/>
      <c r="E14" s="10">
        <v>14420</v>
      </c>
      <c r="F14" s="10"/>
      <c r="G14" s="10">
        <f t="shared" si="0"/>
        <v>81960</v>
      </c>
      <c r="H14" s="16">
        <f t="shared" si="1"/>
        <v>36.380000000000003</v>
      </c>
      <c r="I14" s="15">
        <f t="shared" si="2"/>
        <v>9.4E-2</v>
      </c>
      <c r="J14" s="15">
        <f>ROUND(G14/78340-1,2)</f>
        <v>0.05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2565</v>
      </c>
      <c r="F15" s="10"/>
      <c r="G15" s="10">
        <f t="shared" si="0"/>
        <v>2565</v>
      </c>
      <c r="H15" s="16">
        <f t="shared" si="1"/>
        <v>1.1399999999999999</v>
      </c>
      <c r="I15" s="15">
        <f t="shared" si="2"/>
        <v>3.0000000000000001E-3</v>
      </c>
      <c r="J15" s="15">
        <f>ROUND(G15/2750-1,2)</f>
        <v>-7.0000000000000007E-2</v>
      </c>
    </row>
    <row r="16" spans="1:10" x14ac:dyDescent="0.25">
      <c r="A16" s="1" t="s">
        <v>16</v>
      </c>
      <c r="B16" s="1" t="s">
        <v>26</v>
      </c>
      <c r="C16" s="10"/>
      <c r="D16" s="10">
        <v>21140</v>
      </c>
      <c r="E16" s="10"/>
      <c r="F16" s="10">
        <v>720</v>
      </c>
      <c r="G16" s="10">
        <f t="shared" si="0"/>
        <v>21860</v>
      </c>
      <c r="H16" s="16">
        <f t="shared" si="1"/>
        <v>9.6999999999999993</v>
      </c>
      <c r="I16" s="15">
        <f t="shared" si="2"/>
        <v>2.5000000000000001E-2</v>
      </c>
      <c r="J16" s="15">
        <f>ROUND(G16/18410-1,2)</f>
        <v>0.19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340</v>
      </c>
      <c r="F17" s="10"/>
      <c r="G17" s="10">
        <f t="shared" si="0"/>
        <v>340</v>
      </c>
      <c r="H17" s="16">
        <f t="shared" si="1"/>
        <v>0.15</v>
      </c>
      <c r="I17" s="15">
        <f t="shared" si="2"/>
        <v>0</v>
      </c>
      <c r="J17" s="15">
        <f>ROUND(G17/313-1,2)</f>
        <v>0.09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241</v>
      </c>
      <c r="F18" s="10"/>
      <c r="G18" s="10">
        <f t="shared" si="0"/>
        <v>241</v>
      </c>
      <c r="H18" s="16">
        <f t="shared" si="1"/>
        <v>0.11</v>
      </c>
      <c r="I18" s="15">
        <f t="shared" si="2"/>
        <v>0</v>
      </c>
      <c r="J18" s="15">
        <f>ROUND(G18/283-1,2)</f>
        <v>-0.15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3120</v>
      </c>
      <c r="F19" s="10"/>
      <c r="G19" s="10">
        <f t="shared" si="0"/>
        <v>3120</v>
      </c>
      <c r="H19" s="16">
        <f t="shared" si="1"/>
        <v>1.38</v>
      </c>
      <c r="I19" s="15">
        <f t="shared" si="2"/>
        <v>4.0000000000000001E-3</v>
      </c>
      <c r="J19" s="15">
        <f>ROUND(G19/2160-1,2)</f>
        <v>0.44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320</v>
      </c>
      <c r="F20" s="10"/>
      <c r="G20" s="10">
        <f t="shared" si="0"/>
        <v>320</v>
      </c>
      <c r="H20" s="16">
        <f t="shared" si="1"/>
        <v>0.14000000000000001</v>
      </c>
      <c r="I20" s="15">
        <f t="shared" si="2"/>
        <v>0</v>
      </c>
      <c r="J20" s="15">
        <f>ROUND(G20/660-1,2)</f>
        <v>-0.52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560</v>
      </c>
      <c r="F21" s="10"/>
      <c r="G21" s="10">
        <f t="shared" si="0"/>
        <v>560</v>
      </c>
      <c r="H21" s="16">
        <f t="shared" si="1"/>
        <v>0.25</v>
      </c>
      <c r="I21" s="15">
        <f t="shared" si="2"/>
        <v>1E-3</v>
      </c>
      <c r="J21" s="15">
        <f>ROUND(G21/550-1,2)</f>
        <v>0.02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1890</v>
      </c>
      <c r="F22" s="10"/>
      <c r="G22" s="10">
        <f t="shared" si="0"/>
        <v>1890</v>
      </c>
      <c r="H22" s="16">
        <f t="shared" si="1"/>
        <v>0.84</v>
      </c>
      <c r="I22" s="15">
        <f t="shared" si="2"/>
        <v>2E-3</v>
      </c>
      <c r="J22" s="15">
        <f>ROUND(G22/1085-1,2)</f>
        <v>0.74</v>
      </c>
    </row>
    <row r="23" spans="1:10" x14ac:dyDescent="0.25">
      <c r="A23" s="1" t="s">
        <v>16</v>
      </c>
      <c r="B23" s="1" t="s">
        <v>33</v>
      </c>
      <c r="C23" s="10"/>
      <c r="D23" s="10">
        <v>127</v>
      </c>
      <c r="E23" s="10">
        <v>71</v>
      </c>
      <c r="F23" s="10"/>
      <c r="G23" s="10">
        <f t="shared" si="0"/>
        <v>198</v>
      </c>
      <c r="H23" s="16">
        <f t="shared" si="1"/>
        <v>0.09</v>
      </c>
      <c r="I23" s="15">
        <f t="shared" si="2"/>
        <v>0</v>
      </c>
      <c r="J23" s="15">
        <f>ROUND(G23/182-1,2)</f>
        <v>0.09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730</v>
      </c>
      <c r="F24" s="10"/>
      <c r="G24" s="10">
        <f t="shared" si="0"/>
        <v>730</v>
      </c>
      <c r="H24" s="16">
        <f t="shared" si="1"/>
        <v>0.32</v>
      </c>
      <c r="I24" s="15">
        <f t="shared" si="2"/>
        <v>1E-3</v>
      </c>
      <c r="J24" s="15">
        <f>ROUND(G24/1465-1,2)</f>
        <v>-0.5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3880</v>
      </c>
      <c r="F25" s="10"/>
      <c r="G25" s="10">
        <f t="shared" si="0"/>
        <v>3880</v>
      </c>
      <c r="H25" s="16">
        <f t="shared" si="1"/>
        <v>1.72</v>
      </c>
      <c r="I25" s="15">
        <f t="shared" si="2"/>
        <v>4.0000000000000001E-3</v>
      </c>
      <c r="J25" s="15">
        <f>ROUND(G25/1090-1,2)</f>
        <v>2.56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44930</v>
      </c>
      <c r="F26" s="10"/>
      <c r="G26" s="10">
        <f t="shared" si="0"/>
        <v>44930</v>
      </c>
      <c r="H26" s="16">
        <f t="shared" si="1"/>
        <v>19.940000000000001</v>
      </c>
      <c r="I26" s="15">
        <f t="shared" si="2"/>
        <v>5.1999999999999998E-2</v>
      </c>
      <c r="J26" s="15">
        <f>ROUND(G26/41225-1,2)</f>
        <v>0.09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7470</v>
      </c>
      <c r="F27" s="10"/>
      <c r="G27" s="10">
        <f t="shared" si="0"/>
        <v>7470</v>
      </c>
      <c r="H27" s="16">
        <f t="shared" si="1"/>
        <v>3.32</v>
      </c>
      <c r="I27" s="15">
        <f t="shared" si="2"/>
        <v>8.9999999999999993E-3</v>
      </c>
      <c r="J27" s="15">
        <f>ROUND(G27/3200-1,2)</f>
        <v>1.33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17630</v>
      </c>
      <c r="F28" s="10"/>
      <c r="G28" s="10">
        <f t="shared" si="0"/>
        <v>17630</v>
      </c>
      <c r="H28" s="16">
        <f t="shared" si="1"/>
        <v>7.83</v>
      </c>
      <c r="I28" s="15">
        <f t="shared" si="2"/>
        <v>0.02</v>
      </c>
      <c r="J28" s="15">
        <f>ROUND(G28/11720-1,2)</f>
        <v>0.5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178360</v>
      </c>
      <c r="F29" s="10"/>
      <c r="G29" s="10">
        <f t="shared" si="0"/>
        <v>178360</v>
      </c>
      <c r="H29" s="16">
        <f t="shared" si="1"/>
        <v>79.17</v>
      </c>
      <c r="I29" s="15">
        <f t="shared" si="2"/>
        <v>0.20499999999999999</v>
      </c>
      <c r="J29" s="15">
        <f>ROUND(G29/140940-1,2)</f>
        <v>0.27</v>
      </c>
    </row>
    <row r="30" spans="1:10" x14ac:dyDescent="0.25">
      <c r="A30" s="1" t="s">
        <v>16</v>
      </c>
      <c r="B30" s="1" t="s">
        <v>21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ROUND(G30/26-1,2)</f>
        <v>-1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ROUND(G31/3800-1,2)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ROUND(G33/2870-1,2)</f>
        <v>-1</v>
      </c>
    </row>
    <row r="34" spans="1:10" x14ac:dyDescent="0.25">
      <c r="A34" s="1" t="s">
        <v>16</v>
      </c>
      <c r="B34" s="1" t="s">
        <v>43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ROUND(G34/7360-1,2)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ROUND(G35/151-1,2)</f>
        <v>-1</v>
      </c>
    </row>
    <row r="36" spans="1:10" x14ac:dyDescent="0.25">
      <c r="A36" s="1" t="s">
        <v>16</v>
      </c>
      <c r="B36" s="1" t="s">
        <v>198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ROUND(G36/99.5-1,2)</f>
        <v>-1</v>
      </c>
    </row>
    <row r="37" spans="1:10" x14ac:dyDescent="0.25">
      <c r="A37" s="1" t="s">
        <v>44</v>
      </c>
      <c r="B37" s="1" t="s">
        <v>45</v>
      </c>
      <c r="C37" s="10"/>
      <c r="D37" s="10">
        <v>327040</v>
      </c>
      <c r="E37" s="10"/>
      <c r="F37" s="10"/>
      <c r="G37" s="10">
        <f t="shared" si="0"/>
        <v>327040</v>
      </c>
      <c r="H37" s="16">
        <f t="shared" si="1"/>
        <v>145.16</v>
      </c>
      <c r="I37" s="15">
        <f t="shared" si="2"/>
        <v>0.375</v>
      </c>
      <c r="J37" s="15">
        <f>ROUND(G37/280460-1,2)</f>
        <v>0.17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29590</v>
      </c>
      <c r="F38" s="10"/>
      <c r="G38" s="10">
        <f t="shared" si="0"/>
        <v>29590</v>
      </c>
      <c r="H38" s="16">
        <f t="shared" si="1"/>
        <v>13.13</v>
      </c>
      <c r="I38" s="15">
        <f t="shared" si="2"/>
        <v>3.4000000000000002E-2</v>
      </c>
      <c r="J38" s="15">
        <f>ROUND(G38/29240-1,2)</f>
        <v>0.01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ROUND(G39/7710-1,2)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3" t="s">
        <v>12</v>
      </c>
      <c r="B41" s="23"/>
      <c r="C41" s="11">
        <f t="shared" ref="C41:H41" si="3">SUM(C8:C40)</f>
        <v>181410</v>
      </c>
      <c r="D41" s="11">
        <f t="shared" si="3"/>
        <v>348307</v>
      </c>
      <c r="E41" s="11">
        <f t="shared" si="3"/>
        <v>340892</v>
      </c>
      <c r="F41" s="11">
        <f t="shared" si="3"/>
        <v>720</v>
      </c>
      <c r="G41" s="11">
        <f t="shared" si="3"/>
        <v>871329</v>
      </c>
      <c r="H41" s="14">
        <f t="shared" si="3"/>
        <v>386.74</v>
      </c>
      <c r="I41" s="17"/>
      <c r="J41" s="17"/>
    </row>
    <row r="42" spans="1:10" x14ac:dyDescent="0.25">
      <c r="A42" s="23" t="s">
        <v>14</v>
      </c>
      <c r="B42" s="23"/>
      <c r="C42" s="12">
        <f>ROUND(C41/G41,2)</f>
        <v>0.21</v>
      </c>
      <c r="D42" s="12">
        <f>ROUND(D41/G41,2)</f>
        <v>0.4</v>
      </c>
      <c r="E42" s="12">
        <f>ROUND(E41/G41,2)</f>
        <v>0.39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53</v>
      </c>
      <c r="B47" s="23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181410</v>
      </c>
      <c r="D48" s="10">
        <v>21267</v>
      </c>
      <c r="E48" s="10">
        <v>311302</v>
      </c>
      <c r="F48" s="10">
        <v>720</v>
      </c>
      <c r="G48" s="10">
        <f>SUM(C48:F48)</f>
        <v>514699</v>
      </c>
      <c r="H48" s="16">
        <f>ROUND(G48/2253,2)</f>
        <v>228.45</v>
      </c>
      <c r="I48" s="9"/>
      <c r="J48" s="9"/>
    </row>
    <row r="49" spans="1:10" x14ac:dyDescent="0.25">
      <c r="A49" s="22" t="s">
        <v>55</v>
      </c>
      <c r="B49" s="22"/>
      <c r="C49" s="10">
        <v>0</v>
      </c>
      <c r="D49" s="10">
        <v>327040</v>
      </c>
      <c r="E49" s="10">
        <v>29590</v>
      </c>
      <c r="F49" s="10">
        <v>0</v>
      </c>
      <c r="G49" s="10">
        <f>SUM(C49:F49)</f>
        <v>356630</v>
      </c>
      <c r="H49" s="16">
        <f>ROUND(G49/2253,2)</f>
        <v>158.29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ROUND(G50/2253,2)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57</v>
      </c>
      <c r="B55" s="23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ROUND(0.6082, 4)</f>
        <v>0.60819999999999996</v>
      </c>
      <c r="D56" s="15">
        <f>ROUND(0.6124, 4)</f>
        <v>0.61240000000000006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4" t="s">
        <v>64</v>
      </c>
      <c r="J56" s="24" t="s">
        <v>65</v>
      </c>
    </row>
    <row r="57" spans="1:10" x14ac:dyDescent="0.25">
      <c r="A57" s="22" t="s">
        <v>66</v>
      </c>
      <c r="B57" s="22"/>
      <c r="C57" s="15">
        <f>ROUND(0.6006, 4)</f>
        <v>0.60060000000000002</v>
      </c>
      <c r="D57" s="15">
        <f>ROUND(0.6038, 4)</f>
        <v>0.6038</v>
      </c>
      <c r="E57" s="15">
        <f>ROUND(0.7608, 4)</f>
        <v>0.76080000000000003</v>
      </c>
      <c r="F57" s="8"/>
      <c r="G57" s="14" t="s">
        <v>67</v>
      </c>
      <c r="H57" s="27"/>
      <c r="I57" s="25"/>
      <c r="J57" s="25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68</v>
      </c>
      <c r="B61" s="23"/>
      <c r="C61" s="14" t="s">
        <v>2</v>
      </c>
      <c r="D61" s="14" t="s">
        <v>199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145.16</v>
      </c>
      <c r="D62" s="16">
        <v>161.18</v>
      </c>
      <c r="E62" s="16">
        <v>89.58</v>
      </c>
      <c r="F62" s="16">
        <v>53.73</v>
      </c>
      <c r="G62" s="16">
        <f>12/9*C62</f>
        <v>193.54666666666665</v>
      </c>
      <c r="H62" s="8"/>
      <c r="I62" s="9"/>
      <c r="J62" s="9"/>
    </row>
    <row r="63" spans="1:10" x14ac:dyDescent="0.25">
      <c r="A63" s="22" t="s">
        <v>74</v>
      </c>
      <c r="B63" s="22"/>
      <c r="C63" s="16">
        <v>9.6999999999999993</v>
      </c>
      <c r="D63" s="16">
        <v>10.130000000000001</v>
      </c>
      <c r="E63" s="16">
        <v>60.32</v>
      </c>
      <c r="F63" s="16">
        <v>61.62</v>
      </c>
      <c r="G63" s="16">
        <f>12/9*C63</f>
        <v>12.933333333333332</v>
      </c>
      <c r="H63" s="8"/>
      <c r="I63" s="9"/>
      <c r="J63" s="9"/>
    </row>
    <row r="64" spans="1:10" x14ac:dyDescent="0.25">
      <c r="A64" s="22" t="s">
        <v>75</v>
      </c>
      <c r="B64" s="22"/>
      <c r="C64" s="16">
        <v>228.45</v>
      </c>
      <c r="D64" s="16">
        <v>264.5</v>
      </c>
      <c r="E64" s="16">
        <v>282.8</v>
      </c>
      <c r="F64" s="16">
        <v>273.33</v>
      </c>
      <c r="G64" s="16">
        <f>12/9*C64</f>
        <v>304.59999999999997</v>
      </c>
      <c r="H64" s="8"/>
      <c r="I64" s="9"/>
      <c r="J64" s="9"/>
    </row>
    <row r="65" spans="1:10" x14ac:dyDescent="0.25">
      <c r="A65" s="22" t="s">
        <v>76</v>
      </c>
      <c r="B65" s="22"/>
      <c r="C65" s="16">
        <v>158.29</v>
      </c>
      <c r="D65" s="16">
        <v>183.04</v>
      </c>
      <c r="E65" s="16">
        <v>112.72</v>
      </c>
      <c r="F65" s="16">
        <v>76.52</v>
      </c>
      <c r="G65" s="16">
        <f>12/9*C65</f>
        <v>211.05333333333331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8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200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4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201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5747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155</v>
      </c>
      <c r="F9" s="10"/>
      <c r="G9" s="10">
        <f t="shared" ref="G9:G44" si="0">SUM(C9:F9)</f>
        <v>155</v>
      </c>
      <c r="H9" s="16">
        <f t="shared" ref="H9:H44" si="1">ROUND(G9/5747,2)</f>
        <v>0.03</v>
      </c>
      <c r="I9" s="15">
        <f t="shared" ref="I9:I44" si="2">ROUND(G9/$G$45,3)</f>
        <v>0</v>
      </c>
      <c r="J9" s="15">
        <f>ROUND(G9/130-1,2)</f>
        <v>0.19</v>
      </c>
    </row>
    <row r="10" spans="1:10" x14ac:dyDescent="0.25">
      <c r="A10" s="1" t="s">
        <v>16</v>
      </c>
      <c r="B10" s="1" t="s">
        <v>19</v>
      </c>
      <c r="C10" s="10">
        <v>136310</v>
      </c>
      <c r="D10" s="10"/>
      <c r="E10" s="10">
        <v>6060</v>
      </c>
      <c r="F10" s="10"/>
      <c r="G10" s="10">
        <f t="shared" si="0"/>
        <v>142370</v>
      </c>
      <c r="H10" s="16">
        <f t="shared" si="1"/>
        <v>24.77</v>
      </c>
      <c r="I10" s="15">
        <f t="shared" si="2"/>
        <v>0.08</v>
      </c>
      <c r="J10" s="15">
        <f>ROUND(G10/140650-1,2)</f>
        <v>0.01</v>
      </c>
    </row>
    <row r="11" spans="1:10" x14ac:dyDescent="0.25">
      <c r="A11" s="1" t="s">
        <v>16</v>
      </c>
      <c r="B11" s="1" t="s">
        <v>20</v>
      </c>
      <c r="C11" s="10">
        <v>168420</v>
      </c>
      <c r="D11" s="10"/>
      <c r="E11" s="10"/>
      <c r="F11" s="10"/>
      <c r="G11" s="10">
        <f t="shared" si="0"/>
        <v>168420</v>
      </c>
      <c r="H11" s="16">
        <f t="shared" si="1"/>
        <v>29.31</v>
      </c>
      <c r="I11" s="15">
        <f t="shared" si="2"/>
        <v>9.4E-2</v>
      </c>
      <c r="J11" s="15">
        <f>ROUND(G11/172730-1,2)</f>
        <v>-0.02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76040</v>
      </c>
      <c r="F12" s="10"/>
      <c r="G12" s="10">
        <f t="shared" si="0"/>
        <v>76040</v>
      </c>
      <c r="H12" s="16">
        <f t="shared" si="1"/>
        <v>13.23</v>
      </c>
      <c r="I12" s="15">
        <f t="shared" si="2"/>
        <v>4.2999999999999997E-2</v>
      </c>
      <c r="J12" s="15">
        <f>ROUND(G12/52100-1,2)</f>
        <v>0.46</v>
      </c>
    </row>
    <row r="13" spans="1:10" x14ac:dyDescent="0.25">
      <c r="A13" s="1" t="s">
        <v>16</v>
      </c>
      <c r="B13" s="1" t="s">
        <v>24</v>
      </c>
      <c r="C13" s="10">
        <v>186350</v>
      </c>
      <c r="D13" s="10"/>
      <c r="E13" s="10">
        <v>25170</v>
      </c>
      <c r="F13" s="10"/>
      <c r="G13" s="10">
        <f t="shared" si="0"/>
        <v>211520</v>
      </c>
      <c r="H13" s="16">
        <f t="shared" si="1"/>
        <v>36.81</v>
      </c>
      <c r="I13" s="15">
        <f t="shared" si="2"/>
        <v>0.11799999999999999</v>
      </c>
      <c r="J13" s="15">
        <f>ROUND(G13/208350-1,2)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8400</v>
      </c>
      <c r="F14" s="10"/>
      <c r="G14" s="10">
        <f t="shared" si="0"/>
        <v>8400</v>
      </c>
      <c r="H14" s="16">
        <f t="shared" si="1"/>
        <v>1.46</v>
      </c>
      <c r="I14" s="15">
        <f t="shared" si="2"/>
        <v>5.0000000000000001E-3</v>
      </c>
      <c r="J14" s="15">
        <f>ROUND(G14/7510-1,2)</f>
        <v>0.12</v>
      </c>
    </row>
    <row r="15" spans="1:10" x14ac:dyDescent="0.25">
      <c r="A15" s="1" t="s">
        <v>16</v>
      </c>
      <c r="B15" s="1" t="s">
        <v>26</v>
      </c>
      <c r="C15" s="10">
        <v>340700</v>
      </c>
      <c r="D15" s="10"/>
      <c r="E15" s="10"/>
      <c r="F15" s="10">
        <v>660</v>
      </c>
      <c r="G15" s="10">
        <f t="shared" si="0"/>
        <v>341360</v>
      </c>
      <c r="H15" s="16">
        <f t="shared" si="1"/>
        <v>59.4</v>
      </c>
      <c r="I15" s="15">
        <f t="shared" si="2"/>
        <v>0.191</v>
      </c>
      <c r="J15" s="15">
        <f>ROUND(G15/366380-1,2)</f>
        <v>-7.0000000000000007E-2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413</v>
      </c>
      <c r="F16" s="10"/>
      <c r="G16" s="10">
        <f t="shared" si="0"/>
        <v>413</v>
      </c>
      <c r="H16" s="16">
        <f t="shared" si="1"/>
        <v>7.0000000000000007E-2</v>
      </c>
      <c r="I16" s="15">
        <f t="shared" si="2"/>
        <v>0</v>
      </c>
      <c r="J16" s="15">
        <f>ROUND(G16/490-1,2)</f>
        <v>-0.16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346</v>
      </c>
      <c r="F17" s="10"/>
      <c r="G17" s="10">
        <f t="shared" si="0"/>
        <v>346</v>
      </c>
      <c r="H17" s="16">
        <f t="shared" si="1"/>
        <v>0.06</v>
      </c>
      <c r="I17" s="15">
        <f t="shared" si="2"/>
        <v>0</v>
      </c>
      <c r="J17" s="15">
        <f>ROUND(G17/241-1,2)</f>
        <v>0.44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5970</v>
      </c>
      <c r="F18" s="10"/>
      <c r="G18" s="10">
        <f t="shared" si="0"/>
        <v>5970</v>
      </c>
      <c r="H18" s="16">
        <f t="shared" si="1"/>
        <v>1.04</v>
      </c>
      <c r="I18" s="15">
        <f t="shared" si="2"/>
        <v>3.0000000000000001E-3</v>
      </c>
      <c r="J18" s="15">
        <f>ROUND(G18/9400-1,2)</f>
        <v>-0.36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1860</v>
      </c>
      <c r="F19" s="10"/>
      <c r="G19" s="10">
        <f t="shared" si="0"/>
        <v>1860</v>
      </c>
      <c r="H19" s="16">
        <f t="shared" si="1"/>
        <v>0.32</v>
      </c>
      <c r="I19" s="15">
        <f t="shared" si="2"/>
        <v>1E-3</v>
      </c>
      <c r="J19" s="15">
        <f>ROUND(G19/1770-1,2)</f>
        <v>0.05</v>
      </c>
    </row>
    <row r="20" spans="1:10" x14ac:dyDescent="0.25">
      <c r="A20" s="1" t="s">
        <v>16</v>
      </c>
      <c r="B20" s="1" t="s">
        <v>31</v>
      </c>
      <c r="C20" s="10"/>
      <c r="D20" s="10"/>
      <c r="E20" s="10">
        <v>570</v>
      </c>
      <c r="F20" s="10"/>
      <c r="G20" s="10">
        <f t="shared" si="0"/>
        <v>570</v>
      </c>
      <c r="H20" s="16">
        <f t="shared" si="1"/>
        <v>0.1</v>
      </c>
      <c r="I20" s="15">
        <f t="shared" si="2"/>
        <v>0</v>
      </c>
      <c r="J20" s="15">
        <f>ROUND(G20/450-1,2)</f>
        <v>0.27</v>
      </c>
    </row>
    <row r="21" spans="1:10" x14ac:dyDescent="0.25">
      <c r="A21" s="1" t="s">
        <v>16</v>
      </c>
      <c r="B21" s="1" t="s">
        <v>33</v>
      </c>
      <c r="C21" s="10"/>
      <c r="D21" s="10">
        <v>491</v>
      </c>
      <c r="E21" s="10">
        <v>69</v>
      </c>
      <c r="F21" s="10"/>
      <c r="G21" s="10">
        <f t="shared" si="0"/>
        <v>560</v>
      </c>
      <c r="H21" s="16">
        <f t="shared" si="1"/>
        <v>0.1</v>
      </c>
      <c r="I21" s="15">
        <f t="shared" si="2"/>
        <v>0</v>
      </c>
      <c r="J21" s="15">
        <f>ROUND(G21/601-1,2)</f>
        <v>-7.0000000000000007E-2</v>
      </c>
    </row>
    <row r="22" spans="1:10" x14ac:dyDescent="0.25">
      <c r="A22" s="1" t="s">
        <v>16</v>
      </c>
      <c r="B22" s="1" t="s">
        <v>35</v>
      </c>
      <c r="C22" s="10"/>
      <c r="D22" s="10">
        <v>180</v>
      </c>
      <c r="E22" s="10">
        <v>160</v>
      </c>
      <c r="F22" s="10"/>
      <c r="G22" s="10">
        <f t="shared" si="0"/>
        <v>340</v>
      </c>
      <c r="H22" s="16">
        <f t="shared" si="1"/>
        <v>0.06</v>
      </c>
      <c r="I22" s="15">
        <f t="shared" si="2"/>
        <v>0</v>
      </c>
      <c r="J22" s="15">
        <f>ROUND(G22/930-1,2)</f>
        <v>-0.63</v>
      </c>
    </row>
    <row r="23" spans="1:10" x14ac:dyDescent="0.25">
      <c r="A23" s="1" t="s">
        <v>16</v>
      </c>
      <c r="B23" s="1" t="s">
        <v>34</v>
      </c>
      <c r="C23" s="10"/>
      <c r="D23" s="10"/>
      <c r="E23" s="10">
        <v>855</v>
      </c>
      <c r="F23" s="10"/>
      <c r="G23" s="10">
        <f t="shared" si="0"/>
        <v>855</v>
      </c>
      <c r="H23" s="16">
        <f t="shared" si="1"/>
        <v>0.15</v>
      </c>
      <c r="I23" s="15">
        <f t="shared" si="2"/>
        <v>0</v>
      </c>
      <c r="J23" s="15">
        <f>ROUND(G23/790-1,2)</f>
        <v>0.08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7545</v>
      </c>
      <c r="F24" s="10"/>
      <c r="G24" s="10">
        <f t="shared" si="0"/>
        <v>7545</v>
      </c>
      <c r="H24" s="16">
        <f t="shared" si="1"/>
        <v>1.31</v>
      </c>
      <c r="I24" s="15">
        <f t="shared" si="2"/>
        <v>4.0000000000000001E-3</v>
      </c>
      <c r="J24" s="15">
        <f>ROUND(G24/13280-1,2)</f>
        <v>-0.43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7070</v>
      </c>
      <c r="F25" s="10"/>
      <c r="G25" s="10">
        <f t="shared" si="0"/>
        <v>7070</v>
      </c>
      <c r="H25" s="16">
        <f t="shared" si="1"/>
        <v>1.23</v>
      </c>
      <c r="I25" s="15">
        <f t="shared" si="2"/>
        <v>4.0000000000000001E-3</v>
      </c>
      <c r="J25" s="15">
        <f>ROUND(G25/10011-1,2)</f>
        <v>-0.28999999999999998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123020</v>
      </c>
      <c r="F26" s="10"/>
      <c r="G26" s="10">
        <f t="shared" si="0"/>
        <v>123020</v>
      </c>
      <c r="H26" s="16">
        <f t="shared" si="1"/>
        <v>21.41</v>
      </c>
      <c r="I26" s="15">
        <f t="shared" si="2"/>
        <v>6.9000000000000006E-2</v>
      </c>
      <c r="J26" s="15">
        <f>ROUND(G26/110710-1,2)</f>
        <v>0.11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5640</v>
      </c>
      <c r="F27" s="10"/>
      <c r="G27" s="10">
        <f t="shared" si="0"/>
        <v>5640</v>
      </c>
      <c r="H27" s="16">
        <f t="shared" si="1"/>
        <v>0.98</v>
      </c>
      <c r="I27" s="15">
        <f t="shared" si="2"/>
        <v>3.0000000000000001E-3</v>
      </c>
      <c r="J27" s="15">
        <f>ROUND(G27/4690-1,2)</f>
        <v>0.2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30740</v>
      </c>
      <c r="F28" s="10"/>
      <c r="G28" s="10">
        <f t="shared" si="0"/>
        <v>30740</v>
      </c>
      <c r="H28" s="16">
        <f t="shared" si="1"/>
        <v>5.35</v>
      </c>
      <c r="I28" s="15">
        <f t="shared" si="2"/>
        <v>1.7000000000000001E-2</v>
      </c>
      <c r="J28" s="15">
        <f>ROUND(G28/29680-1,2)</f>
        <v>0.04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174920</v>
      </c>
      <c r="F29" s="10"/>
      <c r="G29" s="10">
        <f t="shared" si="0"/>
        <v>174920</v>
      </c>
      <c r="H29" s="16">
        <f t="shared" si="1"/>
        <v>30.44</v>
      </c>
      <c r="I29" s="15">
        <f t="shared" si="2"/>
        <v>9.8000000000000004E-2</v>
      </c>
      <c r="J29" s="15">
        <f>ROUND(G29/172760-1,2)</f>
        <v>0.01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ROUND(G30/234-1,2)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ROUND(G31/4423-1,2)</f>
        <v>-1</v>
      </c>
    </row>
    <row r="32" spans="1:10" x14ac:dyDescent="0.25">
      <c r="A32" s="1" t="s">
        <v>16</v>
      </c>
      <c r="B32" s="1" t="s">
        <v>120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ROUND(G33/920-1,2)</f>
        <v>-1</v>
      </c>
    </row>
    <row r="34" spans="1:10" x14ac:dyDescent="0.25">
      <c r="A34" s="1" t="s">
        <v>16</v>
      </c>
      <c r="B34" s="1" t="s">
        <v>32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161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202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374400</v>
      </c>
      <c r="D37" s="10"/>
      <c r="E37" s="10"/>
      <c r="F37" s="10"/>
      <c r="G37" s="10">
        <f t="shared" si="0"/>
        <v>374400</v>
      </c>
      <c r="H37" s="16">
        <f t="shared" si="1"/>
        <v>65.150000000000006</v>
      </c>
      <c r="I37" s="15">
        <f t="shared" si="2"/>
        <v>0.20899999999999999</v>
      </c>
      <c r="J37" s="15">
        <f>ROUND(G37/366300-1,2)</f>
        <v>0.02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40340</v>
      </c>
      <c r="G38" s="10">
        <f t="shared" si="0"/>
        <v>40340</v>
      </c>
      <c r="H38" s="16">
        <f t="shared" si="1"/>
        <v>7.02</v>
      </c>
      <c r="I38" s="15">
        <f t="shared" si="2"/>
        <v>2.3E-2</v>
      </c>
      <c r="J38" s="15">
        <f>ROUND(G38/40240-1,2)</f>
        <v>0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65960</v>
      </c>
      <c r="F39" s="10"/>
      <c r="G39" s="10">
        <f t="shared" si="0"/>
        <v>65960</v>
      </c>
      <c r="H39" s="16">
        <f t="shared" si="1"/>
        <v>11.48</v>
      </c>
      <c r="I39" s="15">
        <f t="shared" si="2"/>
        <v>3.6999999999999998E-2</v>
      </c>
      <c r="J39" s="15">
        <f>ROUND(G39/71840-1,2)</f>
        <v>-0.08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ROUND(G41/65-1,2)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ROUND(G42/885-1,2)</f>
        <v>-1</v>
      </c>
    </row>
    <row r="43" spans="1:10" x14ac:dyDescent="0.25">
      <c r="A43" s="1" t="s">
        <v>48</v>
      </c>
      <c r="B43" s="1" t="s">
        <v>94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3" t="s">
        <v>12</v>
      </c>
      <c r="B45" s="23"/>
      <c r="C45" s="11">
        <f t="shared" ref="C45:H45" si="3">SUM(C8:C44)</f>
        <v>1206180</v>
      </c>
      <c r="D45" s="11">
        <f t="shared" si="3"/>
        <v>671</v>
      </c>
      <c r="E45" s="11">
        <f t="shared" si="3"/>
        <v>540963</v>
      </c>
      <c r="F45" s="11">
        <f t="shared" si="3"/>
        <v>41000</v>
      </c>
      <c r="G45" s="11">
        <f t="shared" si="3"/>
        <v>1788814</v>
      </c>
      <c r="H45" s="14">
        <f t="shared" si="3"/>
        <v>311.27999999999997</v>
      </c>
      <c r="I45" s="17"/>
      <c r="J45" s="17"/>
    </row>
    <row r="46" spans="1:10" x14ac:dyDescent="0.25">
      <c r="A46" s="23" t="s">
        <v>14</v>
      </c>
      <c r="B46" s="23"/>
      <c r="C46" s="12">
        <f>ROUND(C45/G45,2)</f>
        <v>0.67</v>
      </c>
      <c r="D46" s="12">
        <f>ROUND(D45/G45,2)</f>
        <v>0</v>
      </c>
      <c r="E46" s="12">
        <f>ROUND(E45/G45,2)</f>
        <v>0.3</v>
      </c>
      <c r="F46" s="12">
        <f>ROUND(F45/G45,2)</f>
        <v>0.02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53</v>
      </c>
      <c r="B51" s="23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831780</v>
      </c>
      <c r="D52" s="10">
        <v>671</v>
      </c>
      <c r="E52" s="10">
        <v>475003</v>
      </c>
      <c r="F52" s="10">
        <v>660</v>
      </c>
      <c r="G52" s="10">
        <f>SUM(C52:F52)</f>
        <v>1308114</v>
      </c>
      <c r="H52" s="16">
        <f>ROUND(G52/5747,2)</f>
        <v>227.62</v>
      </c>
      <c r="I52" s="9"/>
      <c r="J52" s="9"/>
    </row>
    <row r="53" spans="1:10" x14ac:dyDescent="0.25">
      <c r="A53" s="22" t="s">
        <v>55</v>
      </c>
      <c r="B53" s="22"/>
      <c r="C53" s="10">
        <v>374400</v>
      </c>
      <c r="D53" s="10">
        <v>0</v>
      </c>
      <c r="E53" s="10">
        <v>65960</v>
      </c>
      <c r="F53" s="10">
        <v>40340</v>
      </c>
      <c r="G53" s="10">
        <f>SUM(C53:F53)</f>
        <v>480700</v>
      </c>
      <c r="H53" s="16">
        <f>ROUND(G53/5747,2)</f>
        <v>83.64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ROUND(G54/5747,2)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57</v>
      </c>
      <c r="B59" s="23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2" t="s">
        <v>58</v>
      </c>
      <c r="B60" s="22"/>
      <c r="C60" s="15">
        <f>ROUND(0.7777, 4)</f>
        <v>0.77769999999999995</v>
      </c>
      <c r="D60" s="15">
        <f>ROUND(0.7791, 4)</f>
        <v>0.77910000000000001</v>
      </c>
      <c r="E60" s="15">
        <f>ROUND(0.777, 4)</f>
        <v>0.77700000000000002</v>
      </c>
      <c r="F60" s="8"/>
      <c r="G60" s="14" t="s">
        <v>62</v>
      </c>
      <c r="H60" s="26" t="s">
        <v>63</v>
      </c>
      <c r="I60" s="24" t="s">
        <v>64</v>
      </c>
      <c r="J60" s="24" t="s">
        <v>65</v>
      </c>
    </row>
    <row r="61" spans="1:10" x14ac:dyDescent="0.25">
      <c r="A61" s="22" t="s">
        <v>66</v>
      </c>
      <c r="B61" s="22"/>
      <c r="C61" s="15">
        <f>ROUND(0.767, 4)</f>
        <v>0.76700000000000002</v>
      </c>
      <c r="D61" s="15">
        <f>ROUND(0.7684, 4)</f>
        <v>0.76839999999999997</v>
      </c>
      <c r="E61" s="15">
        <f>ROUND(0.7608, 4)</f>
        <v>0.76080000000000003</v>
      </c>
      <c r="F61" s="8"/>
      <c r="G61" s="14" t="s">
        <v>67</v>
      </c>
      <c r="H61" s="27"/>
      <c r="I61" s="25"/>
      <c r="J61" s="25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68</v>
      </c>
      <c r="B65" s="23"/>
      <c r="C65" s="14" t="s">
        <v>2</v>
      </c>
      <c r="D65" s="14" t="s">
        <v>203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2" t="s">
        <v>73</v>
      </c>
      <c r="B66" s="22"/>
      <c r="C66" s="16">
        <v>65.150000000000006</v>
      </c>
      <c r="D66" s="16">
        <v>77.56</v>
      </c>
      <c r="E66" s="16">
        <v>89.58</v>
      </c>
      <c r="F66" s="16">
        <v>53.73</v>
      </c>
      <c r="G66" s="16">
        <f>12/9*C66</f>
        <v>86.866666666666674</v>
      </c>
      <c r="H66" s="8"/>
      <c r="I66" s="9"/>
      <c r="J66" s="9"/>
    </row>
    <row r="67" spans="1:10" x14ac:dyDescent="0.25">
      <c r="A67" s="22" t="s">
        <v>74</v>
      </c>
      <c r="B67" s="22"/>
      <c r="C67" s="16">
        <v>59.4</v>
      </c>
      <c r="D67" s="16">
        <v>78.5</v>
      </c>
      <c r="E67" s="16">
        <v>60.32</v>
      </c>
      <c r="F67" s="16">
        <v>61.62</v>
      </c>
      <c r="G67" s="16">
        <f>12/9*C67</f>
        <v>79.199999999999989</v>
      </c>
      <c r="H67" s="8"/>
      <c r="I67" s="9"/>
      <c r="J67" s="9"/>
    </row>
    <row r="68" spans="1:10" x14ac:dyDescent="0.25">
      <c r="A68" s="22" t="s">
        <v>75</v>
      </c>
      <c r="B68" s="22"/>
      <c r="C68" s="16">
        <v>227.62</v>
      </c>
      <c r="D68" s="16">
        <v>299.13</v>
      </c>
      <c r="E68" s="16">
        <v>282.8</v>
      </c>
      <c r="F68" s="16">
        <v>273.33</v>
      </c>
      <c r="G68" s="16">
        <f>12/9*C68</f>
        <v>303.49333333333334</v>
      </c>
      <c r="H68" s="8"/>
      <c r="I68" s="9"/>
      <c r="J68" s="9"/>
    </row>
    <row r="69" spans="1:10" x14ac:dyDescent="0.25">
      <c r="A69" s="22" t="s">
        <v>76</v>
      </c>
      <c r="B69" s="22"/>
      <c r="C69" s="16">
        <v>83.64</v>
      </c>
      <c r="D69" s="16">
        <v>110.79</v>
      </c>
      <c r="E69" s="16">
        <v>112.72</v>
      </c>
      <c r="F69" s="16">
        <v>76.52</v>
      </c>
      <c r="G69" s="16">
        <f>12/9*C69</f>
        <v>111.52</v>
      </c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21" t="s">
        <v>60</v>
      </c>
      <c r="B72" s="28"/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77</v>
      </c>
      <c r="B73" s="1" t="s">
        <v>204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70</v>
      </c>
      <c r="B74" s="1" t="s">
        <v>79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71</v>
      </c>
      <c r="B75" s="1" t="s">
        <v>80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5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8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6862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173</v>
      </c>
      <c r="G9" s="10">
        <f t="shared" ref="G9:G43" si="0">SUM(C9:F9)</f>
        <v>173</v>
      </c>
      <c r="H9" s="16">
        <f t="shared" ref="H9:H43" si="1">ROUND(G9/6862,2)</f>
        <v>0.03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196</v>
      </c>
      <c r="F13" s="10"/>
      <c r="G13" s="10">
        <f t="shared" si="0"/>
        <v>196</v>
      </c>
      <c r="H13" s="16">
        <f t="shared" si="1"/>
        <v>0.03</v>
      </c>
      <c r="I13" s="15">
        <f t="shared" si="2"/>
        <v>0</v>
      </c>
      <c r="J13" s="15">
        <f>ROUND(G13/70-1,2)</f>
        <v>1.8</v>
      </c>
    </row>
    <row r="14" spans="1:10" x14ac:dyDescent="0.25">
      <c r="A14" s="1" t="s">
        <v>16</v>
      </c>
      <c r="B14" s="1" t="s">
        <v>19</v>
      </c>
      <c r="C14" s="10">
        <v>144870</v>
      </c>
      <c r="D14" s="10"/>
      <c r="E14" s="10">
        <v>10830</v>
      </c>
      <c r="F14" s="10">
        <v>340</v>
      </c>
      <c r="G14" s="10">
        <f t="shared" si="0"/>
        <v>156040</v>
      </c>
      <c r="H14" s="16">
        <f t="shared" si="1"/>
        <v>22.74</v>
      </c>
      <c r="I14" s="15">
        <f t="shared" si="2"/>
        <v>6.7000000000000004E-2</v>
      </c>
      <c r="J14" s="15">
        <f>ROUND(G14/149330-1,2)</f>
        <v>0.04</v>
      </c>
    </row>
    <row r="15" spans="1:10" x14ac:dyDescent="0.25">
      <c r="A15" s="1" t="s">
        <v>16</v>
      </c>
      <c r="B15" s="1" t="s">
        <v>20</v>
      </c>
      <c r="C15" s="10">
        <v>184450</v>
      </c>
      <c r="D15" s="10"/>
      <c r="E15" s="10"/>
      <c r="F15" s="10"/>
      <c r="G15" s="10">
        <f t="shared" si="0"/>
        <v>184450</v>
      </c>
      <c r="H15" s="16">
        <f t="shared" si="1"/>
        <v>26.88</v>
      </c>
      <c r="I15" s="15">
        <f t="shared" si="2"/>
        <v>0.08</v>
      </c>
      <c r="J15" s="15">
        <f>ROUND(G15/187750-1,2)</f>
        <v>-0.02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88</v>
      </c>
      <c r="F16" s="10"/>
      <c r="G16" s="10">
        <f t="shared" si="0"/>
        <v>88</v>
      </c>
      <c r="H16" s="16">
        <f t="shared" si="1"/>
        <v>0.01</v>
      </c>
      <c r="I16" s="15">
        <f t="shared" si="2"/>
        <v>0</v>
      </c>
      <c r="J16" s="15">
        <f>ROUND(G16/137-1,2)</f>
        <v>-0.36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252</v>
      </c>
      <c r="F17" s="10"/>
      <c r="G17" s="10">
        <f t="shared" si="0"/>
        <v>252</v>
      </c>
      <c r="H17" s="16">
        <f t="shared" si="1"/>
        <v>0.04</v>
      </c>
      <c r="I17" s="15">
        <f t="shared" si="2"/>
        <v>0</v>
      </c>
      <c r="J17" s="15">
        <f>ROUND(G17/281-1,2)</f>
        <v>-0.1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2060</v>
      </c>
      <c r="F18" s="10"/>
      <c r="G18" s="10">
        <f t="shared" si="0"/>
        <v>2060</v>
      </c>
      <c r="H18" s="16">
        <f t="shared" si="1"/>
        <v>0.3</v>
      </c>
      <c r="I18" s="15">
        <f t="shared" si="2"/>
        <v>1E-3</v>
      </c>
      <c r="J18" s="15">
        <f>ROUND(G18/2860-1,2)</f>
        <v>-0.28000000000000003</v>
      </c>
    </row>
    <row r="19" spans="1:10" x14ac:dyDescent="0.25">
      <c r="A19" s="1" t="s">
        <v>16</v>
      </c>
      <c r="B19" s="1" t="s">
        <v>98</v>
      </c>
      <c r="C19" s="10"/>
      <c r="D19" s="10"/>
      <c r="E19" s="10"/>
      <c r="F19" s="10">
        <v>43</v>
      </c>
      <c r="G19" s="10">
        <f t="shared" si="0"/>
        <v>43</v>
      </c>
      <c r="H19" s="16">
        <f t="shared" si="1"/>
        <v>0.01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23</v>
      </c>
      <c r="C20" s="10"/>
      <c r="D20" s="10"/>
      <c r="E20" s="10">
        <v>223280</v>
      </c>
      <c r="F20" s="10"/>
      <c r="G20" s="10">
        <f t="shared" si="0"/>
        <v>223280</v>
      </c>
      <c r="H20" s="16">
        <f t="shared" si="1"/>
        <v>32.54</v>
      </c>
      <c r="I20" s="15">
        <f t="shared" si="2"/>
        <v>9.6000000000000002E-2</v>
      </c>
      <c r="J20" s="15">
        <f>ROUND(G20/122600-1,2)</f>
        <v>0.82</v>
      </c>
    </row>
    <row r="21" spans="1:10" x14ac:dyDescent="0.25">
      <c r="A21" s="1" t="s">
        <v>16</v>
      </c>
      <c r="B21" s="1" t="s">
        <v>24</v>
      </c>
      <c r="C21" s="10">
        <v>220420</v>
      </c>
      <c r="D21" s="10"/>
      <c r="E21" s="10">
        <v>53860</v>
      </c>
      <c r="F21" s="10">
        <v>9540</v>
      </c>
      <c r="G21" s="10">
        <f t="shared" si="0"/>
        <v>283820</v>
      </c>
      <c r="H21" s="16">
        <f t="shared" si="1"/>
        <v>41.36</v>
      </c>
      <c r="I21" s="15">
        <f t="shared" si="2"/>
        <v>0.123</v>
      </c>
      <c r="J21" s="15">
        <f>ROUND(G21/280500-1,2)</f>
        <v>0.01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9915</v>
      </c>
      <c r="F22" s="10"/>
      <c r="G22" s="10">
        <f t="shared" si="0"/>
        <v>9915</v>
      </c>
      <c r="H22" s="16">
        <f t="shared" si="1"/>
        <v>1.44</v>
      </c>
      <c r="I22" s="15">
        <f t="shared" si="2"/>
        <v>4.0000000000000001E-3</v>
      </c>
      <c r="J22" s="15">
        <f>ROUND(G22/8410-1,2)</f>
        <v>0.18</v>
      </c>
    </row>
    <row r="23" spans="1:10" x14ac:dyDescent="0.25">
      <c r="A23" s="1" t="s">
        <v>16</v>
      </c>
      <c r="B23" s="1" t="s">
        <v>26</v>
      </c>
      <c r="C23" s="10">
        <v>321220</v>
      </c>
      <c r="D23" s="10"/>
      <c r="E23" s="10"/>
      <c r="F23" s="10">
        <v>1380</v>
      </c>
      <c r="G23" s="10">
        <f t="shared" si="0"/>
        <v>322600</v>
      </c>
      <c r="H23" s="16">
        <f t="shared" si="1"/>
        <v>47.01</v>
      </c>
      <c r="I23" s="15">
        <f t="shared" si="2"/>
        <v>0.13900000000000001</v>
      </c>
      <c r="J23" s="15">
        <f>ROUND(G23/321600-1,2)</f>
        <v>0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7086</v>
      </c>
      <c r="F24" s="10"/>
      <c r="G24" s="10">
        <f t="shared" si="0"/>
        <v>7086</v>
      </c>
      <c r="H24" s="16">
        <f t="shared" si="1"/>
        <v>1.03</v>
      </c>
      <c r="I24" s="15">
        <f t="shared" si="2"/>
        <v>3.0000000000000001E-3</v>
      </c>
      <c r="J24" s="15">
        <f>ROUND(G24/2410-1,2)</f>
        <v>1.94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1001</v>
      </c>
      <c r="F25" s="10"/>
      <c r="G25" s="10">
        <f t="shared" si="0"/>
        <v>1001</v>
      </c>
      <c r="H25" s="16">
        <f t="shared" si="1"/>
        <v>0.15</v>
      </c>
      <c r="I25" s="15">
        <f t="shared" si="2"/>
        <v>0</v>
      </c>
      <c r="J25" s="15">
        <f>ROUND(G25/1440-1,2)</f>
        <v>-0.3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5420</v>
      </c>
      <c r="F26" s="10"/>
      <c r="G26" s="10">
        <f t="shared" si="0"/>
        <v>5420</v>
      </c>
      <c r="H26" s="16">
        <f t="shared" si="1"/>
        <v>0.79</v>
      </c>
      <c r="I26" s="15">
        <f t="shared" si="2"/>
        <v>2E-3</v>
      </c>
      <c r="J26" s="15">
        <f>ROUND(G26/8210-1,2)</f>
        <v>-0.34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2630</v>
      </c>
      <c r="F27" s="10"/>
      <c r="G27" s="10">
        <f t="shared" si="0"/>
        <v>2630</v>
      </c>
      <c r="H27" s="16">
        <f t="shared" si="1"/>
        <v>0.38</v>
      </c>
      <c r="I27" s="15">
        <f t="shared" si="2"/>
        <v>1E-3</v>
      </c>
      <c r="J27" s="15">
        <f>ROUND(G27/2350-1,2)</f>
        <v>0.12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1240</v>
      </c>
      <c r="F28" s="10"/>
      <c r="G28" s="10">
        <f t="shared" si="0"/>
        <v>1240</v>
      </c>
      <c r="H28" s="16">
        <f t="shared" si="1"/>
        <v>0.18</v>
      </c>
      <c r="I28" s="15">
        <f t="shared" si="2"/>
        <v>1E-3</v>
      </c>
      <c r="J28" s="15">
        <f>ROUND(G28/420-1,2)</f>
        <v>1.95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2435</v>
      </c>
      <c r="F29" s="10"/>
      <c r="G29" s="10">
        <f t="shared" si="0"/>
        <v>2435</v>
      </c>
      <c r="H29" s="16">
        <f t="shared" si="1"/>
        <v>0.35</v>
      </c>
      <c r="I29" s="15">
        <f t="shared" si="2"/>
        <v>1E-3</v>
      </c>
      <c r="J29" s="15">
        <f>ROUND(G29/3925-1,2)</f>
        <v>-0.38</v>
      </c>
    </row>
    <row r="30" spans="1:10" x14ac:dyDescent="0.25">
      <c r="A30" s="1" t="s">
        <v>16</v>
      </c>
      <c r="B30" s="1" t="s">
        <v>33</v>
      </c>
      <c r="C30" s="10"/>
      <c r="D30" s="10">
        <v>396</v>
      </c>
      <c r="E30" s="10">
        <v>130</v>
      </c>
      <c r="F30" s="10"/>
      <c r="G30" s="10">
        <f t="shared" si="0"/>
        <v>526</v>
      </c>
      <c r="H30" s="16">
        <f t="shared" si="1"/>
        <v>0.08</v>
      </c>
      <c r="I30" s="15">
        <f t="shared" si="2"/>
        <v>0</v>
      </c>
      <c r="J30" s="15">
        <f>ROUND(G30/481-1,2)</f>
        <v>0.09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570</v>
      </c>
      <c r="F31" s="10"/>
      <c r="G31" s="10">
        <f t="shared" si="0"/>
        <v>570</v>
      </c>
      <c r="H31" s="16">
        <f t="shared" si="1"/>
        <v>0.08</v>
      </c>
      <c r="I31" s="15">
        <f t="shared" si="2"/>
        <v>0</v>
      </c>
      <c r="J31" s="15">
        <f>ROUND(G31/1234-1,2)</f>
        <v>-0.54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5280</v>
      </c>
      <c r="F32" s="10"/>
      <c r="G32" s="10">
        <f t="shared" si="0"/>
        <v>5280</v>
      </c>
      <c r="H32" s="16">
        <f t="shared" si="1"/>
        <v>0.77</v>
      </c>
      <c r="I32" s="15">
        <f t="shared" si="2"/>
        <v>2E-3</v>
      </c>
      <c r="J32" s="15">
        <f>ROUND(G32/9310-1,2)</f>
        <v>-0.43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10650</v>
      </c>
      <c r="F33" s="10"/>
      <c r="G33" s="10">
        <f t="shared" si="0"/>
        <v>10650</v>
      </c>
      <c r="H33" s="16">
        <f t="shared" si="1"/>
        <v>1.55</v>
      </c>
      <c r="I33" s="15">
        <f t="shared" si="2"/>
        <v>5.0000000000000001E-3</v>
      </c>
      <c r="J33" s="15">
        <f>ROUND(G33/13225-1,2)</f>
        <v>-0.19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173940</v>
      </c>
      <c r="F34" s="10"/>
      <c r="G34" s="10">
        <f t="shared" si="0"/>
        <v>173940</v>
      </c>
      <c r="H34" s="16">
        <f t="shared" si="1"/>
        <v>25.35</v>
      </c>
      <c r="I34" s="15">
        <f t="shared" si="2"/>
        <v>7.4999999999999997E-2</v>
      </c>
      <c r="J34" s="15">
        <f>ROUND(G34/138740-1,2)</f>
        <v>0.25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8570</v>
      </c>
      <c r="F35" s="10"/>
      <c r="G35" s="10">
        <f t="shared" si="0"/>
        <v>8570</v>
      </c>
      <c r="H35" s="16">
        <f t="shared" si="1"/>
        <v>1.25</v>
      </c>
      <c r="I35" s="15">
        <f t="shared" si="2"/>
        <v>4.0000000000000001E-3</v>
      </c>
      <c r="J35" s="15">
        <f>ROUND(G35/7275-1,2)</f>
        <v>0.18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41890</v>
      </c>
      <c r="F36" s="10"/>
      <c r="G36" s="10">
        <f t="shared" si="0"/>
        <v>41890</v>
      </c>
      <c r="H36" s="16">
        <f t="shared" si="1"/>
        <v>6.1</v>
      </c>
      <c r="I36" s="15">
        <f t="shared" si="2"/>
        <v>1.7999999999999999E-2</v>
      </c>
      <c r="J36" s="15">
        <f>ROUND(G36/32410-1,2)</f>
        <v>0.28999999999999998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345320</v>
      </c>
      <c r="F37" s="10">
        <v>5220</v>
      </c>
      <c r="G37" s="10">
        <f t="shared" si="0"/>
        <v>350540</v>
      </c>
      <c r="H37" s="16">
        <f t="shared" si="1"/>
        <v>51.08</v>
      </c>
      <c r="I37" s="15">
        <f t="shared" si="2"/>
        <v>0.151</v>
      </c>
      <c r="J37" s="15">
        <f>ROUND(G37/275100-1,2)</f>
        <v>0.27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ROUND(G39/5292-1,2)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339100</v>
      </c>
      <c r="D41" s="10"/>
      <c r="E41" s="10"/>
      <c r="F41" s="10"/>
      <c r="G41" s="10">
        <f t="shared" si="0"/>
        <v>339100</v>
      </c>
      <c r="H41" s="16">
        <f t="shared" si="1"/>
        <v>49.42</v>
      </c>
      <c r="I41" s="15">
        <f t="shared" si="2"/>
        <v>0.14599999999999999</v>
      </c>
      <c r="J41" s="15">
        <f>ROUND(G41/326560-1,2)</f>
        <v>0.04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51840</v>
      </c>
      <c r="G42" s="10">
        <f t="shared" si="0"/>
        <v>51840</v>
      </c>
      <c r="H42" s="16">
        <f t="shared" si="1"/>
        <v>7.55</v>
      </c>
      <c r="I42" s="15">
        <f t="shared" si="2"/>
        <v>2.1999999999999999E-2</v>
      </c>
      <c r="J42" s="15">
        <f>ROUND(G42/49900-1,2)</f>
        <v>0.04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131150</v>
      </c>
      <c r="F43" s="10"/>
      <c r="G43" s="10">
        <f t="shared" si="0"/>
        <v>131150</v>
      </c>
      <c r="H43" s="16">
        <f t="shared" si="1"/>
        <v>19.11</v>
      </c>
      <c r="I43" s="15">
        <f t="shared" si="2"/>
        <v>5.7000000000000002E-2</v>
      </c>
      <c r="J43" s="15">
        <f>ROUND(G43/102880-1,2)</f>
        <v>0.27</v>
      </c>
    </row>
    <row r="44" spans="1:10" x14ac:dyDescent="0.25">
      <c r="A44" s="23" t="s">
        <v>12</v>
      </c>
      <c r="B44" s="23"/>
      <c r="C44" s="11">
        <f t="shared" ref="C44:H44" si="3">SUM(C8:C43)</f>
        <v>1210060</v>
      </c>
      <c r="D44" s="11">
        <f t="shared" si="3"/>
        <v>396</v>
      </c>
      <c r="E44" s="11">
        <f t="shared" si="3"/>
        <v>1037793</v>
      </c>
      <c r="F44" s="11">
        <f t="shared" si="3"/>
        <v>68536</v>
      </c>
      <c r="G44" s="11">
        <f t="shared" si="3"/>
        <v>2316785</v>
      </c>
      <c r="H44" s="14">
        <f t="shared" si="3"/>
        <v>337.61000000000007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0.52</v>
      </c>
      <c r="D45" s="12">
        <f>ROUND(D44/G44,2)</f>
        <v>0</v>
      </c>
      <c r="E45" s="12">
        <f>ROUND(E44/G44,2)</f>
        <v>0.45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870960</v>
      </c>
      <c r="D51" s="10">
        <v>396</v>
      </c>
      <c r="E51" s="10">
        <v>906643</v>
      </c>
      <c r="F51" s="10">
        <v>16523</v>
      </c>
      <c r="G51" s="10">
        <f>SUM(C51:F51)</f>
        <v>1794522</v>
      </c>
      <c r="H51" s="16">
        <f>ROUND(G51/6862,2)</f>
        <v>261.52</v>
      </c>
      <c r="I51" s="9"/>
      <c r="J51" s="9"/>
    </row>
    <row r="52" spans="1:10" x14ac:dyDescent="0.25">
      <c r="A52" s="22" t="s">
        <v>55</v>
      </c>
      <c r="B52" s="22"/>
      <c r="C52" s="10">
        <v>339100</v>
      </c>
      <c r="D52" s="10">
        <v>0</v>
      </c>
      <c r="E52" s="10">
        <v>131150</v>
      </c>
      <c r="F52" s="10">
        <v>51840</v>
      </c>
      <c r="G52" s="10">
        <f>SUM(C52:F52)</f>
        <v>522090</v>
      </c>
      <c r="H52" s="16">
        <f>ROUND(G52/6862,2)</f>
        <v>76.08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173</v>
      </c>
      <c r="G53" s="10">
        <f>SUM(C53:F53)</f>
        <v>173</v>
      </c>
      <c r="H53" s="16">
        <f>ROUND(G53/6862,2)</f>
        <v>0.03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ROUND(0.8309, 4)</f>
        <v>0.83089999999999997</v>
      </c>
      <c r="D59" s="15">
        <f>ROUND(0.8175, 4)</f>
        <v>0.8175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ROUND(0.8213, 4)</f>
        <v>0.82130000000000003</v>
      </c>
      <c r="D60" s="15">
        <f>ROUND(0.8073, 4)</f>
        <v>0.80730000000000002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206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49.42</v>
      </c>
      <c r="D65" s="16">
        <v>60.48</v>
      </c>
      <c r="E65" s="16">
        <v>89.58</v>
      </c>
      <c r="F65" s="16">
        <v>53.73</v>
      </c>
      <c r="G65" s="16">
        <f>12/9*C65</f>
        <v>65.893333333333331</v>
      </c>
      <c r="H65" s="8"/>
      <c r="I65" s="9"/>
      <c r="J65" s="9"/>
    </row>
    <row r="66" spans="1:10" x14ac:dyDescent="0.25">
      <c r="A66" s="22" t="s">
        <v>74</v>
      </c>
      <c r="B66" s="22"/>
      <c r="C66" s="16">
        <v>47.01</v>
      </c>
      <c r="D66" s="16">
        <v>59.7</v>
      </c>
      <c r="E66" s="16">
        <v>60.32</v>
      </c>
      <c r="F66" s="16">
        <v>61.62</v>
      </c>
      <c r="G66" s="16">
        <f>12/9*C66</f>
        <v>62.679999999999993</v>
      </c>
      <c r="H66" s="8"/>
      <c r="I66" s="9"/>
      <c r="J66" s="9"/>
    </row>
    <row r="67" spans="1:10" x14ac:dyDescent="0.25">
      <c r="A67" s="22" t="s">
        <v>75</v>
      </c>
      <c r="B67" s="22"/>
      <c r="C67" s="16">
        <v>261.52</v>
      </c>
      <c r="D67" s="16">
        <v>289.49</v>
      </c>
      <c r="E67" s="16">
        <v>282.8</v>
      </c>
      <c r="F67" s="16">
        <v>273.33</v>
      </c>
      <c r="G67" s="16">
        <f>12/9*C67</f>
        <v>348.69333333333327</v>
      </c>
      <c r="H67" s="8"/>
      <c r="I67" s="9"/>
      <c r="J67" s="9"/>
    </row>
    <row r="68" spans="1:10" x14ac:dyDescent="0.25">
      <c r="A68" s="22" t="s">
        <v>76</v>
      </c>
      <c r="B68" s="22"/>
      <c r="C68" s="16">
        <v>76.08</v>
      </c>
      <c r="D68" s="16">
        <v>88.92</v>
      </c>
      <c r="E68" s="16">
        <v>112.72</v>
      </c>
      <c r="F68" s="16">
        <v>76.52</v>
      </c>
      <c r="G68" s="16">
        <f>12/9*C68</f>
        <v>101.44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1" t="s">
        <v>60</v>
      </c>
      <c r="B71" s="28"/>
    </row>
    <row r="72" spans="1:10" x14ac:dyDescent="0.25">
      <c r="A72" s="3" t="s">
        <v>77</v>
      </c>
      <c r="B72" s="1" t="s">
        <v>207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6"/>
  <dimension ref="A2:J71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1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1613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52</v>
      </c>
      <c r="F9" s="10"/>
      <c r="G9" s="10">
        <f t="shared" ref="G9:G37" si="0">SUM(C9:F9)</f>
        <v>52</v>
      </c>
      <c r="H9" s="16">
        <f t="shared" ref="H9:H37" si="1">ROUND(G9/1613,2)</f>
        <v>0.03</v>
      </c>
      <c r="I9" s="15">
        <f t="shared" ref="I9:I37" si="2">ROUND(G9/$G$38,3)</f>
        <v>0</v>
      </c>
      <c r="J9" s="15">
        <f>ROUND(G9/87-1,2)</f>
        <v>-0.4</v>
      </c>
    </row>
    <row r="10" spans="1:10" x14ac:dyDescent="0.25">
      <c r="A10" s="1" t="s">
        <v>16</v>
      </c>
      <c r="B10" s="1" t="s">
        <v>19</v>
      </c>
      <c r="C10" s="10"/>
      <c r="D10" s="10">
        <v>40165</v>
      </c>
      <c r="E10" s="10"/>
      <c r="F10" s="10"/>
      <c r="G10" s="10">
        <f t="shared" si="0"/>
        <v>40165</v>
      </c>
      <c r="H10" s="16">
        <f t="shared" si="1"/>
        <v>24.9</v>
      </c>
      <c r="I10" s="15">
        <f t="shared" si="2"/>
        <v>5.8999999999999997E-2</v>
      </c>
      <c r="J10" s="15">
        <f>ROUND(G10/43125-1,2)</f>
        <v>-7.0000000000000007E-2</v>
      </c>
    </row>
    <row r="11" spans="1:10" x14ac:dyDescent="0.25">
      <c r="A11" s="1" t="s">
        <v>16</v>
      </c>
      <c r="B11" s="1" t="s">
        <v>20</v>
      </c>
      <c r="C11" s="10"/>
      <c r="D11" s="10">
        <v>52345</v>
      </c>
      <c r="E11" s="10"/>
      <c r="F11" s="10"/>
      <c r="G11" s="10">
        <f t="shared" si="0"/>
        <v>52345</v>
      </c>
      <c r="H11" s="16">
        <f t="shared" si="1"/>
        <v>32.450000000000003</v>
      </c>
      <c r="I11" s="15">
        <f t="shared" si="2"/>
        <v>7.5999999999999998E-2</v>
      </c>
      <c r="J11" s="15">
        <f>ROUND(G11/48755-1,2)</f>
        <v>7.0000000000000007E-2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137</v>
      </c>
      <c r="F12" s="10"/>
      <c r="G12" s="10">
        <f t="shared" si="0"/>
        <v>137</v>
      </c>
      <c r="H12" s="16">
        <f t="shared" si="1"/>
        <v>0.08</v>
      </c>
      <c r="I12" s="15">
        <f t="shared" si="2"/>
        <v>0</v>
      </c>
      <c r="J12" s="15">
        <f>ROUND(G12/107-1,2)</f>
        <v>0.28000000000000003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2100</v>
      </c>
      <c r="F13" s="10"/>
      <c r="G13" s="10">
        <f t="shared" si="0"/>
        <v>2100</v>
      </c>
      <c r="H13" s="16">
        <f t="shared" si="1"/>
        <v>1.3</v>
      </c>
      <c r="I13" s="15">
        <f t="shared" si="2"/>
        <v>3.0000000000000001E-3</v>
      </c>
      <c r="J13" s="15">
        <f>ROUND(G13/3300-1,2)</f>
        <v>-0.36</v>
      </c>
    </row>
    <row r="14" spans="1:10" x14ac:dyDescent="0.25">
      <c r="A14" s="1" t="s">
        <v>16</v>
      </c>
      <c r="B14" s="1" t="s">
        <v>98</v>
      </c>
      <c r="C14" s="10"/>
      <c r="D14" s="10"/>
      <c r="E14" s="10"/>
      <c r="F14" s="10">
        <v>286</v>
      </c>
      <c r="G14" s="10">
        <f t="shared" si="0"/>
        <v>286</v>
      </c>
      <c r="H14" s="16">
        <f t="shared" si="1"/>
        <v>0.18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58680</v>
      </c>
      <c r="F15" s="10"/>
      <c r="G15" s="10">
        <f t="shared" si="0"/>
        <v>58680</v>
      </c>
      <c r="H15" s="16">
        <f t="shared" si="1"/>
        <v>36.380000000000003</v>
      </c>
      <c r="I15" s="15">
        <f t="shared" si="2"/>
        <v>8.5999999999999993E-2</v>
      </c>
      <c r="J15" s="15">
        <f>ROUND(G15/58420-1,2)</f>
        <v>0</v>
      </c>
    </row>
    <row r="16" spans="1:10" x14ac:dyDescent="0.25">
      <c r="A16" s="1" t="s">
        <v>16</v>
      </c>
      <c r="B16" s="1" t="s">
        <v>24</v>
      </c>
      <c r="C16" s="10"/>
      <c r="D16" s="10">
        <v>55125</v>
      </c>
      <c r="E16" s="10">
        <v>7100</v>
      </c>
      <c r="F16" s="10"/>
      <c r="G16" s="10">
        <f t="shared" si="0"/>
        <v>62225</v>
      </c>
      <c r="H16" s="16">
        <f t="shared" si="1"/>
        <v>38.58</v>
      </c>
      <c r="I16" s="15">
        <f t="shared" si="2"/>
        <v>9.0999999999999998E-2</v>
      </c>
      <c r="J16" s="15">
        <f>ROUND(G16/59955-1,2)</f>
        <v>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2145</v>
      </c>
      <c r="F17" s="10"/>
      <c r="G17" s="10">
        <f t="shared" si="0"/>
        <v>2145</v>
      </c>
      <c r="H17" s="16">
        <f t="shared" si="1"/>
        <v>1.33</v>
      </c>
      <c r="I17" s="15">
        <f t="shared" si="2"/>
        <v>3.0000000000000001E-3</v>
      </c>
      <c r="J17" s="15">
        <f>ROUND(G17/2715-1,2)</f>
        <v>-0.21</v>
      </c>
    </row>
    <row r="18" spans="1:10" x14ac:dyDescent="0.25">
      <c r="A18" s="1" t="s">
        <v>16</v>
      </c>
      <c r="B18" s="1" t="s">
        <v>26</v>
      </c>
      <c r="C18" s="10"/>
      <c r="D18" s="10">
        <v>58740</v>
      </c>
      <c r="E18" s="10"/>
      <c r="F18" s="10">
        <v>960</v>
      </c>
      <c r="G18" s="10">
        <f t="shared" si="0"/>
        <v>59700</v>
      </c>
      <c r="H18" s="16">
        <f t="shared" si="1"/>
        <v>37.01</v>
      </c>
      <c r="I18" s="15">
        <f t="shared" si="2"/>
        <v>8.6999999999999994E-2</v>
      </c>
      <c r="J18" s="15">
        <f>ROUND(G18/66320-1,2)</f>
        <v>-0.1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1170</v>
      </c>
      <c r="F19" s="10"/>
      <c r="G19" s="10">
        <f t="shared" si="0"/>
        <v>1170</v>
      </c>
      <c r="H19" s="16">
        <f t="shared" si="1"/>
        <v>0.73</v>
      </c>
      <c r="I19" s="15">
        <f t="shared" si="2"/>
        <v>2E-3</v>
      </c>
      <c r="J19" s="15">
        <f>ROUND(G19/1250-1,2)</f>
        <v>-0.06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150</v>
      </c>
      <c r="F20" s="10"/>
      <c r="G20" s="10">
        <f t="shared" si="0"/>
        <v>150</v>
      </c>
      <c r="H20" s="16">
        <f t="shared" si="1"/>
        <v>0.09</v>
      </c>
      <c r="I20" s="15">
        <f t="shared" si="2"/>
        <v>0</v>
      </c>
      <c r="J20" s="15">
        <f>ROUND(G20/410-1,2)</f>
        <v>-0.63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960</v>
      </c>
      <c r="F21" s="10"/>
      <c r="G21" s="10">
        <f t="shared" si="0"/>
        <v>960</v>
      </c>
      <c r="H21" s="16">
        <f t="shared" si="1"/>
        <v>0.6</v>
      </c>
      <c r="I21" s="15">
        <f t="shared" si="2"/>
        <v>1E-3</v>
      </c>
      <c r="J21" s="15">
        <f>ROUND(G21/420-1,2)</f>
        <v>1.29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1805</v>
      </c>
      <c r="F22" s="10">
        <v>570</v>
      </c>
      <c r="G22" s="10">
        <f t="shared" si="0"/>
        <v>2375</v>
      </c>
      <c r="H22" s="16">
        <f t="shared" si="1"/>
        <v>1.47</v>
      </c>
      <c r="I22" s="15">
        <f t="shared" si="2"/>
        <v>3.0000000000000001E-3</v>
      </c>
      <c r="J22" s="15">
        <f>ROUND(G22/1305-1,2)</f>
        <v>0.82</v>
      </c>
    </row>
    <row r="23" spans="1:10" x14ac:dyDescent="0.25">
      <c r="A23" s="1" t="s">
        <v>16</v>
      </c>
      <c r="B23" s="1" t="s">
        <v>33</v>
      </c>
      <c r="C23" s="10"/>
      <c r="D23" s="10">
        <v>133</v>
      </c>
      <c r="E23" s="10">
        <v>51</v>
      </c>
      <c r="F23" s="10"/>
      <c r="G23" s="10">
        <f t="shared" si="0"/>
        <v>184</v>
      </c>
      <c r="H23" s="16">
        <f t="shared" si="1"/>
        <v>0.11</v>
      </c>
      <c r="I23" s="15">
        <f t="shared" si="2"/>
        <v>0</v>
      </c>
      <c r="J23" s="15">
        <f>ROUND(G23/119-1,2)</f>
        <v>0.55000000000000004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1330</v>
      </c>
      <c r="F24" s="10"/>
      <c r="G24" s="10">
        <f t="shared" si="0"/>
        <v>1330</v>
      </c>
      <c r="H24" s="16">
        <f t="shared" si="1"/>
        <v>0.82</v>
      </c>
      <c r="I24" s="15">
        <f t="shared" si="2"/>
        <v>2E-3</v>
      </c>
      <c r="J24" s="15">
        <f>ROUND(G24/1340-1,2)</f>
        <v>-0.01</v>
      </c>
    </row>
    <row r="25" spans="1:10" x14ac:dyDescent="0.25">
      <c r="A25" s="1" t="s">
        <v>16</v>
      </c>
      <c r="B25" s="1" t="s">
        <v>35</v>
      </c>
      <c r="C25" s="10"/>
      <c r="D25" s="10">
        <v>50</v>
      </c>
      <c r="E25" s="10">
        <v>70</v>
      </c>
      <c r="F25" s="10"/>
      <c r="G25" s="10">
        <f t="shared" si="0"/>
        <v>120</v>
      </c>
      <c r="H25" s="16">
        <f t="shared" si="1"/>
        <v>7.0000000000000007E-2</v>
      </c>
      <c r="I25" s="15">
        <f t="shared" si="2"/>
        <v>0</v>
      </c>
      <c r="J25" s="15">
        <f>ROUND(G25/179-1,2)</f>
        <v>-0.33</v>
      </c>
    </row>
    <row r="26" spans="1:10" x14ac:dyDescent="0.25">
      <c r="A26" s="1" t="s">
        <v>16</v>
      </c>
      <c r="B26" s="1" t="s">
        <v>36</v>
      </c>
      <c r="C26" s="10"/>
      <c r="D26" s="10"/>
      <c r="E26" s="10">
        <v>663</v>
      </c>
      <c r="F26" s="10"/>
      <c r="G26" s="10">
        <f t="shared" si="0"/>
        <v>663</v>
      </c>
      <c r="H26" s="16">
        <f t="shared" si="1"/>
        <v>0.41</v>
      </c>
      <c r="I26" s="15">
        <f t="shared" si="2"/>
        <v>1E-3</v>
      </c>
      <c r="J26" s="15">
        <f>ROUND(G26/1616-1,2)</f>
        <v>-0.59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2045</v>
      </c>
      <c r="F27" s="10"/>
      <c r="G27" s="10">
        <f t="shared" si="0"/>
        <v>2045</v>
      </c>
      <c r="H27" s="16">
        <f t="shared" si="1"/>
        <v>1.27</v>
      </c>
      <c r="I27" s="15">
        <f t="shared" si="2"/>
        <v>3.0000000000000001E-3</v>
      </c>
      <c r="J27" s="15">
        <f>ROUND(G27/1873-1,2)</f>
        <v>0.09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2373</v>
      </c>
      <c r="F28" s="10"/>
      <c r="G28" s="10">
        <f t="shared" si="0"/>
        <v>2373</v>
      </c>
      <c r="H28" s="16">
        <f t="shared" si="1"/>
        <v>1.47</v>
      </c>
      <c r="I28" s="15">
        <f t="shared" si="2"/>
        <v>3.0000000000000001E-3</v>
      </c>
      <c r="J28" s="15">
        <f>ROUND(G28/3476-1,2)</f>
        <v>-0.32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40130</v>
      </c>
      <c r="F29" s="10"/>
      <c r="G29" s="10">
        <f t="shared" si="0"/>
        <v>40130</v>
      </c>
      <c r="H29" s="16">
        <f t="shared" si="1"/>
        <v>24.88</v>
      </c>
      <c r="I29" s="15">
        <f t="shared" si="2"/>
        <v>5.8999999999999997E-2</v>
      </c>
      <c r="J29" s="15">
        <f>ROUND(G29/32270-1,2)</f>
        <v>0.24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6120</v>
      </c>
      <c r="F30" s="10"/>
      <c r="G30" s="10">
        <f t="shared" si="0"/>
        <v>6120</v>
      </c>
      <c r="H30" s="16">
        <f t="shared" si="1"/>
        <v>3.79</v>
      </c>
      <c r="I30" s="15">
        <f t="shared" si="2"/>
        <v>8.9999999999999993E-3</v>
      </c>
      <c r="J30" s="15">
        <f>ROUND(G30/4810-1,2)</f>
        <v>0.27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24950</v>
      </c>
      <c r="F31" s="10"/>
      <c r="G31" s="10">
        <f t="shared" si="0"/>
        <v>24950</v>
      </c>
      <c r="H31" s="16">
        <f t="shared" si="1"/>
        <v>15.47</v>
      </c>
      <c r="I31" s="15">
        <f t="shared" si="2"/>
        <v>3.5999999999999997E-2</v>
      </c>
      <c r="J31" s="15">
        <f>ROUND(G31/10690-1,2)</f>
        <v>1.33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56600</v>
      </c>
      <c r="F32" s="10"/>
      <c r="G32" s="10">
        <f t="shared" si="0"/>
        <v>56600</v>
      </c>
      <c r="H32" s="16">
        <f t="shared" si="1"/>
        <v>35.090000000000003</v>
      </c>
      <c r="I32" s="15">
        <f t="shared" si="2"/>
        <v>8.3000000000000004E-2</v>
      </c>
      <c r="J32" s="15">
        <f>ROUND(G32/48630-1,2)</f>
        <v>0.16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ROUND(G33/212-1,2)</f>
        <v>-1</v>
      </c>
    </row>
    <row r="34" spans="1:10" x14ac:dyDescent="0.25">
      <c r="A34" s="1" t="s">
        <v>44</v>
      </c>
      <c r="B34" s="1" t="s">
        <v>45</v>
      </c>
      <c r="C34" s="10"/>
      <c r="D34" s="10">
        <v>248910</v>
      </c>
      <c r="E34" s="10"/>
      <c r="F34" s="10"/>
      <c r="G34" s="10">
        <f t="shared" si="0"/>
        <v>248910</v>
      </c>
      <c r="H34" s="16">
        <f t="shared" si="1"/>
        <v>154.31</v>
      </c>
      <c r="I34" s="15">
        <f t="shared" si="2"/>
        <v>0.36299999999999999</v>
      </c>
      <c r="J34" s="15">
        <f>ROUND(G34/244690-1,2)</f>
        <v>0.02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19560</v>
      </c>
      <c r="F35" s="10"/>
      <c r="G35" s="10">
        <f t="shared" si="0"/>
        <v>19560</v>
      </c>
      <c r="H35" s="16">
        <f t="shared" si="1"/>
        <v>12.13</v>
      </c>
      <c r="I35" s="15">
        <f t="shared" si="2"/>
        <v>2.9000000000000001E-2</v>
      </c>
      <c r="J35" s="15">
        <f>ROUND(G35/22580-1,2)</f>
        <v>-0.13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86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0</v>
      </c>
      <c r="D38" s="11">
        <f t="shared" si="3"/>
        <v>455468</v>
      </c>
      <c r="E38" s="11">
        <f t="shared" si="3"/>
        <v>228191</v>
      </c>
      <c r="F38" s="11">
        <f t="shared" si="3"/>
        <v>1816</v>
      </c>
      <c r="G38" s="11">
        <f t="shared" si="3"/>
        <v>685475</v>
      </c>
      <c r="H38" s="14">
        <f t="shared" si="3"/>
        <v>424.95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</v>
      </c>
      <c r="D39" s="12">
        <f>ROUND(D38/G38,2)</f>
        <v>0.66</v>
      </c>
      <c r="E39" s="12">
        <f>ROUND(E38/G38,2)</f>
        <v>0.33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0</v>
      </c>
      <c r="D45" s="10">
        <v>206558</v>
      </c>
      <c r="E45" s="10">
        <v>208631</v>
      </c>
      <c r="F45" s="10">
        <v>1816</v>
      </c>
      <c r="G45" s="10">
        <f>SUM(C45:F45)</f>
        <v>417005</v>
      </c>
      <c r="H45" s="16">
        <f>ROUND(G45/1613,2)</f>
        <v>258.52999999999997</v>
      </c>
      <c r="I45" s="9"/>
      <c r="J45" s="9"/>
    </row>
    <row r="46" spans="1:10" x14ac:dyDescent="0.25">
      <c r="A46" s="22" t="s">
        <v>55</v>
      </c>
      <c r="B46" s="22"/>
      <c r="C46" s="10">
        <v>0</v>
      </c>
      <c r="D46" s="10">
        <v>248910</v>
      </c>
      <c r="E46" s="10">
        <v>19560</v>
      </c>
      <c r="F46" s="10">
        <v>0</v>
      </c>
      <c r="G46" s="10">
        <f>SUM(C46:F46)</f>
        <v>268470</v>
      </c>
      <c r="H46" s="16">
        <f>ROUND(G46/1613,2)</f>
        <v>166.44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ROUND(G47/1613,2)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ROUND(0.5982, 4)</f>
        <v>0.59819999999999995</v>
      </c>
      <c r="D53" s="15">
        <f>ROUND(0.5905, 4)</f>
        <v>0.59050000000000002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ROUND(0.5743, 4)</f>
        <v>0.57430000000000003</v>
      </c>
      <c r="D54" s="15">
        <f>ROUND(0.5628, 4)</f>
        <v>0.56279999999999997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209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154.31</v>
      </c>
      <c r="D59" s="16">
        <v>177.8</v>
      </c>
      <c r="E59" s="16">
        <v>89.58</v>
      </c>
      <c r="F59" s="16">
        <v>53.73</v>
      </c>
      <c r="G59" s="16">
        <f>12/9*C59</f>
        <v>205.74666666666667</v>
      </c>
      <c r="H59" s="8"/>
      <c r="I59" s="9"/>
      <c r="J59" s="9"/>
    </row>
    <row r="60" spans="1:10" x14ac:dyDescent="0.25">
      <c r="A60" s="22" t="s">
        <v>74</v>
      </c>
      <c r="B60" s="22"/>
      <c r="C60" s="16">
        <v>37.01</v>
      </c>
      <c r="D60" s="16">
        <v>53.28</v>
      </c>
      <c r="E60" s="16">
        <v>60.32</v>
      </c>
      <c r="F60" s="16">
        <v>61.62</v>
      </c>
      <c r="G60" s="16">
        <f>12/9*C60</f>
        <v>49.346666666666664</v>
      </c>
      <c r="H60" s="8"/>
      <c r="I60" s="9"/>
      <c r="J60" s="9"/>
    </row>
    <row r="61" spans="1:10" x14ac:dyDescent="0.25">
      <c r="A61" s="22" t="s">
        <v>75</v>
      </c>
      <c r="B61" s="22"/>
      <c r="C61" s="16">
        <v>258.52999999999997</v>
      </c>
      <c r="D61" s="16">
        <v>319.47000000000003</v>
      </c>
      <c r="E61" s="16">
        <v>282.8</v>
      </c>
      <c r="F61" s="16">
        <v>273.33</v>
      </c>
      <c r="G61" s="16">
        <f>12/9*C61</f>
        <v>344.70666666666659</v>
      </c>
      <c r="H61" s="8"/>
      <c r="I61" s="9"/>
      <c r="J61" s="9"/>
    </row>
    <row r="62" spans="1:10" x14ac:dyDescent="0.25">
      <c r="A62" s="22" t="s">
        <v>76</v>
      </c>
      <c r="B62" s="22"/>
      <c r="C62" s="16">
        <v>166.44</v>
      </c>
      <c r="D62" s="16">
        <v>197.36</v>
      </c>
      <c r="E62" s="16">
        <v>112.72</v>
      </c>
      <c r="F62" s="16">
        <v>76.52</v>
      </c>
      <c r="G62" s="16">
        <f>12/9*C62</f>
        <v>221.92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210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7"/>
  <dimension ref="A2:J71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1602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39" si="0">SUM(C9:F9)</f>
        <v>75</v>
      </c>
      <c r="H9" s="16">
        <f t="shared" ref="H9:H39" si="1">ROUND(G9/1602,2)</f>
        <v>0.05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33190</v>
      </c>
      <c r="D10" s="10"/>
      <c r="E10" s="10"/>
      <c r="F10" s="10">
        <v>210</v>
      </c>
      <c r="G10" s="10">
        <f t="shared" si="0"/>
        <v>33400</v>
      </c>
      <c r="H10" s="16">
        <f t="shared" si="1"/>
        <v>20.85</v>
      </c>
      <c r="I10" s="15">
        <f t="shared" si="2"/>
        <v>9.0999999999999998E-2</v>
      </c>
      <c r="J10" s="15">
        <f>ROUND(G10/30820-1,2)</f>
        <v>0.08</v>
      </c>
    </row>
    <row r="11" spans="1:10" x14ac:dyDescent="0.25">
      <c r="A11" s="1" t="s">
        <v>16</v>
      </c>
      <c r="B11" s="1" t="s">
        <v>20</v>
      </c>
      <c r="C11" s="10">
        <v>44860</v>
      </c>
      <c r="D11" s="10"/>
      <c r="E11" s="10"/>
      <c r="F11" s="10"/>
      <c r="G11" s="10">
        <f t="shared" si="0"/>
        <v>44860</v>
      </c>
      <c r="H11" s="16">
        <f t="shared" si="1"/>
        <v>28</v>
      </c>
      <c r="I11" s="15">
        <f t="shared" si="2"/>
        <v>0.123</v>
      </c>
      <c r="J11" s="15">
        <f>ROUND(G11/45290-1,2)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64</v>
      </c>
      <c r="F12" s="10"/>
      <c r="G12" s="10">
        <f t="shared" si="0"/>
        <v>64</v>
      </c>
      <c r="H12" s="16">
        <f t="shared" si="1"/>
        <v>0.04</v>
      </c>
      <c r="I12" s="15">
        <f t="shared" si="2"/>
        <v>0</v>
      </c>
      <c r="J12" s="15">
        <f>ROUND(G12/179-1,2)</f>
        <v>-0.64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118</v>
      </c>
      <c r="F13" s="10"/>
      <c r="G13" s="10">
        <f t="shared" si="0"/>
        <v>118</v>
      </c>
      <c r="H13" s="16">
        <f t="shared" si="1"/>
        <v>7.0000000000000007E-2</v>
      </c>
      <c r="I13" s="15">
        <f t="shared" si="2"/>
        <v>0</v>
      </c>
      <c r="J13" s="15">
        <f>ROUND(G13/33-1,2)</f>
        <v>2.58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1100</v>
      </c>
      <c r="F14" s="10"/>
      <c r="G14" s="10">
        <f t="shared" si="0"/>
        <v>1100</v>
      </c>
      <c r="H14" s="16">
        <f t="shared" si="1"/>
        <v>0.69</v>
      </c>
      <c r="I14" s="15">
        <f t="shared" si="2"/>
        <v>3.0000000000000001E-3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7880</v>
      </c>
      <c r="F15" s="10"/>
      <c r="G15" s="10">
        <f t="shared" si="0"/>
        <v>7880</v>
      </c>
      <c r="H15" s="16">
        <f t="shared" si="1"/>
        <v>4.92</v>
      </c>
      <c r="I15" s="15">
        <f t="shared" si="2"/>
        <v>2.1999999999999999E-2</v>
      </c>
      <c r="J15" s="15">
        <f>ROUND(G15/18480-1,2)</f>
        <v>-0.56999999999999995</v>
      </c>
    </row>
    <row r="16" spans="1:10" x14ac:dyDescent="0.25">
      <c r="A16" s="1" t="s">
        <v>16</v>
      </c>
      <c r="B16" s="1" t="s">
        <v>24</v>
      </c>
      <c r="C16" s="10">
        <v>42870</v>
      </c>
      <c r="D16" s="10"/>
      <c r="E16" s="10"/>
      <c r="F16" s="10">
        <v>330</v>
      </c>
      <c r="G16" s="10">
        <f t="shared" si="0"/>
        <v>43200</v>
      </c>
      <c r="H16" s="16">
        <f t="shared" si="1"/>
        <v>26.97</v>
      </c>
      <c r="I16" s="15">
        <f t="shared" si="2"/>
        <v>0.11799999999999999</v>
      </c>
      <c r="J16" s="15">
        <f>ROUND(G16/39200-1,2)</f>
        <v>0.1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1440</v>
      </c>
      <c r="F17" s="10"/>
      <c r="G17" s="10">
        <f t="shared" si="0"/>
        <v>1440</v>
      </c>
      <c r="H17" s="16">
        <f t="shared" si="1"/>
        <v>0.9</v>
      </c>
      <c r="I17" s="15">
        <f t="shared" si="2"/>
        <v>4.0000000000000001E-3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91140</v>
      </c>
      <c r="D18" s="10"/>
      <c r="E18" s="10"/>
      <c r="F18" s="10">
        <v>840</v>
      </c>
      <c r="G18" s="10">
        <f t="shared" si="0"/>
        <v>91980</v>
      </c>
      <c r="H18" s="16">
        <f t="shared" si="1"/>
        <v>57.42</v>
      </c>
      <c r="I18" s="15">
        <f t="shared" si="2"/>
        <v>0.251</v>
      </c>
      <c r="J18" s="15">
        <f>ROUND(G18/99260-1,2)</f>
        <v>-7.0000000000000007E-2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483</v>
      </c>
      <c r="F19" s="10"/>
      <c r="G19" s="10">
        <f t="shared" si="0"/>
        <v>483</v>
      </c>
      <c r="H19" s="16">
        <f t="shared" si="1"/>
        <v>0.3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258</v>
      </c>
      <c r="F20" s="10"/>
      <c r="G20" s="10">
        <f t="shared" si="0"/>
        <v>258</v>
      </c>
      <c r="H20" s="16">
        <f t="shared" si="1"/>
        <v>0.16</v>
      </c>
      <c r="I20" s="15">
        <f t="shared" si="2"/>
        <v>1E-3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860</v>
      </c>
      <c r="F21" s="10"/>
      <c r="G21" s="10">
        <f t="shared" si="0"/>
        <v>860</v>
      </c>
      <c r="H21" s="16">
        <f t="shared" si="1"/>
        <v>0.54</v>
      </c>
      <c r="I21" s="15">
        <f t="shared" si="2"/>
        <v>2E-3</v>
      </c>
      <c r="J21" s="15">
        <f>ROUND(G21/560-1,2)</f>
        <v>0.54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0.37</v>
      </c>
      <c r="I22" s="15">
        <f t="shared" si="2"/>
        <v>2E-3</v>
      </c>
      <c r="J22" s="15">
        <f>ROUND(G22/460-1,2)</f>
        <v>0.3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815</v>
      </c>
      <c r="F23" s="10"/>
      <c r="G23" s="10">
        <f t="shared" si="0"/>
        <v>815</v>
      </c>
      <c r="H23" s="16">
        <f t="shared" si="1"/>
        <v>0.51</v>
      </c>
      <c r="I23" s="15">
        <f t="shared" si="2"/>
        <v>2E-3</v>
      </c>
      <c r="J23" s="15">
        <f>ROUND(G23/535-1,2)</f>
        <v>0.52</v>
      </c>
    </row>
    <row r="24" spans="1:10" x14ac:dyDescent="0.25">
      <c r="A24" s="1" t="s">
        <v>16</v>
      </c>
      <c r="B24" s="1" t="s">
        <v>33</v>
      </c>
      <c r="C24" s="10"/>
      <c r="D24" s="10">
        <v>75</v>
      </c>
      <c r="E24" s="10">
        <v>62</v>
      </c>
      <c r="F24" s="10"/>
      <c r="G24" s="10">
        <f t="shared" si="0"/>
        <v>137</v>
      </c>
      <c r="H24" s="16">
        <f t="shared" si="1"/>
        <v>0.09</v>
      </c>
      <c r="I24" s="15">
        <f t="shared" si="2"/>
        <v>0</v>
      </c>
      <c r="J24" s="15">
        <f>ROUND(G24/170-1,2)</f>
        <v>-0.19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150</v>
      </c>
      <c r="F25" s="10"/>
      <c r="G25" s="10">
        <f t="shared" si="0"/>
        <v>150</v>
      </c>
      <c r="H25" s="16">
        <f t="shared" si="1"/>
        <v>0.09</v>
      </c>
      <c r="I25" s="15">
        <f t="shared" si="2"/>
        <v>0</v>
      </c>
      <c r="J25" s="15">
        <f>ROUND(G25/493-1,2)</f>
        <v>-0.7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490</v>
      </c>
      <c r="F26" s="10"/>
      <c r="G26" s="10">
        <f t="shared" si="0"/>
        <v>490</v>
      </c>
      <c r="H26" s="16">
        <f t="shared" si="1"/>
        <v>0.31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2110</v>
      </c>
      <c r="F27" s="10"/>
      <c r="G27" s="10">
        <f t="shared" si="0"/>
        <v>2110</v>
      </c>
      <c r="H27" s="16">
        <f t="shared" si="1"/>
        <v>1.32</v>
      </c>
      <c r="I27" s="15">
        <f t="shared" si="2"/>
        <v>6.0000000000000001E-3</v>
      </c>
      <c r="J27" s="15">
        <f>ROUND(G27/1410-1,2)</f>
        <v>0.5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2020</v>
      </c>
      <c r="F28" s="10"/>
      <c r="G28" s="10">
        <f t="shared" si="0"/>
        <v>2020</v>
      </c>
      <c r="H28" s="16">
        <f t="shared" si="1"/>
        <v>1.26</v>
      </c>
      <c r="I28" s="15">
        <f t="shared" si="2"/>
        <v>6.0000000000000001E-3</v>
      </c>
      <c r="J28" s="15">
        <f>ROUND(G28/1870-1,2)</f>
        <v>0.08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22500</v>
      </c>
      <c r="F29" s="10"/>
      <c r="G29" s="10">
        <f t="shared" si="0"/>
        <v>22500</v>
      </c>
      <c r="H29" s="16">
        <f t="shared" si="1"/>
        <v>14.04</v>
      </c>
      <c r="I29" s="15">
        <f t="shared" si="2"/>
        <v>6.2E-2</v>
      </c>
      <c r="J29" s="15">
        <f>ROUND(G29/12160-1,2)</f>
        <v>0.85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1140</v>
      </c>
      <c r="F30" s="10"/>
      <c r="G30" s="10">
        <f t="shared" si="0"/>
        <v>1140</v>
      </c>
      <c r="H30" s="16">
        <f t="shared" si="1"/>
        <v>0.71</v>
      </c>
      <c r="I30" s="15">
        <f t="shared" si="2"/>
        <v>3.0000000000000001E-3</v>
      </c>
      <c r="J30" s="15"/>
    </row>
    <row r="31" spans="1:10" x14ac:dyDescent="0.25">
      <c r="A31" s="1" t="s">
        <v>16</v>
      </c>
      <c r="B31" s="1" t="s">
        <v>40</v>
      </c>
      <c r="C31" s="10"/>
      <c r="D31" s="10"/>
      <c r="E31" s="10">
        <v>6340</v>
      </c>
      <c r="F31" s="10"/>
      <c r="G31" s="10">
        <f t="shared" si="0"/>
        <v>6340</v>
      </c>
      <c r="H31" s="16">
        <f t="shared" si="1"/>
        <v>3.96</v>
      </c>
      <c r="I31" s="15">
        <f t="shared" si="2"/>
        <v>1.7000000000000001E-2</v>
      </c>
      <c r="J31" s="15">
        <f>ROUND(G31/2770-1,2)</f>
        <v>1.29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40960</v>
      </c>
      <c r="F32" s="10"/>
      <c r="G32" s="10">
        <f t="shared" si="0"/>
        <v>40960</v>
      </c>
      <c r="H32" s="16">
        <f t="shared" si="1"/>
        <v>25.57</v>
      </c>
      <c r="I32" s="15">
        <f t="shared" si="2"/>
        <v>0.112</v>
      </c>
      <c r="J32" s="15">
        <f>ROUND(G32/34590-1,2)</f>
        <v>0.18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ROUND(G33/100-1,2)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ROUND(G34/210-1,2)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ROUND(G35/560-1,2)</f>
        <v>-1</v>
      </c>
    </row>
    <row r="36" spans="1:10" x14ac:dyDescent="0.25">
      <c r="A36" s="1" t="s">
        <v>44</v>
      </c>
      <c r="B36" s="1" t="s">
        <v>45</v>
      </c>
      <c r="C36" s="10">
        <v>42670</v>
      </c>
      <c r="D36" s="10"/>
      <c r="E36" s="10"/>
      <c r="F36" s="10"/>
      <c r="G36" s="10">
        <f t="shared" si="0"/>
        <v>42670</v>
      </c>
      <c r="H36" s="16">
        <f t="shared" si="1"/>
        <v>26.64</v>
      </c>
      <c r="I36" s="15">
        <f t="shared" si="2"/>
        <v>0.11700000000000001</v>
      </c>
      <c r="J36" s="15">
        <f>ROUND(G36/41150-1,2)</f>
        <v>0.04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6020</v>
      </c>
      <c r="G37" s="10">
        <f t="shared" si="0"/>
        <v>6020</v>
      </c>
      <c r="H37" s="16">
        <f t="shared" si="1"/>
        <v>3.76</v>
      </c>
      <c r="I37" s="15">
        <f t="shared" si="2"/>
        <v>1.6E-2</v>
      </c>
      <c r="J37" s="15">
        <f>ROUND(G37/20320-1,2)</f>
        <v>-0.7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14070</v>
      </c>
      <c r="F38" s="10"/>
      <c r="G38" s="10">
        <f t="shared" si="0"/>
        <v>14070</v>
      </c>
      <c r="H38" s="16">
        <f t="shared" si="1"/>
        <v>8.7799999999999994</v>
      </c>
      <c r="I38" s="15">
        <f t="shared" si="2"/>
        <v>3.7999999999999999E-2</v>
      </c>
      <c r="J38" s="15">
        <f>ROUND(G38/7840-1,2)</f>
        <v>0.79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254730</v>
      </c>
      <c r="D40" s="11">
        <f t="shared" si="3"/>
        <v>75</v>
      </c>
      <c r="E40" s="11">
        <f t="shared" si="3"/>
        <v>103535</v>
      </c>
      <c r="F40" s="11">
        <f t="shared" si="3"/>
        <v>7400</v>
      </c>
      <c r="G40" s="11">
        <f t="shared" si="3"/>
        <v>365740</v>
      </c>
      <c r="H40" s="14">
        <f t="shared" si="3"/>
        <v>228.32000000000002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0.7</v>
      </c>
      <c r="D41" s="12">
        <f>ROUND(D40/G40,2)</f>
        <v>0</v>
      </c>
      <c r="E41" s="12">
        <f>ROUND(E40/G40,2)</f>
        <v>0.28000000000000003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212060</v>
      </c>
      <c r="D47" s="10">
        <v>75</v>
      </c>
      <c r="E47" s="10">
        <v>89465</v>
      </c>
      <c r="F47" s="10">
        <v>1380</v>
      </c>
      <c r="G47" s="10">
        <f>SUM(C47:F47)</f>
        <v>302980</v>
      </c>
      <c r="H47" s="16">
        <f>ROUND(G47/1602,2)</f>
        <v>189.13</v>
      </c>
      <c r="I47" s="9"/>
      <c r="J47" s="9"/>
    </row>
    <row r="48" spans="1:10" x14ac:dyDescent="0.25">
      <c r="A48" s="22" t="s">
        <v>55</v>
      </c>
      <c r="B48" s="22"/>
      <c r="C48" s="10">
        <v>42670</v>
      </c>
      <c r="D48" s="10">
        <v>0</v>
      </c>
      <c r="E48" s="10">
        <v>14070</v>
      </c>
      <c r="F48" s="10">
        <v>6020</v>
      </c>
      <c r="G48" s="10">
        <f>SUM(C48:F48)</f>
        <v>62760</v>
      </c>
      <c r="H48" s="16">
        <f>ROUND(G48/1602,2)</f>
        <v>39.18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ROUND(G49/1602,2)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ROUND(0.8737, 4)</f>
        <v>0.87370000000000003</v>
      </c>
      <c r="D55" s="15">
        <f>ROUND(0.8675, 4)</f>
        <v>0.86750000000000005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ROUND(0.8617, 4)</f>
        <v>0.86170000000000002</v>
      </c>
      <c r="D56" s="15">
        <f>ROUND(0.8552, 4)</f>
        <v>0.85519999999999996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212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26.64</v>
      </c>
      <c r="D61" s="16">
        <v>41.89</v>
      </c>
      <c r="E61" s="16">
        <v>89.58</v>
      </c>
      <c r="F61" s="16">
        <v>53.73</v>
      </c>
      <c r="G61" s="16">
        <f>12/9*C61</f>
        <v>35.519999999999996</v>
      </c>
      <c r="H61" s="8"/>
      <c r="I61" s="9"/>
      <c r="J61" s="9"/>
    </row>
    <row r="62" spans="1:10" x14ac:dyDescent="0.25">
      <c r="A62" s="22" t="s">
        <v>74</v>
      </c>
      <c r="B62" s="22"/>
      <c r="C62" s="16">
        <v>57.42</v>
      </c>
      <c r="D62" s="16">
        <v>80.05</v>
      </c>
      <c r="E62" s="16">
        <v>60.32</v>
      </c>
      <c r="F62" s="16">
        <v>61.62</v>
      </c>
      <c r="G62" s="16">
        <f>12/9*C62</f>
        <v>76.56</v>
      </c>
      <c r="H62" s="8"/>
      <c r="I62" s="9"/>
      <c r="J62" s="9"/>
    </row>
    <row r="63" spans="1:10" x14ac:dyDescent="0.25">
      <c r="A63" s="22" t="s">
        <v>75</v>
      </c>
      <c r="B63" s="22"/>
      <c r="C63" s="16">
        <v>189.13</v>
      </c>
      <c r="D63" s="16">
        <v>237.86</v>
      </c>
      <c r="E63" s="16">
        <v>282.8</v>
      </c>
      <c r="F63" s="16">
        <v>273.33</v>
      </c>
      <c r="G63" s="16">
        <f>12/9*C63</f>
        <v>252.17333333333332</v>
      </c>
      <c r="H63" s="8"/>
      <c r="I63" s="9"/>
      <c r="J63" s="9"/>
    </row>
    <row r="64" spans="1:10" x14ac:dyDescent="0.25">
      <c r="A64" s="22" t="s">
        <v>76</v>
      </c>
      <c r="B64" s="22"/>
      <c r="C64" s="16">
        <v>39.18</v>
      </c>
      <c r="D64" s="16">
        <v>60.91</v>
      </c>
      <c r="E64" s="16">
        <v>112.72</v>
      </c>
      <c r="F64" s="16">
        <v>76.52</v>
      </c>
      <c r="G64" s="16">
        <f>12/9*C64</f>
        <v>52.239999999999995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</row>
    <row r="68" spans="1:10" x14ac:dyDescent="0.25">
      <c r="A68" s="3" t="s">
        <v>77</v>
      </c>
      <c r="B68" s="1" t="s">
        <v>213</v>
      </c>
    </row>
    <row r="69" spans="1:10" x14ac:dyDescent="0.25">
      <c r="A69" s="3" t="s">
        <v>70</v>
      </c>
      <c r="B69" s="1" t="s">
        <v>79</v>
      </c>
    </row>
    <row r="70" spans="1:10" x14ac:dyDescent="0.25">
      <c r="A70" s="3" t="s">
        <v>71</v>
      </c>
      <c r="B70" s="1" t="s">
        <v>80</v>
      </c>
    </row>
    <row r="71" spans="1:10" x14ac:dyDescent="0.25">
      <c r="A71" s="3" t="s">
        <v>72</v>
      </c>
      <c r="B71" s="1" t="s">
        <v>81</v>
      </c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8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5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483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10200</v>
      </c>
      <c r="D9" s="10"/>
      <c r="E9" s="10"/>
      <c r="F9" s="10"/>
      <c r="G9" s="10">
        <f t="shared" ref="G9:G34" si="0">SUM(C9:F9)</f>
        <v>10200</v>
      </c>
      <c r="H9" s="16">
        <f t="shared" ref="H9:H34" si="1">ROUND(G9/483,2)</f>
        <v>21.12</v>
      </c>
      <c r="I9" s="15">
        <f t="shared" ref="I9:I34" si="2">ROUND(G9/$G$35,3)</f>
        <v>7.4999999999999997E-2</v>
      </c>
      <c r="J9" s="15">
        <f>ROUND(G9/9040-1,2)</f>
        <v>0.13</v>
      </c>
    </row>
    <row r="10" spans="1:10" x14ac:dyDescent="0.25">
      <c r="A10" s="1" t="s">
        <v>16</v>
      </c>
      <c r="B10" s="1" t="s">
        <v>20</v>
      </c>
      <c r="C10" s="10">
        <v>15980</v>
      </c>
      <c r="D10" s="10"/>
      <c r="E10" s="10"/>
      <c r="F10" s="10"/>
      <c r="G10" s="10">
        <f t="shared" si="0"/>
        <v>15980</v>
      </c>
      <c r="H10" s="16">
        <f t="shared" si="1"/>
        <v>33.08</v>
      </c>
      <c r="I10" s="15">
        <f t="shared" si="2"/>
        <v>0.11799999999999999</v>
      </c>
      <c r="J10" s="15">
        <f>ROUND(G10/15000-1,2)</f>
        <v>7.0000000000000007E-2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0.1</v>
      </c>
      <c r="I11" s="15">
        <f t="shared" si="2"/>
        <v>0</v>
      </c>
      <c r="J11" s="15">
        <f>ROUND(G11/67-1,2)</f>
        <v>-0.25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700</v>
      </c>
      <c r="F12" s="10"/>
      <c r="G12" s="10">
        <f t="shared" si="0"/>
        <v>700</v>
      </c>
      <c r="H12" s="16">
        <f t="shared" si="1"/>
        <v>1.45</v>
      </c>
      <c r="I12" s="15">
        <f t="shared" si="2"/>
        <v>5.0000000000000001E-3</v>
      </c>
      <c r="J12" s="15"/>
    </row>
    <row r="13" spans="1:10" x14ac:dyDescent="0.25">
      <c r="A13" s="1" t="s">
        <v>16</v>
      </c>
      <c r="B13" s="1" t="s">
        <v>24</v>
      </c>
      <c r="C13" s="10">
        <v>13450</v>
      </c>
      <c r="D13" s="10"/>
      <c r="E13" s="10"/>
      <c r="F13" s="10"/>
      <c r="G13" s="10">
        <f t="shared" si="0"/>
        <v>13450</v>
      </c>
      <c r="H13" s="16">
        <f t="shared" si="1"/>
        <v>27.85</v>
      </c>
      <c r="I13" s="15">
        <f t="shared" si="2"/>
        <v>9.9000000000000005E-2</v>
      </c>
      <c r="J13" s="15">
        <f>ROUND(G13/12990-1,2)</f>
        <v>0.04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1190</v>
      </c>
      <c r="F14" s="10"/>
      <c r="G14" s="10">
        <f t="shared" si="0"/>
        <v>1190</v>
      </c>
      <c r="H14" s="16">
        <f t="shared" si="1"/>
        <v>2.46</v>
      </c>
      <c r="I14" s="15">
        <f t="shared" si="2"/>
        <v>8.9999999999999993E-3</v>
      </c>
      <c r="J14" s="15"/>
    </row>
    <row r="15" spans="1:10" x14ac:dyDescent="0.25">
      <c r="A15" s="1" t="s">
        <v>16</v>
      </c>
      <c r="B15" s="1" t="s">
        <v>26</v>
      </c>
      <c r="C15" s="10">
        <v>10080</v>
      </c>
      <c r="D15" s="10"/>
      <c r="E15" s="10"/>
      <c r="F15" s="10">
        <v>40</v>
      </c>
      <c r="G15" s="10">
        <f t="shared" si="0"/>
        <v>10120</v>
      </c>
      <c r="H15" s="16">
        <f t="shared" si="1"/>
        <v>20.95</v>
      </c>
      <c r="I15" s="15">
        <f t="shared" si="2"/>
        <v>7.3999999999999996E-2</v>
      </c>
      <c r="J15" s="15">
        <f>ROUND(G15/9600-1,2)</f>
        <v>0.05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480</v>
      </c>
      <c r="F16" s="10"/>
      <c r="G16" s="10">
        <f t="shared" si="0"/>
        <v>480</v>
      </c>
      <c r="H16" s="16">
        <f t="shared" si="1"/>
        <v>0.99</v>
      </c>
      <c r="I16" s="15">
        <f t="shared" si="2"/>
        <v>4.0000000000000001E-3</v>
      </c>
      <c r="J16" s="15">
        <f>ROUND(G16/680-1,2)</f>
        <v>-0.28999999999999998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410</v>
      </c>
      <c r="F17" s="10"/>
      <c r="G17" s="10">
        <f t="shared" si="0"/>
        <v>410</v>
      </c>
      <c r="H17" s="16">
        <f t="shared" si="1"/>
        <v>0.85</v>
      </c>
      <c r="I17" s="15">
        <f t="shared" si="2"/>
        <v>3.0000000000000001E-3</v>
      </c>
      <c r="J17" s="15"/>
    </row>
    <row r="18" spans="1:10" x14ac:dyDescent="0.25">
      <c r="A18" s="1" t="s">
        <v>16</v>
      </c>
      <c r="B18" s="1" t="s">
        <v>32</v>
      </c>
      <c r="C18" s="10"/>
      <c r="D18" s="10"/>
      <c r="E18" s="10">
        <v>540</v>
      </c>
      <c r="F18" s="10"/>
      <c r="G18" s="10">
        <f t="shared" si="0"/>
        <v>540</v>
      </c>
      <c r="H18" s="16">
        <f t="shared" si="1"/>
        <v>1.1200000000000001</v>
      </c>
      <c r="I18" s="15">
        <f t="shared" si="2"/>
        <v>4.0000000000000001E-3</v>
      </c>
      <c r="J18" s="15">
        <f>ROUND(G18/595-1,2)</f>
        <v>-0.09</v>
      </c>
    </row>
    <row r="19" spans="1:10" x14ac:dyDescent="0.25">
      <c r="A19" s="1" t="s">
        <v>16</v>
      </c>
      <c r="B19" s="1" t="s">
        <v>33</v>
      </c>
      <c r="C19" s="10"/>
      <c r="D19" s="10">
        <v>25</v>
      </c>
      <c r="E19" s="10">
        <v>24</v>
      </c>
      <c r="F19" s="10"/>
      <c r="G19" s="10">
        <f t="shared" si="0"/>
        <v>49</v>
      </c>
      <c r="H19" s="16">
        <f t="shared" si="1"/>
        <v>0.1</v>
      </c>
      <c r="I19" s="15">
        <f t="shared" si="2"/>
        <v>0</v>
      </c>
      <c r="J19" s="15">
        <f>ROUND(G19/38-1,2)</f>
        <v>0.28999999999999998</v>
      </c>
    </row>
    <row r="20" spans="1:10" x14ac:dyDescent="0.25">
      <c r="A20" s="1" t="s">
        <v>16</v>
      </c>
      <c r="B20" s="1" t="s">
        <v>34</v>
      </c>
      <c r="C20" s="10"/>
      <c r="D20" s="10"/>
      <c r="E20" s="10">
        <v>540</v>
      </c>
      <c r="F20" s="10"/>
      <c r="G20" s="10">
        <f t="shared" si="0"/>
        <v>540</v>
      </c>
      <c r="H20" s="16">
        <f t="shared" si="1"/>
        <v>1.1200000000000001</v>
      </c>
      <c r="I20" s="15">
        <f t="shared" si="2"/>
        <v>4.0000000000000001E-3</v>
      </c>
      <c r="J20" s="15"/>
    </row>
    <row r="21" spans="1:10" x14ac:dyDescent="0.25">
      <c r="A21" s="1" t="s">
        <v>16</v>
      </c>
      <c r="B21" s="1" t="s">
        <v>35</v>
      </c>
      <c r="C21" s="10"/>
      <c r="D21" s="10">
        <v>160</v>
      </c>
      <c r="E21" s="10"/>
      <c r="F21" s="10"/>
      <c r="G21" s="10">
        <f t="shared" si="0"/>
        <v>160</v>
      </c>
      <c r="H21" s="16">
        <f t="shared" si="1"/>
        <v>0.33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37</v>
      </c>
      <c r="C22" s="10"/>
      <c r="D22" s="10"/>
      <c r="E22" s="10">
        <v>690</v>
      </c>
      <c r="F22" s="10"/>
      <c r="G22" s="10">
        <f t="shared" si="0"/>
        <v>690</v>
      </c>
      <c r="H22" s="16">
        <f t="shared" si="1"/>
        <v>1.43</v>
      </c>
      <c r="I22" s="15">
        <f t="shared" si="2"/>
        <v>5.0000000000000001E-3</v>
      </c>
      <c r="J22" s="15"/>
    </row>
    <row r="23" spans="1:10" x14ac:dyDescent="0.25">
      <c r="A23" s="1" t="s">
        <v>16</v>
      </c>
      <c r="B23" s="1" t="s">
        <v>38</v>
      </c>
      <c r="C23" s="10"/>
      <c r="D23" s="10"/>
      <c r="E23" s="10">
        <v>18745</v>
      </c>
      <c r="F23" s="10"/>
      <c r="G23" s="10">
        <f t="shared" si="0"/>
        <v>18745</v>
      </c>
      <c r="H23" s="16">
        <f t="shared" si="1"/>
        <v>38.81</v>
      </c>
      <c r="I23" s="15">
        <f t="shared" si="2"/>
        <v>0.13800000000000001</v>
      </c>
      <c r="J23" s="15">
        <f>ROUND(G23/14370-1,2)</f>
        <v>0.3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1.24</v>
      </c>
      <c r="I24" s="15">
        <f t="shared" si="2"/>
        <v>4.0000000000000001E-3</v>
      </c>
      <c r="J24" s="15">
        <f>ROUND(G24/2490-1,2)</f>
        <v>-0.76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7930</v>
      </c>
      <c r="F25" s="10"/>
      <c r="G25" s="10">
        <f t="shared" si="0"/>
        <v>7930</v>
      </c>
      <c r="H25" s="16">
        <f t="shared" si="1"/>
        <v>16.420000000000002</v>
      </c>
      <c r="I25" s="15">
        <f t="shared" si="2"/>
        <v>5.8000000000000003E-2</v>
      </c>
      <c r="J25" s="15">
        <f>ROUND(G25/5670-1,2)</f>
        <v>0.4</v>
      </c>
    </row>
    <row r="26" spans="1:10" x14ac:dyDescent="0.25">
      <c r="A26" s="1" t="s">
        <v>16</v>
      </c>
      <c r="B26" s="1" t="s">
        <v>41</v>
      </c>
      <c r="C26" s="10"/>
      <c r="D26" s="10"/>
      <c r="E26" s="10"/>
      <c r="F26" s="10">
        <v>10270</v>
      </c>
      <c r="G26" s="10">
        <f t="shared" si="0"/>
        <v>10270</v>
      </c>
      <c r="H26" s="16">
        <f t="shared" si="1"/>
        <v>21.26</v>
      </c>
      <c r="I26" s="15">
        <f t="shared" si="2"/>
        <v>7.5999999999999998E-2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ROUND(G27/456-1,2)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ROUND(G28/1440-1,2)</f>
        <v>-1</v>
      </c>
    </row>
    <row r="29" spans="1:10" x14ac:dyDescent="0.25">
      <c r="A29" s="1" t="s">
        <v>16</v>
      </c>
      <c r="B29" s="1" t="s">
        <v>17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31100</v>
      </c>
      <c r="D33" s="10"/>
      <c r="E33" s="10"/>
      <c r="F33" s="10">
        <v>60</v>
      </c>
      <c r="G33" s="10">
        <f t="shared" si="0"/>
        <v>31160</v>
      </c>
      <c r="H33" s="16">
        <f t="shared" si="1"/>
        <v>64.510000000000005</v>
      </c>
      <c r="I33" s="15">
        <f t="shared" si="2"/>
        <v>0.22900000000000001</v>
      </c>
      <c r="J33" s="15">
        <f>ROUND(G33/38960-1,2)</f>
        <v>-0.2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12660</v>
      </c>
      <c r="F34" s="10"/>
      <c r="G34" s="10">
        <f t="shared" si="0"/>
        <v>12660</v>
      </c>
      <c r="H34" s="16">
        <f t="shared" si="1"/>
        <v>26.21</v>
      </c>
      <c r="I34" s="15">
        <f t="shared" si="2"/>
        <v>9.2999999999999999E-2</v>
      </c>
      <c r="J34" s="15">
        <f>ROUND(G34/7560-1,2)</f>
        <v>0.67</v>
      </c>
    </row>
    <row r="35" spans="1:10" x14ac:dyDescent="0.25">
      <c r="A35" s="23" t="s">
        <v>12</v>
      </c>
      <c r="B35" s="23"/>
      <c r="C35" s="11">
        <f t="shared" ref="C35:H35" si="3">SUM(C8:C34)</f>
        <v>80810</v>
      </c>
      <c r="D35" s="11">
        <f t="shared" si="3"/>
        <v>185</v>
      </c>
      <c r="E35" s="11">
        <f t="shared" si="3"/>
        <v>44559</v>
      </c>
      <c r="F35" s="11">
        <f t="shared" si="3"/>
        <v>10370</v>
      </c>
      <c r="G35" s="11">
        <f t="shared" si="3"/>
        <v>135924</v>
      </c>
      <c r="H35" s="14">
        <f t="shared" si="3"/>
        <v>281.39999999999998</v>
      </c>
      <c r="I35" s="17"/>
      <c r="J35" s="17"/>
    </row>
    <row r="36" spans="1:10" x14ac:dyDescent="0.25">
      <c r="A36" s="23" t="s">
        <v>14</v>
      </c>
      <c r="B36" s="23"/>
      <c r="C36" s="12">
        <f>ROUND(C35/G35,2)</f>
        <v>0.59</v>
      </c>
      <c r="D36" s="12">
        <f>ROUND(D35/G35,2)</f>
        <v>0</v>
      </c>
      <c r="E36" s="12">
        <f>ROUND(E35/G35,2)</f>
        <v>0.33</v>
      </c>
      <c r="F36" s="12">
        <f>ROUND(F35/G35,2)</f>
        <v>0.08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3" t="s">
        <v>53</v>
      </c>
      <c r="B41" s="23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2" t="s">
        <v>54</v>
      </c>
      <c r="B42" s="22"/>
      <c r="C42" s="10">
        <v>49710</v>
      </c>
      <c r="D42" s="10">
        <v>185</v>
      </c>
      <c r="E42" s="10">
        <v>31899</v>
      </c>
      <c r="F42" s="10">
        <v>10310</v>
      </c>
      <c r="G42" s="10">
        <f>SUM(C42:F42)</f>
        <v>92104</v>
      </c>
      <c r="H42" s="16">
        <f>ROUND(G42/483,2)</f>
        <v>190.69</v>
      </c>
      <c r="I42" s="9"/>
      <c r="J42" s="9"/>
    </row>
    <row r="43" spans="1:10" x14ac:dyDescent="0.25">
      <c r="A43" s="22" t="s">
        <v>55</v>
      </c>
      <c r="B43" s="22"/>
      <c r="C43" s="10">
        <v>31100</v>
      </c>
      <c r="D43" s="10">
        <v>0</v>
      </c>
      <c r="E43" s="10">
        <v>12660</v>
      </c>
      <c r="F43" s="10">
        <v>60</v>
      </c>
      <c r="G43" s="10">
        <f>SUM(C43:F43)</f>
        <v>43820</v>
      </c>
      <c r="H43" s="16">
        <f>ROUND(G43/483,2)</f>
        <v>90.72</v>
      </c>
      <c r="I43" s="9"/>
      <c r="J43" s="9"/>
    </row>
    <row r="44" spans="1:10" x14ac:dyDescent="0.25">
      <c r="A44" s="22" t="s">
        <v>56</v>
      </c>
      <c r="B44" s="22"/>
      <c r="C44" s="10"/>
      <c r="D44" s="10"/>
      <c r="E44" s="10"/>
      <c r="F44" s="10"/>
      <c r="G44" s="10">
        <f>SUM(C44:F44)</f>
        <v>0</v>
      </c>
      <c r="H44" s="16">
        <f>ROUND(G44/483,2)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57</v>
      </c>
      <c r="B49" s="23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2" t="s">
        <v>58</v>
      </c>
      <c r="B50" s="22"/>
      <c r="C50" s="15">
        <f>ROUND(0.7595, 4)</f>
        <v>0.75949999999999995</v>
      </c>
      <c r="D50" s="15">
        <f>ROUND(0.6509, 4)</f>
        <v>0.65090000000000003</v>
      </c>
      <c r="E50" s="15">
        <f>ROUND(0.777, 4)</f>
        <v>0.77700000000000002</v>
      </c>
      <c r="F50" s="8"/>
      <c r="G50" s="14" t="s">
        <v>62</v>
      </c>
      <c r="H50" s="26" t="s">
        <v>63</v>
      </c>
      <c r="I50" s="24" t="s">
        <v>64</v>
      </c>
      <c r="J50" s="24" t="s">
        <v>65</v>
      </c>
    </row>
    <row r="51" spans="1:10" x14ac:dyDescent="0.25">
      <c r="A51" s="22" t="s">
        <v>66</v>
      </c>
      <c r="B51" s="22"/>
      <c r="C51" s="15">
        <f>ROUND(0.7498, 4)</f>
        <v>0.74980000000000002</v>
      </c>
      <c r="D51" s="15">
        <f>ROUND(0.6408, 4)</f>
        <v>0.64080000000000004</v>
      </c>
      <c r="E51" s="15">
        <f>ROUND(0.7608, 4)</f>
        <v>0.76080000000000003</v>
      </c>
      <c r="F51" s="8"/>
      <c r="G51" s="14" t="s">
        <v>67</v>
      </c>
      <c r="H51" s="27"/>
      <c r="I51" s="25"/>
      <c r="J51" s="25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68</v>
      </c>
      <c r="B55" s="23"/>
      <c r="C55" s="14" t="s">
        <v>2</v>
      </c>
      <c r="D55" s="14" t="s">
        <v>215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2" t="s">
        <v>73</v>
      </c>
      <c r="B56" s="22"/>
      <c r="C56" s="16">
        <v>64.510000000000005</v>
      </c>
      <c r="D56" s="16">
        <v>100.93</v>
      </c>
      <c r="E56" s="16">
        <v>89.58</v>
      </c>
      <c r="F56" s="16">
        <v>53.73</v>
      </c>
      <c r="G56" s="16">
        <f>12/9*C56</f>
        <v>86.013333333333335</v>
      </c>
      <c r="H56" s="8"/>
      <c r="I56" s="9"/>
      <c r="J56" s="9"/>
    </row>
    <row r="57" spans="1:10" x14ac:dyDescent="0.25">
      <c r="A57" s="22" t="s">
        <v>74</v>
      </c>
      <c r="B57" s="22"/>
      <c r="C57" s="16">
        <v>20.95</v>
      </c>
      <c r="D57" s="16">
        <v>28.59</v>
      </c>
      <c r="E57" s="16">
        <v>60.32</v>
      </c>
      <c r="F57" s="16">
        <v>61.62</v>
      </c>
      <c r="G57" s="16">
        <f>12/9*C57</f>
        <v>27.93333333333333</v>
      </c>
      <c r="H57" s="8"/>
      <c r="I57" s="9"/>
      <c r="J57" s="9"/>
    </row>
    <row r="58" spans="1:10" x14ac:dyDescent="0.25">
      <c r="A58" s="22" t="s">
        <v>75</v>
      </c>
      <c r="B58" s="22"/>
      <c r="C58" s="16">
        <v>190.69</v>
      </c>
      <c r="D58" s="16">
        <v>236.04</v>
      </c>
      <c r="E58" s="16">
        <v>282.8</v>
      </c>
      <c r="F58" s="16">
        <v>273.33</v>
      </c>
      <c r="G58" s="16">
        <f>12/9*C58</f>
        <v>254.25333333333333</v>
      </c>
      <c r="H58" s="8"/>
      <c r="I58" s="9"/>
      <c r="J58" s="9"/>
    </row>
    <row r="59" spans="1:10" x14ac:dyDescent="0.25">
      <c r="A59" s="22" t="s">
        <v>76</v>
      </c>
      <c r="B59" s="22"/>
      <c r="C59" s="16">
        <v>90.72</v>
      </c>
      <c r="D59" s="16">
        <v>118.86</v>
      </c>
      <c r="E59" s="16">
        <v>112.72</v>
      </c>
      <c r="F59" s="16">
        <v>76.52</v>
      </c>
      <c r="G59" s="16">
        <f>12/9*C59</f>
        <v>120.96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1" t="s">
        <v>60</v>
      </c>
      <c r="B62" s="28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216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57:B57"/>
    <mergeCell ref="A58:B58"/>
    <mergeCell ref="A59:B59"/>
    <mergeCell ref="A62:B62"/>
    <mergeCell ref="I50:I51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C7:G7"/>
    <mergeCell ref="A35:B35"/>
    <mergeCell ref="A36:B36"/>
    <mergeCell ref="A41:B41"/>
    <mergeCell ref="A42:B4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9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8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4801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438</v>
      </c>
      <c r="G9" s="10">
        <f t="shared" ref="G9:G43" si="0">SUM(C9:F9)</f>
        <v>438</v>
      </c>
      <c r="H9" s="16">
        <f t="shared" ref="H9:H43" si="1">ROUND(G9/4801,2)</f>
        <v>0.09</v>
      </c>
      <c r="I9" s="15">
        <f t="shared" ref="I9:I43" si="2">ROUND(G9/$G$44,3)</f>
        <v>0</v>
      </c>
      <c r="J9" s="15">
        <f>ROUND(G9/150-1,2)</f>
        <v>1.92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17</v>
      </c>
      <c r="C11" s="10"/>
      <c r="D11" s="10"/>
      <c r="E11" s="10">
        <v>100</v>
      </c>
      <c r="F11" s="10"/>
      <c r="G11" s="10">
        <f t="shared" si="0"/>
        <v>100</v>
      </c>
      <c r="H11" s="16">
        <f t="shared" si="1"/>
        <v>0.02</v>
      </c>
      <c r="I11" s="15">
        <f t="shared" si="2"/>
        <v>0</v>
      </c>
      <c r="J11" s="15">
        <f>ROUND(G11/106-1,2)</f>
        <v>-0.06</v>
      </c>
    </row>
    <row r="12" spans="1:10" x14ac:dyDescent="0.25">
      <c r="A12" s="1" t="s">
        <v>16</v>
      </c>
      <c r="B12" s="1" t="s">
        <v>19</v>
      </c>
      <c r="C12" s="10">
        <v>110515</v>
      </c>
      <c r="D12" s="10"/>
      <c r="E12" s="10"/>
      <c r="F12" s="10">
        <v>2835</v>
      </c>
      <c r="G12" s="10">
        <f t="shared" si="0"/>
        <v>113350</v>
      </c>
      <c r="H12" s="16">
        <f t="shared" si="1"/>
        <v>23.61</v>
      </c>
      <c r="I12" s="15">
        <f t="shared" si="2"/>
        <v>6.4000000000000001E-2</v>
      </c>
      <c r="J12" s="15">
        <f>ROUND(G12/114530-1,2)</f>
        <v>-0.01</v>
      </c>
    </row>
    <row r="13" spans="1:10" x14ac:dyDescent="0.25">
      <c r="A13" s="1" t="s">
        <v>16</v>
      </c>
      <c r="B13" s="1" t="s">
        <v>20</v>
      </c>
      <c r="C13" s="10">
        <v>189340</v>
      </c>
      <c r="D13" s="10"/>
      <c r="E13" s="10"/>
      <c r="F13" s="10"/>
      <c r="G13" s="10">
        <f t="shared" si="0"/>
        <v>189340</v>
      </c>
      <c r="H13" s="16">
        <f t="shared" si="1"/>
        <v>39.44</v>
      </c>
      <c r="I13" s="15">
        <f t="shared" si="2"/>
        <v>0.107</v>
      </c>
      <c r="J13" s="15">
        <f>ROUND(G13/195190-1,2)</f>
        <v>-0.03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121</v>
      </c>
      <c r="F14" s="10"/>
      <c r="G14" s="10">
        <f t="shared" si="0"/>
        <v>121</v>
      </c>
      <c r="H14" s="16">
        <f t="shared" si="1"/>
        <v>0.03</v>
      </c>
      <c r="I14" s="15">
        <f t="shared" si="2"/>
        <v>0</v>
      </c>
      <c r="J14" s="15">
        <f>ROUND(G14/63-1,2)</f>
        <v>0.92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547</v>
      </c>
      <c r="F15" s="10"/>
      <c r="G15" s="10">
        <f t="shared" si="0"/>
        <v>547</v>
      </c>
      <c r="H15" s="16">
        <f t="shared" si="1"/>
        <v>0.11</v>
      </c>
      <c r="I15" s="15">
        <f t="shared" si="2"/>
        <v>0</v>
      </c>
      <c r="J15" s="15">
        <f>ROUND(G15/190-1,2)</f>
        <v>1.88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2600</v>
      </c>
      <c r="F16" s="10"/>
      <c r="G16" s="10">
        <f t="shared" si="0"/>
        <v>2600</v>
      </c>
      <c r="H16" s="16">
        <f t="shared" si="1"/>
        <v>0.54</v>
      </c>
      <c r="I16" s="15">
        <f t="shared" si="2"/>
        <v>1E-3</v>
      </c>
      <c r="J16" s="15">
        <f>ROUND(G16/1800-1,2)</f>
        <v>0.44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145100</v>
      </c>
      <c r="F17" s="10"/>
      <c r="G17" s="10">
        <f t="shared" si="0"/>
        <v>145100</v>
      </c>
      <c r="H17" s="16">
        <f t="shared" si="1"/>
        <v>30.22</v>
      </c>
      <c r="I17" s="15">
        <f t="shared" si="2"/>
        <v>8.2000000000000003E-2</v>
      </c>
      <c r="J17" s="15">
        <f>ROUND(G17/24460-1,2)</f>
        <v>4.93</v>
      </c>
    </row>
    <row r="18" spans="1:10" x14ac:dyDescent="0.25">
      <c r="A18" s="1" t="s">
        <v>16</v>
      </c>
      <c r="B18" s="1" t="s">
        <v>24</v>
      </c>
      <c r="C18" s="10">
        <v>163990</v>
      </c>
      <c r="D18" s="10"/>
      <c r="E18" s="10">
        <v>18580</v>
      </c>
      <c r="F18" s="10">
        <v>17940</v>
      </c>
      <c r="G18" s="10">
        <f t="shared" si="0"/>
        <v>200510</v>
      </c>
      <c r="H18" s="16">
        <f t="shared" si="1"/>
        <v>41.76</v>
      </c>
      <c r="I18" s="15">
        <f t="shared" si="2"/>
        <v>0.113</v>
      </c>
      <c r="J18" s="15">
        <f>ROUND(G18/190550-1,2)</f>
        <v>0.05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10390</v>
      </c>
      <c r="F19" s="10"/>
      <c r="G19" s="10">
        <f t="shared" si="0"/>
        <v>10390</v>
      </c>
      <c r="H19" s="16">
        <f t="shared" si="1"/>
        <v>2.16</v>
      </c>
      <c r="I19" s="15">
        <f t="shared" si="2"/>
        <v>6.0000000000000001E-3</v>
      </c>
      <c r="J19" s="15">
        <f>ROUND(G19/5230-1,2)</f>
        <v>0.99</v>
      </c>
    </row>
    <row r="20" spans="1:10" x14ac:dyDescent="0.25">
      <c r="A20" s="1" t="s">
        <v>16</v>
      </c>
      <c r="B20" s="1" t="s">
        <v>26</v>
      </c>
      <c r="C20" s="10">
        <v>232090</v>
      </c>
      <c r="D20" s="10"/>
      <c r="E20" s="10"/>
      <c r="F20" s="10">
        <v>1170</v>
      </c>
      <c r="G20" s="10">
        <f t="shared" si="0"/>
        <v>233260</v>
      </c>
      <c r="H20" s="16">
        <f t="shared" si="1"/>
        <v>48.59</v>
      </c>
      <c r="I20" s="15">
        <f t="shared" si="2"/>
        <v>0.13200000000000001</v>
      </c>
      <c r="J20" s="15">
        <f>ROUND(G20/237920-1,2)</f>
        <v>-0.02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1183</v>
      </c>
      <c r="F21" s="10"/>
      <c r="G21" s="10">
        <f t="shared" si="0"/>
        <v>1183</v>
      </c>
      <c r="H21" s="16">
        <f t="shared" si="1"/>
        <v>0.25</v>
      </c>
      <c r="I21" s="15">
        <f t="shared" si="2"/>
        <v>1E-3</v>
      </c>
      <c r="J21" s="15">
        <f>ROUND(G21/718-1,2)</f>
        <v>0.65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681</v>
      </c>
      <c r="F22" s="10"/>
      <c r="G22" s="10">
        <f t="shared" si="0"/>
        <v>681</v>
      </c>
      <c r="H22" s="16">
        <f t="shared" si="1"/>
        <v>0.14000000000000001</v>
      </c>
      <c r="I22" s="15">
        <f t="shared" si="2"/>
        <v>0</v>
      </c>
      <c r="J22" s="15">
        <f>ROUND(G22/606-1,2)</f>
        <v>0.12</v>
      </c>
    </row>
    <row r="23" spans="1:10" x14ac:dyDescent="0.25">
      <c r="A23" s="1" t="s">
        <v>16</v>
      </c>
      <c r="B23" s="1" t="s">
        <v>29</v>
      </c>
      <c r="C23" s="10"/>
      <c r="D23" s="10"/>
      <c r="E23" s="10">
        <v>4970</v>
      </c>
      <c r="F23" s="10"/>
      <c r="G23" s="10">
        <f t="shared" si="0"/>
        <v>4970</v>
      </c>
      <c r="H23" s="16">
        <f t="shared" si="1"/>
        <v>1.04</v>
      </c>
      <c r="I23" s="15">
        <f t="shared" si="2"/>
        <v>3.0000000000000001E-3</v>
      </c>
      <c r="J23" s="15">
        <f>ROUND(G23/11050-1,2)</f>
        <v>-0.55000000000000004</v>
      </c>
    </row>
    <row r="24" spans="1:10" x14ac:dyDescent="0.25">
      <c r="A24" s="1" t="s">
        <v>16</v>
      </c>
      <c r="B24" s="1" t="s">
        <v>30</v>
      </c>
      <c r="C24" s="10"/>
      <c r="D24" s="10"/>
      <c r="E24" s="10">
        <v>880</v>
      </c>
      <c r="F24" s="10"/>
      <c r="G24" s="10">
        <f t="shared" si="0"/>
        <v>880</v>
      </c>
      <c r="H24" s="16">
        <f t="shared" si="1"/>
        <v>0.18</v>
      </c>
      <c r="I24" s="15">
        <f t="shared" si="2"/>
        <v>0</v>
      </c>
      <c r="J24" s="15">
        <f>ROUND(G24/1340-1,2)</f>
        <v>-0.34</v>
      </c>
    </row>
    <row r="25" spans="1:10" x14ac:dyDescent="0.25">
      <c r="A25" s="1" t="s">
        <v>16</v>
      </c>
      <c r="B25" s="1" t="s">
        <v>31</v>
      </c>
      <c r="C25" s="10"/>
      <c r="D25" s="10"/>
      <c r="E25" s="10">
        <v>220</v>
      </c>
      <c r="F25" s="10"/>
      <c r="G25" s="10">
        <f t="shared" si="0"/>
        <v>220</v>
      </c>
      <c r="H25" s="16">
        <f t="shared" si="1"/>
        <v>0.05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32</v>
      </c>
      <c r="C26" s="10"/>
      <c r="D26" s="10"/>
      <c r="E26" s="10">
        <v>2455</v>
      </c>
      <c r="F26" s="10"/>
      <c r="G26" s="10">
        <f t="shared" si="0"/>
        <v>2455</v>
      </c>
      <c r="H26" s="16">
        <f t="shared" si="1"/>
        <v>0.51</v>
      </c>
      <c r="I26" s="15">
        <f t="shared" si="2"/>
        <v>1E-3</v>
      </c>
      <c r="J26" s="15">
        <f>ROUND(G26/1165-1,2)</f>
        <v>1.1100000000000001</v>
      </c>
    </row>
    <row r="27" spans="1:10" x14ac:dyDescent="0.25">
      <c r="A27" s="1" t="s">
        <v>16</v>
      </c>
      <c r="B27" s="1" t="s">
        <v>33</v>
      </c>
      <c r="C27" s="10"/>
      <c r="D27" s="10">
        <v>204</v>
      </c>
      <c r="E27" s="10">
        <v>24</v>
      </c>
      <c r="F27" s="10"/>
      <c r="G27" s="10">
        <f t="shared" si="0"/>
        <v>228</v>
      </c>
      <c r="H27" s="16">
        <f t="shared" si="1"/>
        <v>0.05</v>
      </c>
      <c r="I27" s="15">
        <f t="shared" si="2"/>
        <v>0</v>
      </c>
      <c r="J27" s="15">
        <f>ROUND(G27/306-1,2)</f>
        <v>-0.25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550</v>
      </c>
      <c r="F28" s="10"/>
      <c r="G28" s="10">
        <f t="shared" si="0"/>
        <v>550</v>
      </c>
      <c r="H28" s="16">
        <f t="shared" si="1"/>
        <v>0.11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37</v>
      </c>
      <c r="C29" s="10"/>
      <c r="D29" s="10"/>
      <c r="E29" s="10">
        <v>6150</v>
      </c>
      <c r="F29" s="10"/>
      <c r="G29" s="10">
        <f t="shared" si="0"/>
        <v>6150</v>
      </c>
      <c r="H29" s="16">
        <f t="shared" si="1"/>
        <v>1.28</v>
      </c>
      <c r="I29" s="15">
        <f t="shared" si="2"/>
        <v>3.0000000000000001E-3</v>
      </c>
      <c r="J29" s="15">
        <f>ROUND(G29/4750-1,2)</f>
        <v>0.28999999999999998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10829</v>
      </c>
      <c r="F30" s="10"/>
      <c r="G30" s="10">
        <f t="shared" si="0"/>
        <v>10829</v>
      </c>
      <c r="H30" s="16">
        <f t="shared" si="1"/>
        <v>2.2599999999999998</v>
      </c>
      <c r="I30" s="15">
        <f t="shared" si="2"/>
        <v>6.0000000000000001E-3</v>
      </c>
      <c r="J30" s="15">
        <f>ROUND(G30/10237-1,2)</f>
        <v>0.06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130705</v>
      </c>
      <c r="F31" s="10"/>
      <c r="G31" s="10">
        <f t="shared" si="0"/>
        <v>130705</v>
      </c>
      <c r="H31" s="16">
        <f t="shared" si="1"/>
        <v>27.22</v>
      </c>
      <c r="I31" s="15">
        <f t="shared" si="2"/>
        <v>7.3999999999999996E-2</v>
      </c>
      <c r="J31" s="15">
        <f>ROUND(G31/48530-1,2)</f>
        <v>1.69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9930</v>
      </c>
      <c r="F32" s="10"/>
      <c r="G32" s="10">
        <f t="shared" si="0"/>
        <v>9930</v>
      </c>
      <c r="H32" s="16">
        <f t="shared" si="1"/>
        <v>2.0699999999999998</v>
      </c>
      <c r="I32" s="15">
        <f t="shared" si="2"/>
        <v>6.0000000000000001E-3</v>
      </c>
      <c r="J32" s="15">
        <f>ROUND(G32/15175-1,2)</f>
        <v>-0.35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32630</v>
      </c>
      <c r="F33" s="10"/>
      <c r="G33" s="10">
        <f t="shared" si="0"/>
        <v>32630</v>
      </c>
      <c r="H33" s="16">
        <f t="shared" si="1"/>
        <v>6.8</v>
      </c>
      <c r="I33" s="15">
        <f t="shared" si="2"/>
        <v>1.7999999999999999E-2</v>
      </c>
      <c r="J33" s="15">
        <f>ROUND(G33/24600-1,2)</f>
        <v>0.33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210210</v>
      </c>
      <c r="F34" s="10">
        <v>2300</v>
      </c>
      <c r="G34" s="10">
        <f t="shared" si="0"/>
        <v>212510</v>
      </c>
      <c r="H34" s="16">
        <f t="shared" si="1"/>
        <v>44.26</v>
      </c>
      <c r="I34" s="15">
        <f t="shared" si="2"/>
        <v>0.12</v>
      </c>
      <c r="J34" s="15">
        <f>ROUND(G34/169040-1,2)</f>
        <v>0.26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ROUND(G35/289-1,2)</f>
        <v>-1</v>
      </c>
    </row>
    <row r="36" spans="1:10" x14ac:dyDescent="0.25">
      <c r="A36" s="1" t="s">
        <v>16</v>
      </c>
      <c r="B36" s="1" t="s">
        <v>34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ROUND(G36/520-1,2)</f>
        <v>-1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ROUND(G37/2840-1,2)</f>
        <v>-1</v>
      </c>
    </row>
    <row r="38" spans="1:10" x14ac:dyDescent="0.25">
      <c r="A38" s="1" t="s">
        <v>16</v>
      </c>
      <c r="B38" s="1" t="s">
        <v>218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161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219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313580</v>
      </c>
      <c r="D41" s="10"/>
      <c r="E41" s="10"/>
      <c r="F41" s="10">
        <v>12900</v>
      </c>
      <c r="G41" s="10">
        <f t="shared" si="0"/>
        <v>326480</v>
      </c>
      <c r="H41" s="16">
        <f t="shared" si="1"/>
        <v>68</v>
      </c>
      <c r="I41" s="15">
        <f t="shared" si="2"/>
        <v>0.184</v>
      </c>
      <c r="J41" s="15">
        <f>ROUND(G41/357080-1,2)</f>
        <v>-0.09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56150</v>
      </c>
      <c r="G42" s="10">
        <f t="shared" si="0"/>
        <v>56150</v>
      </c>
      <c r="H42" s="16">
        <f t="shared" si="1"/>
        <v>11.7</v>
      </c>
      <c r="I42" s="15">
        <f t="shared" si="2"/>
        <v>3.2000000000000001E-2</v>
      </c>
      <c r="J42" s="15">
        <f>ROUND(G42/57910-1,2)</f>
        <v>-0.03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79440</v>
      </c>
      <c r="F43" s="10"/>
      <c r="G43" s="10">
        <f t="shared" si="0"/>
        <v>79440</v>
      </c>
      <c r="H43" s="16">
        <f t="shared" si="1"/>
        <v>16.55</v>
      </c>
      <c r="I43" s="15">
        <f t="shared" si="2"/>
        <v>4.4999999999999998E-2</v>
      </c>
      <c r="J43" s="15">
        <f>ROUND(G43/30860-1,2)</f>
        <v>1.57</v>
      </c>
    </row>
    <row r="44" spans="1:10" x14ac:dyDescent="0.25">
      <c r="A44" s="23" t="s">
        <v>12</v>
      </c>
      <c r="B44" s="23"/>
      <c r="C44" s="11">
        <f t="shared" ref="C44:H44" si="3">SUM(C8:C43)</f>
        <v>1009515</v>
      </c>
      <c r="D44" s="11">
        <f t="shared" si="3"/>
        <v>204</v>
      </c>
      <c r="E44" s="11">
        <f t="shared" si="3"/>
        <v>668295</v>
      </c>
      <c r="F44" s="11">
        <f t="shared" si="3"/>
        <v>93733</v>
      </c>
      <c r="G44" s="11">
        <f t="shared" si="3"/>
        <v>1771747</v>
      </c>
      <c r="H44" s="14">
        <f t="shared" si="3"/>
        <v>369.04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0.56999999999999995</v>
      </c>
      <c r="D45" s="12">
        <f>ROUND(D44/G44,2)</f>
        <v>0</v>
      </c>
      <c r="E45" s="12">
        <f>ROUND(E44/G44,2)</f>
        <v>0.38</v>
      </c>
      <c r="F45" s="12">
        <f>ROUND(F44/G44,2)</f>
        <v>0.05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695935</v>
      </c>
      <c r="D51" s="10">
        <v>204</v>
      </c>
      <c r="E51" s="10">
        <v>588855</v>
      </c>
      <c r="F51" s="10">
        <v>24245</v>
      </c>
      <c r="G51" s="10">
        <f>SUM(C51:F51)</f>
        <v>1309239</v>
      </c>
      <c r="H51" s="16">
        <f>ROUND(G51/4801,2)</f>
        <v>272.7</v>
      </c>
      <c r="I51" s="9"/>
      <c r="J51" s="9"/>
    </row>
    <row r="52" spans="1:10" x14ac:dyDescent="0.25">
      <c r="A52" s="22" t="s">
        <v>55</v>
      </c>
      <c r="B52" s="22"/>
      <c r="C52" s="10">
        <v>313580</v>
      </c>
      <c r="D52" s="10">
        <v>0</v>
      </c>
      <c r="E52" s="10">
        <v>79440</v>
      </c>
      <c r="F52" s="10">
        <v>69050</v>
      </c>
      <c r="G52" s="10">
        <f>SUM(C52:F52)</f>
        <v>462070</v>
      </c>
      <c r="H52" s="16">
        <f>ROUND(G52/4801,2)</f>
        <v>96.24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438</v>
      </c>
      <c r="G53" s="10">
        <f>SUM(C53:F53)</f>
        <v>438</v>
      </c>
      <c r="H53" s="16">
        <f>ROUND(G53/4801,2)</f>
        <v>0.09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ROUND(0.7892, 4)</f>
        <v>0.78920000000000001</v>
      </c>
      <c r="D59" s="15">
        <f>ROUND(0.7907, 4)</f>
        <v>0.79069999999999996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ROUND(0.7803, 4)</f>
        <v>0.78029999999999999</v>
      </c>
      <c r="D60" s="15">
        <f>ROUND(0.7819, 4)</f>
        <v>0.78190000000000004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220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68.77</v>
      </c>
      <c r="D65" s="16">
        <v>87.33</v>
      </c>
      <c r="E65" s="16">
        <v>89.58</v>
      </c>
      <c r="F65" s="16">
        <v>53.73</v>
      </c>
      <c r="G65" s="16">
        <f>12/9*C65</f>
        <v>91.693333333333328</v>
      </c>
      <c r="H65" s="8"/>
      <c r="I65" s="9"/>
      <c r="J65" s="9"/>
    </row>
    <row r="66" spans="1:10" x14ac:dyDescent="0.25">
      <c r="A66" s="22" t="s">
        <v>74</v>
      </c>
      <c r="B66" s="22"/>
      <c r="C66" s="16">
        <v>48.59</v>
      </c>
      <c r="D66" s="16">
        <v>66.849999999999994</v>
      </c>
      <c r="E66" s="16">
        <v>60.32</v>
      </c>
      <c r="F66" s="16">
        <v>61.62</v>
      </c>
      <c r="G66" s="16">
        <f>12/9*C66</f>
        <v>64.786666666666662</v>
      </c>
      <c r="H66" s="8"/>
      <c r="I66" s="9"/>
      <c r="J66" s="9"/>
    </row>
    <row r="67" spans="1:10" x14ac:dyDescent="0.25">
      <c r="A67" s="22" t="s">
        <v>75</v>
      </c>
      <c r="B67" s="22"/>
      <c r="C67" s="16">
        <v>318.83</v>
      </c>
      <c r="D67" s="16">
        <v>399.89</v>
      </c>
      <c r="E67" s="16">
        <v>282.8</v>
      </c>
      <c r="F67" s="16">
        <v>273.33</v>
      </c>
      <c r="G67" s="16">
        <f>12/9*C67</f>
        <v>425.10666666666663</v>
      </c>
      <c r="H67" s="8"/>
      <c r="I67" s="9"/>
      <c r="J67" s="9"/>
    </row>
    <row r="68" spans="1:10" x14ac:dyDescent="0.25">
      <c r="A68" s="22" t="s">
        <v>76</v>
      </c>
      <c r="B68" s="22"/>
      <c r="C68" s="16">
        <v>97.02</v>
      </c>
      <c r="D68" s="16">
        <v>118.25</v>
      </c>
      <c r="E68" s="16">
        <v>112.72</v>
      </c>
      <c r="F68" s="16">
        <v>76.52</v>
      </c>
      <c r="G68" s="16">
        <f>12/9*C68</f>
        <v>129.35999999999999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8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40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112" bestFit="1" customWidth="1"/>
    <col min="3" max="3" width="14" bestFit="1" customWidth="1"/>
    <col min="4" max="4" width="23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222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2406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50</v>
      </c>
      <c r="F9" s="10"/>
      <c r="G9" s="10">
        <f t="shared" ref="G9:G43" si="0">SUM(C9:F9)</f>
        <v>50</v>
      </c>
      <c r="H9" s="16">
        <f t="shared" ref="H9:H43" si="1">ROUND(G9/2406,2)</f>
        <v>0.02</v>
      </c>
      <c r="I9" s="15">
        <f t="shared" ref="I9:I43" si="2">ROUND(G9/$G$44,3)</f>
        <v>0</v>
      </c>
      <c r="J9" s="15">
        <f>ROUND(G9/93-1,2)</f>
        <v>-0.46</v>
      </c>
    </row>
    <row r="10" spans="1:10" x14ac:dyDescent="0.25">
      <c r="A10" s="1" t="s">
        <v>16</v>
      </c>
      <c r="B10" s="1" t="s">
        <v>19</v>
      </c>
      <c r="C10" s="10">
        <v>48580</v>
      </c>
      <c r="D10" s="10"/>
      <c r="E10" s="10"/>
      <c r="F10" s="10"/>
      <c r="G10" s="10">
        <f t="shared" si="0"/>
        <v>48580</v>
      </c>
      <c r="H10" s="16">
        <f t="shared" si="1"/>
        <v>20.190000000000001</v>
      </c>
      <c r="I10" s="15">
        <f t="shared" si="2"/>
        <v>7.0000000000000007E-2</v>
      </c>
      <c r="J10" s="15">
        <f>ROUND(G10/48200-1,2)</f>
        <v>0.01</v>
      </c>
    </row>
    <row r="11" spans="1:10" x14ac:dyDescent="0.25">
      <c r="A11" s="1" t="s">
        <v>16</v>
      </c>
      <c r="B11" s="1" t="s">
        <v>20</v>
      </c>
      <c r="C11" s="10">
        <v>85340</v>
      </c>
      <c r="D11" s="10"/>
      <c r="E11" s="10"/>
      <c r="F11" s="10"/>
      <c r="G11" s="10">
        <f t="shared" si="0"/>
        <v>85340</v>
      </c>
      <c r="H11" s="16">
        <f t="shared" si="1"/>
        <v>35.47</v>
      </c>
      <c r="I11" s="15">
        <f t="shared" si="2"/>
        <v>0.124</v>
      </c>
      <c r="J11" s="15">
        <f>ROUND(G11/84790-1,2)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0.03</v>
      </c>
      <c r="I12" s="15">
        <f t="shared" si="2"/>
        <v>0</v>
      </c>
      <c r="J12" s="15">
        <f>ROUND(G12/107-1,2)</f>
        <v>-0.42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188</v>
      </c>
      <c r="F13" s="10"/>
      <c r="G13" s="10">
        <f t="shared" si="0"/>
        <v>188</v>
      </c>
      <c r="H13" s="16">
        <f t="shared" si="1"/>
        <v>0.08</v>
      </c>
      <c r="I13" s="15">
        <f t="shared" si="2"/>
        <v>0</v>
      </c>
      <c r="J13" s="15">
        <f>ROUND(G13/93-1,2)</f>
        <v>1.02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0.37</v>
      </c>
      <c r="I14" s="15">
        <f t="shared" si="2"/>
        <v>1E-3</v>
      </c>
      <c r="J14" s="15">
        <f>ROUND(G14/900-1,2)</f>
        <v>0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35990</v>
      </c>
      <c r="F15" s="10"/>
      <c r="G15" s="10">
        <f t="shared" si="0"/>
        <v>35990</v>
      </c>
      <c r="H15" s="16">
        <f t="shared" si="1"/>
        <v>14.96</v>
      </c>
      <c r="I15" s="15">
        <f t="shared" si="2"/>
        <v>5.1999999999999998E-2</v>
      </c>
      <c r="J15" s="15">
        <f>ROUND(G15/36940-1,2)</f>
        <v>-0.03</v>
      </c>
    </row>
    <row r="16" spans="1:10" x14ac:dyDescent="0.25">
      <c r="A16" s="1" t="s">
        <v>16</v>
      </c>
      <c r="B16" s="1" t="s">
        <v>24</v>
      </c>
      <c r="C16" s="10">
        <v>79420</v>
      </c>
      <c r="D16" s="10"/>
      <c r="E16" s="10"/>
      <c r="F16" s="10"/>
      <c r="G16" s="10">
        <f t="shared" si="0"/>
        <v>79420</v>
      </c>
      <c r="H16" s="16">
        <f t="shared" si="1"/>
        <v>33.01</v>
      </c>
      <c r="I16" s="15">
        <f t="shared" si="2"/>
        <v>0.115</v>
      </c>
      <c r="J16" s="15">
        <f>ROUND(G16/75900-1,2)</f>
        <v>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2760</v>
      </c>
      <c r="F17" s="10"/>
      <c r="G17" s="10">
        <f t="shared" si="0"/>
        <v>2760</v>
      </c>
      <c r="H17" s="16">
        <f t="shared" si="1"/>
        <v>1.1499999999999999</v>
      </c>
      <c r="I17" s="15">
        <f t="shared" si="2"/>
        <v>4.0000000000000001E-3</v>
      </c>
      <c r="J17" s="15">
        <f>ROUND(G17/1750-1,2)</f>
        <v>0.57999999999999996</v>
      </c>
    </row>
    <row r="18" spans="1:10" x14ac:dyDescent="0.25">
      <c r="A18" s="1" t="s">
        <v>16</v>
      </c>
      <c r="B18" s="1" t="s">
        <v>26</v>
      </c>
      <c r="C18" s="10">
        <v>117640</v>
      </c>
      <c r="D18" s="10"/>
      <c r="E18" s="10"/>
      <c r="F18" s="10">
        <v>2560</v>
      </c>
      <c r="G18" s="10">
        <f t="shared" si="0"/>
        <v>120200</v>
      </c>
      <c r="H18" s="16">
        <f t="shared" si="1"/>
        <v>49.96</v>
      </c>
      <c r="I18" s="15">
        <f t="shared" si="2"/>
        <v>0.17399999999999999</v>
      </c>
      <c r="J18" s="15">
        <f>ROUND(G18/104960-1,2)</f>
        <v>0.15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583</v>
      </c>
      <c r="F19" s="10"/>
      <c r="G19" s="10">
        <f t="shared" si="0"/>
        <v>583</v>
      </c>
      <c r="H19" s="16">
        <f t="shared" si="1"/>
        <v>0.24</v>
      </c>
      <c r="I19" s="15">
        <f t="shared" si="2"/>
        <v>1E-3</v>
      </c>
      <c r="J19" s="15">
        <f>ROUND(G19/526-1,2)</f>
        <v>0.11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387</v>
      </c>
      <c r="F20" s="10"/>
      <c r="G20" s="10">
        <f t="shared" si="0"/>
        <v>387</v>
      </c>
      <c r="H20" s="16">
        <f t="shared" si="1"/>
        <v>0.16</v>
      </c>
      <c r="I20" s="15">
        <f t="shared" si="2"/>
        <v>1E-3</v>
      </c>
      <c r="J20" s="15">
        <f>ROUND(G20/287-1,2)</f>
        <v>0.35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1600</v>
      </c>
      <c r="F21" s="10"/>
      <c r="G21" s="10">
        <f t="shared" si="0"/>
        <v>1600</v>
      </c>
      <c r="H21" s="16">
        <f t="shared" si="1"/>
        <v>0.67</v>
      </c>
      <c r="I21" s="15">
        <f t="shared" si="2"/>
        <v>2E-3</v>
      </c>
      <c r="J21" s="15">
        <f>ROUND(G21/1299-1,2)</f>
        <v>0.23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790</v>
      </c>
      <c r="F22" s="10"/>
      <c r="G22" s="10">
        <f t="shared" si="0"/>
        <v>790</v>
      </c>
      <c r="H22" s="16">
        <f t="shared" si="1"/>
        <v>0.33</v>
      </c>
      <c r="I22" s="15">
        <f t="shared" si="2"/>
        <v>1E-3</v>
      </c>
      <c r="J22" s="15">
        <f>ROUND(G22/800-1,2)</f>
        <v>-0.01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435</v>
      </c>
      <c r="F23" s="10"/>
      <c r="G23" s="10">
        <f t="shared" si="0"/>
        <v>435</v>
      </c>
      <c r="H23" s="16">
        <f t="shared" si="1"/>
        <v>0.18</v>
      </c>
      <c r="I23" s="15">
        <f t="shared" si="2"/>
        <v>1E-3</v>
      </c>
      <c r="J23" s="15">
        <f>ROUND(G23/350-1,2)</f>
        <v>0.24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750</v>
      </c>
      <c r="F24" s="10"/>
      <c r="G24" s="10">
        <f t="shared" si="0"/>
        <v>750</v>
      </c>
      <c r="H24" s="16">
        <f t="shared" si="1"/>
        <v>0.31</v>
      </c>
      <c r="I24" s="15">
        <f t="shared" si="2"/>
        <v>1E-3</v>
      </c>
      <c r="J24" s="15">
        <f>ROUND(G24/530-1,2)</f>
        <v>0.42</v>
      </c>
    </row>
    <row r="25" spans="1:10" x14ac:dyDescent="0.25">
      <c r="A25" s="1" t="s">
        <v>16</v>
      </c>
      <c r="B25" s="1" t="s">
        <v>33</v>
      </c>
      <c r="C25" s="10"/>
      <c r="D25" s="10">
        <v>127</v>
      </c>
      <c r="E25" s="10">
        <v>39</v>
      </c>
      <c r="F25" s="10"/>
      <c r="G25" s="10">
        <f t="shared" si="0"/>
        <v>166</v>
      </c>
      <c r="H25" s="16">
        <f t="shared" si="1"/>
        <v>7.0000000000000007E-2</v>
      </c>
      <c r="I25" s="15">
        <f t="shared" si="2"/>
        <v>0</v>
      </c>
      <c r="J25" s="15">
        <f>ROUND(G25/133-1,2)</f>
        <v>0.25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1690</v>
      </c>
      <c r="F26" s="10"/>
      <c r="G26" s="10">
        <f t="shared" si="0"/>
        <v>1690</v>
      </c>
      <c r="H26" s="16">
        <f t="shared" si="1"/>
        <v>0.7</v>
      </c>
      <c r="I26" s="15">
        <f t="shared" si="2"/>
        <v>2E-3</v>
      </c>
      <c r="J26" s="15">
        <f>ROUND(G26/1330-1,2)</f>
        <v>0.27</v>
      </c>
    </row>
    <row r="27" spans="1:10" x14ac:dyDescent="0.25">
      <c r="A27" s="1" t="s">
        <v>16</v>
      </c>
      <c r="B27" s="1" t="s">
        <v>35</v>
      </c>
      <c r="C27" s="10"/>
      <c r="D27" s="10">
        <v>100</v>
      </c>
      <c r="E27" s="10"/>
      <c r="F27" s="10"/>
      <c r="G27" s="10">
        <f t="shared" si="0"/>
        <v>100</v>
      </c>
      <c r="H27" s="16">
        <f t="shared" si="1"/>
        <v>0.04</v>
      </c>
      <c r="I27" s="15">
        <f t="shared" si="2"/>
        <v>0</v>
      </c>
      <c r="J27" s="15">
        <f>ROUND(G27/235-1,2)</f>
        <v>-0.56999999999999995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2440</v>
      </c>
      <c r="F28" s="10"/>
      <c r="G28" s="10">
        <f t="shared" si="0"/>
        <v>2440</v>
      </c>
      <c r="H28" s="16">
        <f t="shared" si="1"/>
        <v>1.01</v>
      </c>
      <c r="I28" s="15">
        <f t="shared" si="2"/>
        <v>4.0000000000000001E-3</v>
      </c>
      <c r="J28" s="15">
        <f>ROUND(G28/4995-1,2)</f>
        <v>-0.51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2690</v>
      </c>
      <c r="F29" s="10"/>
      <c r="G29" s="10">
        <f t="shared" si="0"/>
        <v>2690</v>
      </c>
      <c r="H29" s="16">
        <f t="shared" si="1"/>
        <v>1.1200000000000001</v>
      </c>
      <c r="I29" s="15">
        <f t="shared" si="2"/>
        <v>4.0000000000000001E-3</v>
      </c>
      <c r="J29" s="15">
        <f>ROUND(G29/1400-1,2)</f>
        <v>0.92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40115</v>
      </c>
      <c r="F30" s="10"/>
      <c r="G30" s="10">
        <f t="shared" si="0"/>
        <v>40115</v>
      </c>
      <c r="H30" s="16">
        <f t="shared" si="1"/>
        <v>16.670000000000002</v>
      </c>
      <c r="I30" s="15">
        <f t="shared" si="2"/>
        <v>5.8000000000000003E-2</v>
      </c>
      <c r="J30" s="15">
        <f>ROUND(G30/32360-1,2)</f>
        <v>0.24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2860</v>
      </c>
      <c r="F31" s="10"/>
      <c r="G31" s="10">
        <f t="shared" si="0"/>
        <v>2860</v>
      </c>
      <c r="H31" s="16">
        <f t="shared" si="1"/>
        <v>1.19</v>
      </c>
      <c r="I31" s="15">
        <f t="shared" si="2"/>
        <v>4.0000000000000001E-3</v>
      </c>
      <c r="J31" s="15">
        <f>ROUND(G31/2800-1,2)</f>
        <v>0.02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11580</v>
      </c>
      <c r="F32" s="10"/>
      <c r="G32" s="10">
        <f t="shared" si="0"/>
        <v>11580</v>
      </c>
      <c r="H32" s="16">
        <f t="shared" si="1"/>
        <v>4.8099999999999996</v>
      </c>
      <c r="I32" s="15">
        <f t="shared" si="2"/>
        <v>1.7000000000000001E-2</v>
      </c>
      <c r="J32" s="15">
        <f>ROUND(G32/10180-1,2)</f>
        <v>0.14000000000000001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90430</v>
      </c>
      <c r="F33" s="10"/>
      <c r="G33" s="10">
        <f t="shared" si="0"/>
        <v>90430</v>
      </c>
      <c r="H33" s="16">
        <f t="shared" si="1"/>
        <v>37.590000000000003</v>
      </c>
      <c r="I33" s="15">
        <f t="shared" si="2"/>
        <v>0.13100000000000001</v>
      </c>
      <c r="J33" s="15">
        <f>ROUND(G33/60180-1,2)</f>
        <v>0.5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ROUND(G34/408-1,2)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ROUND(G35/136-1,2)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ROUND(G36/1424-1,2)</f>
        <v>-1</v>
      </c>
    </row>
    <row r="37" spans="1:10" x14ac:dyDescent="0.25">
      <c r="A37" s="1" t="s">
        <v>16</v>
      </c>
      <c r="B37" s="1" t="s">
        <v>198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223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134220</v>
      </c>
      <c r="D39" s="10"/>
      <c r="E39" s="10"/>
      <c r="F39" s="10"/>
      <c r="G39" s="10">
        <f t="shared" si="0"/>
        <v>134220</v>
      </c>
      <c r="H39" s="16">
        <f t="shared" si="1"/>
        <v>55.79</v>
      </c>
      <c r="I39" s="15">
        <f t="shared" si="2"/>
        <v>0.19400000000000001</v>
      </c>
      <c r="J39" s="15">
        <f>ROUND(G39/124530-1,2)</f>
        <v>0.08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26300</v>
      </c>
      <c r="F40" s="10"/>
      <c r="G40" s="10">
        <f t="shared" si="0"/>
        <v>26300</v>
      </c>
      <c r="H40" s="16">
        <f t="shared" si="1"/>
        <v>10.93</v>
      </c>
      <c r="I40" s="15">
        <f t="shared" si="2"/>
        <v>3.7999999999999999E-2</v>
      </c>
      <c r="J40" s="15">
        <f>ROUND(G40/26580-1,2)</f>
        <v>-0.01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ROUND(G41/12620-1,2)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ROUND(G43/37-1,2)</f>
        <v>-1</v>
      </c>
    </row>
    <row r="44" spans="1:10" x14ac:dyDescent="0.25">
      <c r="A44" s="23" t="s">
        <v>12</v>
      </c>
      <c r="B44" s="23"/>
      <c r="C44" s="11">
        <f t="shared" ref="C44:H44" si="3">SUM(C8:C43)</f>
        <v>465200</v>
      </c>
      <c r="D44" s="11">
        <f t="shared" si="3"/>
        <v>227</v>
      </c>
      <c r="E44" s="11">
        <f t="shared" si="3"/>
        <v>222639</v>
      </c>
      <c r="F44" s="11">
        <f t="shared" si="3"/>
        <v>2560</v>
      </c>
      <c r="G44" s="11">
        <f t="shared" si="3"/>
        <v>690626</v>
      </c>
      <c r="H44" s="14">
        <f t="shared" si="3"/>
        <v>287.05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0.67</v>
      </c>
      <c r="D45" s="12">
        <f>ROUND(D44/G44,2)</f>
        <v>0</v>
      </c>
      <c r="E45" s="12">
        <f>ROUND(E44/G44,2)</f>
        <v>0.32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330980</v>
      </c>
      <c r="D51" s="10">
        <v>227</v>
      </c>
      <c r="E51" s="10">
        <v>196339</v>
      </c>
      <c r="F51" s="10">
        <v>2560</v>
      </c>
      <c r="G51" s="10">
        <f>SUM(C51:F51)</f>
        <v>530106</v>
      </c>
      <c r="H51" s="16">
        <f>ROUND(G51/2406,2)</f>
        <v>220.33</v>
      </c>
      <c r="I51" s="9"/>
      <c r="J51" s="9"/>
    </row>
    <row r="52" spans="1:10" x14ac:dyDescent="0.25">
      <c r="A52" s="22" t="s">
        <v>55</v>
      </c>
      <c r="B52" s="22"/>
      <c r="C52" s="10">
        <v>134220</v>
      </c>
      <c r="D52" s="10">
        <v>0</v>
      </c>
      <c r="E52" s="10">
        <v>26300</v>
      </c>
      <c r="F52" s="10">
        <v>0</v>
      </c>
      <c r="G52" s="10">
        <f>SUM(C52:F52)</f>
        <v>160520</v>
      </c>
      <c r="H52" s="16">
        <f>ROUND(G52/2406,2)</f>
        <v>66.72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ROUND(G53/2406,2)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ROUND(0.7943, 4)</f>
        <v>0.79430000000000001</v>
      </c>
      <c r="D59" s="15">
        <f>ROUND(0.7864, 4)</f>
        <v>0.78639999999999999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ROUND(0.7848, 4)</f>
        <v>0.78480000000000005</v>
      </c>
      <c r="D60" s="15">
        <f>ROUND(0.7759, 4)</f>
        <v>0.77590000000000003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224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55.79</v>
      </c>
      <c r="D65" s="16">
        <v>63.59</v>
      </c>
      <c r="E65" s="16">
        <v>89.58</v>
      </c>
      <c r="F65" s="16">
        <v>53.73</v>
      </c>
      <c r="G65" s="16">
        <f>12/9*C65</f>
        <v>74.386666666666656</v>
      </c>
      <c r="H65" s="8"/>
      <c r="I65" s="9"/>
      <c r="J65" s="9"/>
    </row>
    <row r="66" spans="1:10" x14ac:dyDescent="0.25">
      <c r="A66" s="22" t="s">
        <v>74</v>
      </c>
      <c r="B66" s="22"/>
      <c r="C66" s="16">
        <v>49.96</v>
      </c>
      <c r="D66" s="16">
        <v>60.51</v>
      </c>
      <c r="E66" s="16">
        <v>60.32</v>
      </c>
      <c r="F66" s="16">
        <v>61.62</v>
      </c>
      <c r="G66" s="16">
        <f>12/9*C66</f>
        <v>66.61333333333333</v>
      </c>
      <c r="H66" s="8"/>
      <c r="I66" s="9"/>
      <c r="J66" s="9"/>
    </row>
    <row r="67" spans="1:10" x14ac:dyDescent="0.25">
      <c r="A67" s="22" t="s">
        <v>75</v>
      </c>
      <c r="B67" s="22"/>
      <c r="C67" s="16">
        <v>220.33</v>
      </c>
      <c r="D67" s="16">
        <v>250.53</v>
      </c>
      <c r="E67" s="16">
        <v>282.8</v>
      </c>
      <c r="F67" s="16">
        <v>273.33</v>
      </c>
      <c r="G67" s="16">
        <f>12/9*C67</f>
        <v>293.77333333333331</v>
      </c>
      <c r="H67" s="8"/>
      <c r="I67" s="9"/>
      <c r="J67" s="9"/>
    </row>
    <row r="68" spans="1:10" x14ac:dyDescent="0.25">
      <c r="A68" s="22" t="s">
        <v>76</v>
      </c>
      <c r="B68" s="22"/>
      <c r="C68" s="16">
        <v>66.72</v>
      </c>
      <c r="D68" s="16">
        <v>79.05</v>
      </c>
      <c r="E68" s="16">
        <v>112.72</v>
      </c>
      <c r="F68" s="16">
        <v>76.52</v>
      </c>
      <c r="G68" s="16">
        <f>12/9*C68</f>
        <v>88.96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8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225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41"/>
  <dimension ref="A2:J73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2614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39</v>
      </c>
      <c r="F9" s="10"/>
      <c r="G9" s="10">
        <f t="shared" ref="G9:G41" si="0">SUM(C9:F9)</f>
        <v>39</v>
      </c>
      <c r="H9" s="16">
        <f t="shared" ref="H9:H41" si="1">ROUND(G9/2614,2)</f>
        <v>0.01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19</v>
      </c>
      <c r="C10" s="10">
        <v>67580</v>
      </c>
      <c r="D10" s="10"/>
      <c r="E10" s="10"/>
      <c r="F10" s="10"/>
      <c r="G10" s="10">
        <f t="shared" si="0"/>
        <v>67580</v>
      </c>
      <c r="H10" s="16">
        <f t="shared" si="1"/>
        <v>25.85</v>
      </c>
      <c r="I10" s="15">
        <f t="shared" si="2"/>
        <v>0.09</v>
      </c>
      <c r="J10" s="15">
        <f>ROUND(G10/60760-1,2)</f>
        <v>0.11</v>
      </c>
    </row>
    <row r="11" spans="1:10" x14ac:dyDescent="0.25">
      <c r="A11" s="1" t="s">
        <v>16</v>
      </c>
      <c r="B11" s="1" t="s">
        <v>20</v>
      </c>
      <c r="C11" s="10">
        <v>98080</v>
      </c>
      <c r="D11" s="10"/>
      <c r="E11" s="10"/>
      <c r="F11" s="10"/>
      <c r="G11" s="10">
        <f t="shared" si="0"/>
        <v>98080</v>
      </c>
      <c r="H11" s="16">
        <f t="shared" si="1"/>
        <v>37.520000000000003</v>
      </c>
      <c r="I11" s="15">
        <f t="shared" si="2"/>
        <v>0.13100000000000001</v>
      </c>
      <c r="J11" s="15">
        <f>ROUND(G11/96290-1,2)</f>
        <v>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49</v>
      </c>
      <c r="F12" s="10"/>
      <c r="G12" s="10">
        <f t="shared" si="0"/>
        <v>49</v>
      </c>
      <c r="H12" s="16">
        <f t="shared" si="1"/>
        <v>0.02</v>
      </c>
      <c r="I12" s="15">
        <f t="shared" si="2"/>
        <v>0</v>
      </c>
      <c r="J12" s="15">
        <f>ROUND(G12/76-1,2)</f>
        <v>-0.36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73</v>
      </c>
      <c r="F13" s="10"/>
      <c r="G13" s="10">
        <f t="shared" si="0"/>
        <v>73</v>
      </c>
      <c r="H13" s="16">
        <f t="shared" si="1"/>
        <v>0.03</v>
      </c>
      <c r="I13" s="15">
        <f t="shared" si="2"/>
        <v>0</v>
      </c>
      <c r="J13" s="15">
        <f>ROUND(G13/88-1,2)</f>
        <v>-0.17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1700</v>
      </c>
      <c r="F14" s="10"/>
      <c r="G14" s="10">
        <f t="shared" si="0"/>
        <v>1700</v>
      </c>
      <c r="H14" s="16">
        <f t="shared" si="1"/>
        <v>0.65</v>
      </c>
      <c r="I14" s="15">
        <f t="shared" si="2"/>
        <v>2E-3</v>
      </c>
      <c r="J14" s="15">
        <f>ROUND(G14/800-1,2)</f>
        <v>1.1299999999999999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24700</v>
      </c>
      <c r="F15" s="10"/>
      <c r="G15" s="10">
        <f t="shared" si="0"/>
        <v>24700</v>
      </c>
      <c r="H15" s="16">
        <f t="shared" si="1"/>
        <v>9.4499999999999993</v>
      </c>
      <c r="I15" s="15">
        <f t="shared" si="2"/>
        <v>3.3000000000000002E-2</v>
      </c>
      <c r="J15" s="15">
        <f>ROUND(G15/23640-1,2)</f>
        <v>0.04</v>
      </c>
    </row>
    <row r="16" spans="1:10" x14ac:dyDescent="0.25">
      <c r="A16" s="1" t="s">
        <v>16</v>
      </c>
      <c r="B16" s="1" t="s">
        <v>24</v>
      </c>
      <c r="C16" s="10">
        <v>96910</v>
      </c>
      <c r="D16" s="10"/>
      <c r="E16" s="10">
        <v>4900</v>
      </c>
      <c r="F16" s="10"/>
      <c r="G16" s="10">
        <f t="shared" si="0"/>
        <v>101810</v>
      </c>
      <c r="H16" s="16">
        <f t="shared" si="1"/>
        <v>38.950000000000003</v>
      </c>
      <c r="I16" s="15">
        <f t="shared" si="2"/>
        <v>0.13600000000000001</v>
      </c>
      <c r="J16" s="15">
        <f>ROUND(G16/99310-1,2)</f>
        <v>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3605</v>
      </c>
      <c r="F17" s="10"/>
      <c r="G17" s="10">
        <f t="shared" si="0"/>
        <v>3605</v>
      </c>
      <c r="H17" s="16">
        <f t="shared" si="1"/>
        <v>1.38</v>
      </c>
      <c r="I17" s="15">
        <f t="shared" si="2"/>
        <v>5.0000000000000001E-3</v>
      </c>
      <c r="J17" s="15">
        <f>ROUND(G17/2270-1,2)</f>
        <v>0.59</v>
      </c>
    </row>
    <row r="18" spans="1:10" x14ac:dyDescent="0.25">
      <c r="A18" s="1" t="s">
        <v>16</v>
      </c>
      <c r="B18" s="1" t="s">
        <v>26</v>
      </c>
      <c r="C18" s="10">
        <v>158050</v>
      </c>
      <c r="D18" s="10"/>
      <c r="E18" s="10"/>
      <c r="F18" s="10">
        <v>1620</v>
      </c>
      <c r="G18" s="10">
        <f t="shared" si="0"/>
        <v>159670</v>
      </c>
      <c r="H18" s="16">
        <f t="shared" si="1"/>
        <v>61.08</v>
      </c>
      <c r="I18" s="15">
        <f t="shared" si="2"/>
        <v>0.21299999999999999</v>
      </c>
      <c r="J18" s="15">
        <f>ROUND(G18/135960-1,2)</f>
        <v>0.17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582</v>
      </c>
      <c r="F19" s="10"/>
      <c r="G19" s="10">
        <f t="shared" si="0"/>
        <v>582</v>
      </c>
      <c r="H19" s="16">
        <f t="shared" si="1"/>
        <v>0.22</v>
      </c>
      <c r="I19" s="15">
        <f t="shared" si="2"/>
        <v>1E-3</v>
      </c>
      <c r="J19" s="15">
        <f>ROUND(G19/349-1,2)</f>
        <v>0.67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352</v>
      </c>
      <c r="F20" s="10"/>
      <c r="G20" s="10">
        <f t="shared" si="0"/>
        <v>352</v>
      </c>
      <c r="H20" s="16">
        <f t="shared" si="1"/>
        <v>0.13</v>
      </c>
      <c r="I20" s="15">
        <f t="shared" si="2"/>
        <v>0</v>
      </c>
      <c r="J20" s="15">
        <f>ROUND(G20/427-1,2)</f>
        <v>-0.18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2420</v>
      </c>
      <c r="F21" s="10"/>
      <c r="G21" s="10">
        <f t="shared" si="0"/>
        <v>2420</v>
      </c>
      <c r="H21" s="16">
        <f t="shared" si="1"/>
        <v>0.93</v>
      </c>
      <c r="I21" s="15">
        <f t="shared" si="2"/>
        <v>3.0000000000000001E-3</v>
      </c>
      <c r="J21" s="15">
        <f>ROUND(G21/4600-1,2)</f>
        <v>-0.47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650</v>
      </c>
      <c r="F22" s="10"/>
      <c r="G22" s="10">
        <f t="shared" si="0"/>
        <v>650</v>
      </c>
      <c r="H22" s="16">
        <f t="shared" si="1"/>
        <v>0.25</v>
      </c>
      <c r="I22" s="15">
        <f t="shared" si="2"/>
        <v>1E-3</v>
      </c>
      <c r="J22" s="15">
        <f>ROUND(G22/550-1,2)</f>
        <v>0.18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710</v>
      </c>
      <c r="F23" s="10"/>
      <c r="G23" s="10">
        <f t="shared" si="0"/>
        <v>710</v>
      </c>
      <c r="H23" s="16">
        <f t="shared" si="1"/>
        <v>0.27</v>
      </c>
      <c r="I23" s="15">
        <f t="shared" si="2"/>
        <v>1E-3</v>
      </c>
      <c r="J23" s="15">
        <f>ROUND(G23/1320-1,2)</f>
        <v>-0.46</v>
      </c>
    </row>
    <row r="24" spans="1:10" x14ac:dyDescent="0.25">
      <c r="A24" s="1" t="s">
        <v>16</v>
      </c>
      <c r="B24" s="1" t="s">
        <v>33</v>
      </c>
      <c r="C24" s="10"/>
      <c r="D24" s="10">
        <v>293</v>
      </c>
      <c r="E24" s="10">
        <v>95</v>
      </c>
      <c r="F24" s="10"/>
      <c r="G24" s="10">
        <f t="shared" si="0"/>
        <v>388</v>
      </c>
      <c r="H24" s="16">
        <f t="shared" si="1"/>
        <v>0.15</v>
      </c>
      <c r="I24" s="15">
        <f t="shared" si="2"/>
        <v>1E-3</v>
      </c>
      <c r="J24" s="15">
        <f>ROUND(G24/314-1,2)</f>
        <v>0.24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119</v>
      </c>
      <c r="F25" s="10"/>
      <c r="G25" s="10">
        <f t="shared" si="0"/>
        <v>119</v>
      </c>
      <c r="H25" s="16">
        <f t="shared" si="1"/>
        <v>0.05</v>
      </c>
      <c r="I25" s="15">
        <f t="shared" si="2"/>
        <v>0</v>
      </c>
      <c r="J25" s="15">
        <f>ROUND(G25/192-1,2)</f>
        <v>-0.38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820</v>
      </c>
      <c r="F26" s="10"/>
      <c r="G26" s="10">
        <f t="shared" si="0"/>
        <v>820</v>
      </c>
      <c r="H26" s="16">
        <f t="shared" si="1"/>
        <v>0.31</v>
      </c>
      <c r="I26" s="15">
        <f t="shared" si="2"/>
        <v>1E-3</v>
      </c>
      <c r="J26" s="15">
        <f>ROUND(G26/1650-1,2)</f>
        <v>-0.5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5020</v>
      </c>
      <c r="F27" s="10"/>
      <c r="G27" s="10">
        <f t="shared" si="0"/>
        <v>5020</v>
      </c>
      <c r="H27" s="16">
        <f t="shared" si="1"/>
        <v>1.92</v>
      </c>
      <c r="I27" s="15">
        <f t="shared" si="2"/>
        <v>7.0000000000000001E-3</v>
      </c>
      <c r="J27" s="15">
        <f>ROUND(G27/4970-1,2)</f>
        <v>0.01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700</v>
      </c>
      <c r="F28" s="10"/>
      <c r="G28" s="10">
        <f t="shared" si="0"/>
        <v>700</v>
      </c>
      <c r="H28" s="16">
        <f t="shared" si="1"/>
        <v>0.27</v>
      </c>
      <c r="I28" s="15">
        <f t="shared" si="2"/>
        <v>1E-3</v>
      </c>
      <c r="J28" s="15">
        <f>ROUND(G28/8430-1,2)</f>
        <v>-0.92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55420</v>
      </c>
      <c r="F29" s="10"/>
      <c r="G29" s="10">
        <f t="shared" si="0"/>
        <v>55420</v>
      </c>
      <c r="H29" s="16">
        <f t="shared" si="1"/>
        <v>21.2</v>
      </c>
      <c r="I29" s="15">
        <f t="shared" si="2"/>
        <v>7.3999999999999996E-2</v>
      </c>
      <c r="J29" s="15">
        <f>ROUND(G29/57980-1,2)</f>
        <v>-0.04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4220</v>
      </c>
      <c r="F30" s="10"/>
      <c r="G30" s="10">
        <f t="shared" si="0"/>
        <v>4220</v>
      </c>
      <c r="H30" s="16">
        <f t="shared" si="1"/>
        <v>1.61</v>
      </c>
      <c r="I30" s="15">
        <f t="shared" si="2"/>
        <v>6.0000000000000001E-3</v>
      </c>
      <c r="J30" s="15">
        <f>ROUND(G30/3500-1,2)</f>
        <v>0.21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16690</v>
      </c>
      <c r="F31" s="10"/>
      <c r="G31" s="10">
        <f t="shared" si="0"/>
        <v>16690</v>
      </c>
      <c r="H31" s="16">
        <f t="shared" si="1"/>
        <v>6.38</v>
      </c>
      <c r="I31" s="15">
        <f t="shared" si="2"/>
        <v>2.1999999999999999E-2</v>
      </c>
      <c r="J31" s="15">
        <f>ROUND(G31/15790-1,2)</f>
        <v>0.06</v>
      </c>
    </row>
    <row r="32" spans="1:10" x14ac:dyDescent="0.25">
      <c r="A32" s="1" t="s">
        <v>16</v>
      </c>
      <c r="B32" s="1" t="s">
        <v>41</v>
      </c>
      <c r="C32" s="10"/>
      <c r="D32" s="10"/>
      <c r="E32" s="10"/>
      <c r="F32" s="10">
        <v>39320</v>
      </c>
      <c r="G32" s="10">
        <f t="shared" si="0"/>
        <v>39320</v>
      </c>
      <c r="H32" s="16">
        <f t="shared" si="1"/>
        <v>15.04</v>
      </c>
      <c r="I32" s="15">
        <f t="shared" si="2"/>
        <v>5.1999999999999998E-2</v>
      </c>
      <c r="J32" s="15">
        <f>ROUND(G32/9420-1,2)</f>
        <v>3.17</v>
      </c>
    </row>
    <row r="33" spans="1:10" x14ac:dyDescent="0.25">
      <c r="A33" s="1" t="s">
        <v>16</v>
      </c>
      <c r="B33" s="1" t="s">
        <v>227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ROUND(G35/3110-1,2)</f>
        <v>-1</v>
      </c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ROUND(G36/87-1,2)</f>
        <v>-1</v>
      </c>
    </row>
    <row r="37" spans="1:10" x14ac:dyDescent="0.25">
      <c r="A37" s="1" t="s">
        <v>44</v>
      </c>
      <c r="B37" s="1" t="s">
        <v>45</v>
      </c>
      <c r="C37" s="10">
        <v>128070</v>
      </c>
      <c r="D37" s="10"/>
      <c r="E37" s="10"/>
      <c r="F37" s="10"/>
      <c r="G37" s="10">
        <f t="shared" si="0"/>
        <v>128070</v>
      </c>
      <c r="H37" s="16">
        <f t="shared" si="1"/>
        <v>48.99</v>
      </c>
      <c r="I37" s="15">
        <f t="shared" si="2"/>
        <v>0.17100000000000001</v>
      </c>
      <c r="J37" s="15">
        <f>ROUND(G37/204680-1,2)</f>
        <v>-0.37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37330</v>
      </c>
      <c r="F38" s="10"/>
      <c r="G38" s="10">
        <f t="shared" si="0"/>
        <v>37330</v>
      </c>
      <c r="H38" s="16">
        <f t="shared" si="1"/>
        <v>14.28</v>
      </c>
      <c r="I38" s="15">
        <f t="shared" si="2"/>
        <v>0.05</v>
      </c>
      <c r="J38" s="15">
        <f>ROUND(G38/29120-1,2)</f>
        <v>0.28000000000000003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3" t="s">
        <v>12</v>
      </c>
      <c r="B42" s="23"/>
      <c r="C42" s="11">
        <f t="shared" ref="C42:H42" si="3">SUM(C8:C41)</f>
        <v>548690</v>
      </c>
      <c r="D42" s="11">
        <f t="shared" si="3"/>
        <v>293</v>
      </c>
      <c r="E42" s="11">
        <f t="shared" si="3"/>
        <v>160194</v>
      </c>
      <c r="F42" s="11">
        <f t="shared" si="3"/>
        <v>40940</v>
      </c>
      <c r="G42" s="11">
        <f t="shared" si="3"/>
        <v>750117</v>
      </c>
      <c r="H42" s="14">
        <f t="shared" si="3"/>
        <v>286.94</v>
      </c>
      <c r="I42" s="17"/>
      <c r="J42" s="17"/>
    </row>
    <row r="43" spans="1:10" x14ac:dyDescent="0.25">
      <c r="A43" s="23" t="s">
        <v>14</v>
      </c>
      <c r="B43" s="23"/>
      <c r="C43" s="12">
        <f>ROUND(C42/G42,2)</f>
        <v>0.73</v>
      </c>
      <c r="D43" s="12">
        <f>ROUND(D42/G42,2)</f>
        <v>0</v>
      </c>
      <c r="E43" s="12">
        <f>ROUND(E42/G42,2)</f>
        <v>0.21</v>
      </c>
      <c r="F43" s="12">
        <f>ROUND(F42/G42,2)</f>
        <v>0.05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53</v>
      </c>
      <c r="B48" s="23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420620</v>
      </c>
      <c r="D49" s="10">
        <v>293</v>
      </c>
      <c r="E49" s="10">
        <v>122864</v>
      </c>
      <c r="F49" s="10">
        <v>40940</v>
      </c>
      <c r="G49" s="10">
        <f>SUM(C49:F49)</f>
        <v>584717</v>
      </c>
      <c r="H49" s="16">
        <f>ROUND(G49/2614,2)</f>
        <v>223.69</v>
      </c>
      <c r="I49" s="9"/>
      <c r="J49" s="9"/>
    </row>
    <row r="50" spans="1:10" x14ac:dyDescent="0.25">
      <c r="A50" s="22" t="s">
        <v>55</v>
      </c>
      <c r="B50" s="22"/>
      <c r="C50" s="10">
        <v>128070</v>
      </c>
      <c r="D50" s="10">
        <v>0</v>
      </c>
      <c r="E50" s="10">
        <v>37330</v>
      </c>
      <c r="F50" s="10">
        <v>0</v>
      </c>
      <c r="G50" s="10">
        <f>SUM(C50:F50)</f>
        <v>165400</v>
      </c>
      <c r="H50" s="16">
        <f>ROUND(G50/2614,2)</f>
        <v>63.27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ROUND(G51/2614,2)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57</v>
      </c>
      <c r="B56" s="23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ROUND(0.8177, 4)</f>
        <v>0.81769999999999998</v>
      </c>
      <c r="D57" s="15">
        <f>ROUND(0.7219, 4)</f>
        <v>0.72189999999999999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4" t="s">
        <v>64</v>
      </c>
      <c r="J57" s="24" t="s">
        <v>65</v>
      </c>
    </row>
    <row r="58" spans="1:10" x14ac:dyDescent="0.25">
      <c r="A58" s="22" t="s">
        <v>66</v>
      </c>
      <c r="B58" s="22"/>
      <c r="C58" s="15">
        <f>ROUND(0.8057, 4)</f>
        <v>0.80569999999999997</v>
      </c>
      <c r="D58" s="15">
        <f>ROUND(0.7112, 4)</f>
        <v>0.71120000000000005</v>
      </c>
      <c r="E58" s="15">
        <f>ROUND(0.7608, 4)</f>
        <v>0.76080000000000003</v>
      </c>
      <c r="F58" s="8"/>
      <c r="G58" s="14" t="s">
        <v>67</v>
      </c>
      <c r="H58" s="27"/>
      <c r="I58" s="25"/>
      <c r="J58" s="25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68</v>
      </c>
      <c r="B62" s="23"/>
      <c r="C62" s="14" t="s">
        <v>2</v>
      </c>
      <c r="D62" s="14" t="s">
        <v>228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48.99</v>
      </c>
      <c r="D63" s="16">
        <v>96.49</v>
      </c>
      <c r="E63" s="16">
        <v>89.58</v>
      </c>
      <c r="F63" s="16">
        <v>53.73</v>
      </c>
      <c r="G63" s="16">
        <f>12/9*C63</f>
        <v>65.319999999999993</v>
      </c>
      <c r="H63" s="8"/>
      <c r="I63" s="9"/>
      <c r="J63" s="9"/>
    </row>
    <row r="64" spans="1:10" x14ac:dyDescent="0.25">
      <c r="A64" s="22" t="s">
        <v>74</v>
      </c>
      <c r="B64" s="22"/>
      <c r="C64" s="16">
        <v>61.08</v>
      </c>
      <c r="D64" s="16">
        <v>70.33</v>
      </c>
      <c r="E64" s="16">
        <v>60.32</v>
      </c>
      <c r="F64" s="16">
        <v>61.62</v>
      </c>
      <c r="G64" s="16">
        <f>12/9*C64</f>
        <v>81.44</v>
      </c>
      <c r="H64" s="8"/>
      <c r="I64" s="9"/>
      <c r="J64" s="9"/>
    </row>
    <row r="65" spans="1:10" x14ac:dyDescent="0.25">
      <c r="A65" s="22" t="s">
        <v>75</v>
      </c>
      <c r="B65" s="22"/>
      <c r="C65" s="16">
        <v>223.69</v>
      </c>
      <c r="D65" s="16">
        <v>264.16000000000003</v>
      </c>
      <c r="E65" s="16">
        <v>282.8</v>
      </c>
      <c r="F65" s="16">
        <v>273.33</v>
      </c>
      <c r="G65" s="16">
        <f>12/9*C65</f>
        <v>298.25333333333333</v>
      </c>
      <c r="H65" s="8"/>
      <c r="I65" s="9"/>
      <c r="J65" s="9"/>
    </row>
    <row r="66" spans="1:10" x14ac:dyDescent="0.25">
      <c r="A66" s="22" t="s">
        <v>76</v>
      </c>
      <c r="B66" s="22"/>
      <c r="C66" s="16">
        <v>63.27</v>
      </c>
      <c r="D66" s="16">
        <v>113.31</v>
      </c>
      <c r="E66" s="16">
        <v>112.72</v>
      </c>
      <c r="F66" s="16">
        <v>76.52</v>
      </c>
      <c r="G66" s="16">
        <f>12/9*C66</f>
        <v>84.36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8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229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2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230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2781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84</v>
      </c>
      <c r="F9" s="10"/>
      <c r="G9" s="10">
        <f t="shared" ref="G9:G38" si="0">SUM(C9:F9)</f>
        <v>84</v>
      </c>
      <c r="H9" s="16">
        <f t="shared" ref="H9:H38" si="1">ROUND(G9/2781,2)</f>
        <v>0.03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65760</v>
      </c>
      <c r="D10" s="10"/>
      <c r="E10" s="10"/>
      <c r="F10" s="10"/>
      <c r="G10" s="10">
        <f t="shared" si="0"/>
        <v>65760</v>
      </c>
      <c r="H10" s="16">
        <f t="shared" si="1"/>
        <v>23.65</v>
      </c>
      <c r="I10" s="15">
        <f t="shared" si="2"/>
        <v>8.1000000000000003E-2</v>
      </c>
      <c r="J10" s="15">
        <f>ROUND(G10/62140-1,2)</f>
        <v>0.06</v>
      </c>
    </row>
    <row r="11" spans="1:10" x14ac:dyDescent="0.25">
      <c r="A11" s="1" t="s">
        <v>16</v>
      </c>
      <c r="B11" s="1" t="s">
        <v>20</v>
      </c>
      <c r="C11" s="10">
        <v>84750</v>
      </c>
      <c r="D11" s="10"/>
      <c r="E11" s="10"/>
      <c r="F11" s="10"/>
      <c r="G11" s="10">
        <f t="shared" si="0"/>
        <v>84750</v>
      </c>
      <c r="H11" s="16">
        <f t="shared" si="1"/>
        <v>30.47</v>
      </c>
      <c r="I11" s="15">
        <f t="shared" si="2"/>
        <v>0.105</v>
      </c>
      <c r="J11" s="15">
        <f>ROUND(G11/84590-1,2)</f>
        <v>0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169</v>
      </c>
      <c r="F12" s="10"/>
      <c r="G12" s="10">
        <f t="shared" si="0"/>
        <v>169</v>
      </c>
      <c r="H12" s="16">
        <f t="shared" si="1"/>
        <v>0.06</v>
      </c>
      <c r="I12" s="15">
        <f t="shared" si="2"/>
        <v>0</v>
      </c>
      <c r="J12" s="15">
        <f>ROUND(G12/145-1,2)</f>
        <v>0.17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18740</v>
      </c>
      <c r="F13" s="10"/>
      <c r="G13" s="10">
        <f t="shared" si="0"/>
        <v>18740</v>
      </c>
      <c r="H13" s="16">
        <f t="shared" si="1"/>
        <v>6.74</v>
      </c>
      <c r="I13" s="15">
        <f t="shared" si="2"/>
        <v>2.3E-2</v>
      </c>
      <c r="J13" s="15">
        <f>ROUND(G13/31140-1,2)</f>
        <v>-0.4</v>
      </c>
    </row>
    <row r="14" spans="1:10" x14ac:dyDescent="0.25">
      <c r="A14" s="1" t="s">
        <v>16</v>
      </c>
      <c r="B14" s="1" t="s">
        <v>24</v>
      </c>
      <c r="C14" s="10">
        <v>88020</v>
      </c>
      <c r="D14" s="10"/>
      <c r="E14" s="10"/>
      <c r="F14" s="10"/>
      <c r="G14" s="10">
        <f t="shared" si="0"/>
        <v>88020</v>
      </c>
      <c r="H14" s="16">
        <f t="shared" si="1"/>
        <v>31.65</v>
      </c>
      <c r="I14" s="15">
        <f t="shared" si="2"/>
        <v>0.109</v>
      </c>
      <c r="J14" s="15">
        <f>ROUND(G14/91980-1,2)</f>
        <v>-0.04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2920</v>
      </c>
      <c r="F15" s="10"/>
      <c r="G15" s="10">
        <f t="shared" si="0"/>
        <v>2920</v>
      </c>
      <c r="H15" s="16">
        <f t="shared" si="1"/>
        <v>1.05</v>
      </c>
      <c r="I15" s="15">
        <f t="shared" si="2"/>
        <v>4.0000000000000001E-3</v>
      </c>
      <c r="J15" s="15">
        <f>ROUND(G15/4110-1,2)</f>
        <v>-0.28999999999999998</v>
      </c>
    </row>
    <row r="16" spans="1:10" x14ac:dyDescent="0.25">
      <c r="A16" s="1" t="s">
        <v>16</v>
      </c>
      <c r="B16" s="1" t="s">
        <v>26</v>
      </c>
      <c r="C16" s="10">
        <v>151720</v>
      </c>
      <c r="D16" s="10"/>
      <c r="E16" s="10"/>
      <c r="F16" s="10">
        <v>80</v>
      </c>
      <c r="G16" s="10">
        <f t="shared" si="0"/>
        <v>151800</v>
      </c>
      <c r="H16" s="16">
        <f t="shared" si="1"/>
        <v>54.58</v>
      </c>
      <c r="I16" s="15">
        <f t="shared" si="2"/>
        <v>0.187</v>
      </c>
      <c r="J16" s="15">
        <f>ROUND(G16/146310-1,2)</f>
        <v>0.04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1650</v>
      </c>
      <c r="F17" s="10"/>
      <c r="G17" s="10">
        <f t="shared" si="0"/>
        <v>1650</v>
      </c>
      <c r="H17" s="16">
        <f t="shared" si="1"/>
        <v>0.59</v>
      </c>
      <c r="I17" s="15">
        <f t="shared" si="2"/>
        <v>2E-3</v>
      </c>
      <c r="J17" s="15">
        <f>ROUND(G17/2090-1,2)</f>
        <v>-0.21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480</v>
      </c>
      <c r="F18" s="10"/>
      <c r="G18" s="10">
        <f t="shared" si="0"/>
        <v>480</v>
      </c>
      <c r="H18" s="16">
        <f t="shared" si="1"/>
        <v>0.17</v>
      </c>
      <c r="I18" s="15">
        <f t="shared" si="2"/>
        <v>1E-3</v>
      </c>
      <c r="J18" s="15">
        <f>ROUND(G18/700-1,2)</f>
        <v>-0.31</v>
      </c>
    </row>
    <row r="19" spans="1:10" x14ac:dyDescent="0.25">
      <c r="A19" s="1" t="s">
        <v>16</v>
      </c>
      <c r="B19" s="1" t="s">
        <v>32</v>
      </c>
      <c r="C19" s="10"/>
      <c r="D19" s="10"/>
      <c r="E19" s="10">
        <v>1270</v>
      </c>
      <c r="F19" s="10"/>
      <c r="G19" s="10">
        <f t="shared" si="0"/>
        <v>1270</v>
      </c>
      <c r="H19" s="16">
        <f t="shared" si="1"/>
        <v>0.46</v>
      </c>
      <c r="I19" s="15">
        <f t="shared" si="2"/>
        <v>2E-3</v>
      </c>
      <c r="J19" s="15">
        <f>ROUND(G19/1440-1,2)</f>
        <v>-0.12</v>
      </c>
    </row>
    <row r="20" spans="1:10" x14ac:dyDescent="0.25">
      <c r="A20" s="1" t="s">
        <v>16</v>
      </c>
      <c r="B20" s="1" t="s">
        <v>33</v>
      </c>
      <c r="C20" s="10"/>
      <c r="D20" s="10">
        <v>140</v>
      </c>
      <c r="E20" s="10">
        <v>50</v>
      </c>
      <c r="F20" s="10"/>
      <c r="G20" s="10">
        <f t="shared" si="0"/>
        <v>190</v>
      </c>
      <c r="H20" s="16">
        <f t="shared" si="1"/>
        <v>7.0000000000000007E-2</v>
      </c>
      <c r="I20" s="15">
        <f t="shared" si="2"/>
        <v>0</v>
      </c>
      <c r="J20" s="15">
        <f>ROUND(G20/172-1,2)</f>
        <v>0.1</v>
      </c>
    </row>
    <row r="21" spans="1:10" x14ac:dyDescent="0.25">
      <c r="A21" s="1" t="s">
        <v>16</v>
      </c>
      <c r="B21" s="1" t="s">
        <v>34</v>
      </c>
      <c r="C21" s="10"/>
      <c r="D21" s="10"/>
      <c r="E21" s="10">
        <v>900</v>
      </c>
      <c r="F21" s="10"/>
      <c r="G21" s="10">
        <f t="shared" si="0"/>
        <v>900</v>
      </c>
      <c r="H21" s="16">
        <f t="shared" si="1"/>
        <v>0.32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35</v>
      </c>
      <c r="C22" s="10"/>
      <c r="D22" s="10">
        <v>100</v>
      </c>
      <c r="E22" s="10"/>
      <c r="F22" s="10"/>
      <c r="G22" s="10">
        <f t="shared" si="0"/>
        <v>100</v>
      </c>
      <c r="H22" s="16">
        <f t="shared" si="1"/>
        <v>0.04</v>
      </c>
      <c r="I22" s="15">
        <f t="shared" si="2"/>
        <v>0</v>
      </c>
      <c r="J22" s="15">
        <f>ROUND(G22/290-1,2)</f>
        <v>-0.66</v>
      </c>
    </row>
    <row r="23" spans="1:10" x14ac:dyDescent="0.25">
      <c r="A23" s="1" t="s">
        <v>16</v>
      </c>
      <c r="B23" s="1" t="s">
        <v>43</v>
      </c>
      <c r="C23" s="10"/>
      <c r="D23" s="10"/>
      <c r="E23" s="10">
        <v>2450</v>
      </c>
      <c r="F23" s="10"/>
      <c r="G23" s="10">
        <f t="shared" si="0"/>
        <v>2450</v>
      </c>
      <c r="H23" s="16">
        <f t="shared" si="1"/>
        <v>0.88</v>
      </c>
      <c r="I23" s="15">
        <f t="shared" si="2"/>
        <v>3.0000000000000001E-3</v>
      </c>
      <c r="J23" s="15">
        <f>ROUND(G23/5076-1,2)</f>
        <v>-0.52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1790</v>
      </c>
      <c r="F24" s="10"/>
      <c r="G24" s="10">
        <f t="shared" si="0"/>
        <v>1790</v>
      </c>
      <c r="H24" s="16">
        <f t="shared" si="1"/>
        <v>0.64</v>
      </c>
      <c r="I24" s="15">
        <f t="shared" si="2"/>
        <v>2E-3</v>
      </c>
      <c r="J24" s="15">
        <f>ROUND(G24/1630-1,2)</f>
        <v>0.1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45820</v>
      </c>
      <c r="F25" s="10"/>
      <c r="G25" s="10">
        <f t="shared" si="0"/>
        <v>45820</v>
      </c>
      <c r="H25" s="16">
        <f t="shared" si="1"/>
        <v>16.48</v>
      </c>
      <c r="I25" s="15">
        <f t="shared" si="2"/>
        <v>5.7000000000000002E-2</v>
      </c>
      <c r="J25" s="15">
        <f>ROUND(G25/39390-1,2)</f>
        <v>0.16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15660</v>
      </c>
      <c r="F26" s="10"/>
      <c r="G26" s="10">
        <f t="shared" si="0"/>
        <v>15660</v>
      </c>
      <c r="H26" s="16">
        <f t="shared" si="1"/>
        <v>5.63</v>
      </c>
      <c r="I26" s="15">
        <f t="shared" si="2"/>
        <v>1.9E-2</v>
      </c>
      <c r="J26" s="15">
        <f>ROUND(G26/14470-1,2)</f>
        <v>0.08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64600</v>
      </c>
      <c r="F27" s="10"/>
      <c r="G27" s="10">
        <f t="shared" si="0"/>
        <v>64600</v>
      </c>
      <c r="H27" s="16">
        <f t="shared" si="1"/>
        <v>23.23</v>
      </c>
      <c r="I27" s="15">
        <f t="shared" si="2"/>
        <v>0.08</v>
      </c>
      <c r="J27" s="15">
        <f>ROUND(G27/68290-1,2)</f>
        <v>-0.05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ROUND(G28/1760-1,2)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ROUND(G29/39-1,2)</f>
        <v>-1</v>
      </c>
    </row>
    <row r="30" spans="1:10" x14ac:dyDescent="0.25">
      <c r="A30" s="1" t="s">
        <v>16</v>
      </c>
      <c r="B30" s="1" t="s">
        <v>39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ROUND(G31/450-1,2)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220600</v>
      </c>
      <c r="D33" s="10"/>
      <c r="E33" s="10"/>
      <c r="F33" s="10"/>
      <c r="G33" s="10">
        <f t="shared" si="0"/>
        <v>220600</v>
      </c>
      <c r="H33" s="16">
        <f t="shared" si="1"/>
        <v>79.319999999999993</v>
      </c>
      <c r="I33" s="15">
        <f t="shared" si="2"/>
        <v>0.27200000000000002</v>
      </c>
      <c r="J33" s="15">
        <f>ROUND(G33/201380-1,2)</f>
        <v>0.1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13770</v>
      </c>
      <c r="G34" s="10">
        <f t="shared" si="0"/>
        <v>13770</v>
      </c>
      <c r="H34" s="16">
        <f t="shared" si="1"/>
        <v>4.95</v>
      </c>
      <c r="I34" s="15">
        <f t="shared" si="2"/>
        <v>1.7000000000000001E-2</v>
      </c>
      <c r="J34" s="15">
        <f>ROUND(G34/11100-1,2)</f>
        <v>0.24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28390</v>
      </c>
      <c r="F35" s="10"/>
      <c r="G35" s="10">
        <f t="shared" si="0"/>
        <v>28390</v>
      </c>
      <c r="H35" s="16">
        <f t="shared" si="1"/>
        <v>10.210000000000001</v>
      </c>
      <c r="I35" s="15">
        <f t="shared" si="2"/>
        <v>3.5000000000000003E-2</v>
      </c>
      <c r="J35" s="15">
        <f>ROUND(G35/29380-1,2)</f>
        <v>-0.03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94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610850</v>
      </c>
      <c r="D39" s="11">
        <f t="shared" si="3"/>
        <v>240</v>
      </c>
      <c r="E39" s="11">
        <f t="shared" si="3"/>
        <v>184973</v>
      </c>
      <c r="F39" s="11">
        <f t="shared" si="3"/>
        <v>13850</v>
      </c>
      <c r="G39" s="11">
        <f t="shared" si="3"/>
        <v>809913</v>
      </c>
      <c r="H39" s="14">
        <f t="shared" si="3"/>
        <v>291.21999999999991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0.75</v>
      </c>
      <c r="D40" s="12">
        <f>ROUND(D39/G39,2)</f>
        <v>0</v>
      </c>
      <c r="E40" s="12">
        <f>ROUND(E39/G39,2)</f>
        <v>0.23</v>
      </c>
      <c r="F40" s="12">
        <f>ROUND(F39/G39,2)</f>
        <v>0.02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390250</v>
      </c>
      <c r="D46" s="10">
        <v>240</v>
      </c>
      <c r="E46" s="10">
        <v>156583</v>
      </c>
      <c r="F46" s="10">
        <v>80</v>
      </c>
      <c r="G46" s="10">
        <f>SUM(C46:F46)</f>
        <v>547153</v>
      </c>
      <c r="H46" s="16">
        <f>ROUND(G46/2781,2)</f>
        <v>196.75</v>
      </c>
      <c r="I46" s="9"/>
      <c r="J46" s="9"/>
    </row>
    <row r="47" spans="1:10" x14ac:dyDescent="0.25">
      <c r="A47" s="22" t="s">
        <v>55</v>
      </c>
      <c r="B47" s="22"/>
      <c r="C47" s="10">
        <v>220600</v>
      </c>
      <c r="D47" s="10">
        <v>0</v>
      </c>
      <c r="E47" s="10">
        <v>28390</v>
      </c>
      <c r="F47" s="10">
        <v>13770</v>
      </c>
      <c r="G47" s="10">
        <f>SUM(C47:F47)</f>
        <v>262760</v>
      </c>
      <c r="H47" s="16">
        <f>ROUND(G47/2781,2)</f>
        <v>94.48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ROUND(G48/2781,2)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ROUND(0.718, 4)</f>
        <v>0.71799999999999997</v>
      </c>
      <c r="D54" s="15">
        <f>ROUND(0.7269, 4)</f>
        <v>0.72689999999999999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ROUND(0.7073, 4)</f>
        <v>0.70730000000000004</v>
      </c>
      <c r="D55" s="15">
        <f>ROUND(0.7162, 4)</f>
        <v>0.71619999999999995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231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79.319999999999993</v>
      </c>
      <c r="D60" s="16">
        <v>91.98</v>
      </c>
      <c r="E60" s="16">
        <v>89.58</v>
      </c>
      <c r="F60" s="16">
        <v>53.73</v>
      </c>
      <c r="G60" s="16">
        <f>12/9*C60</f>
        <v>105.75999999999999</v>
      </c>
      <c r="H60" s="8"/>
      <c r="I60" s="9"/>
      <c r="J60" s="9"/>
    </row>
    <row r="61" spans="1:10" x14ac:dyDescent="0.25">
      <c r="A61" s="22" t="s">
        <v>74</v>
      </c>
      <c r="B61" s="22"/>
      <c r="C61" s="16">
        <v>54.58</v>
      </c>
      <c r="D61" s="16">
        <v>67.849999999999994</v>
      </c>
      <c r="E61" s="16">
        <v>60.32</v>
      </c>
      <c r="F61" s="16">
        <v>61.62</v>
      </c>
      <c r="G61" s="16">
        <f>12/9*C61</f>
        <v>72.773333333333326</v>
      </c>
      <c r="H61" s="8"/>
      <c r="I61" s="9"/>
      <c r="J61" s="9"/>
    </row>
    <row r="62" spans="1:10" x14ac:dyDescent="0.25">
      <c r="A62" s="22" t="s">
        <v>75</v>
      </c>
      <c r="B62" s="22"/>
      <c r="C62" s="16">
        <v>196.75</v>
      </c>
      <c r="D62" s="16">
        <v>267.58999999999997</v>
      </c>
      <c r="E62" s="16">
        <v>282.8</v>
      </c>
      <c r="F62" s="16">
        <v>273.33</v>
      </c>
      <c r="G62" s="16">
        <f>12/9*C62</f>
        <v>262.33333333333331</v>
      </c>
      <c r="H62" s="8"/>
      <c r="I62" s="9"/>
      <c r="J62" s="9"/>
    </row>
    <row r="63" spans="1:10" x14ac:dyDescent="0.25">
      <c r="A63" s="22" t="s">
        <v>76</v>
      </c>
      <c r="B63" s="22"/>
      <c r="C63" s="16">
        <v>94.48</v>
      </c>
      <c r="D63" s="16">
        <v>111.82</v>
      </c>
      <c r="E63" s="16">
        <v>112.72</v>
      </c>
      <c r="F63" s="16">
        <v>76.52</v>
      </c>
      <c r="G63" s="16">
        <f>12/9*C63</f>
        <v>125.97333333333333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232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3"/>
  <dimension ref="A2:J77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233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1724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37</v>
      </c>
      <c r="F9" s="10"/>
      <c r="G9" s="10">
        <f t="shared" ref="G9:G42" si="0">SUM(C9:F9)</f>
        <v>37</v>
      </c>
      <c r="H9" s="16">
        <f t="shared" ref="H9:H42" si="1">ROUND(G9/1724,2)</f>
        <v>0.02</v>
      </c>
      <c r="I9" s="15">
        <f t="shared" ref="I9:I42" si="2">ROUND(G9/$G$43,3)</f>
        <v>0</v>
      </c>
      <c r="J9" s="15">
        <f>ROUND(G9/45-1,2)</f>
        <v>-0.18</v>
      </c>
    </row>
    <row r="10" spans="1:10" x14ac:dyDescent="0.25">
      <c r="A10" s="1" t="s">
        <v>16</v>
      </c>
      <c r="B10" s="1" t="s">
        <v>19</v>
      </c>
      <c r="C10" s="10">
        <v>31680</v>
      </c>
      <c r="D10" s="10"/>
      <c r="E10" s="10">
        <v>4962</v>
      </c>
      <c r="F10" s="10">
        <v>440</v>
      </c>
      <c r="G10" s="10">
        <f t="shared" si="0"/>
        <v>37082</v>
      </c>
      <c r="H10" s="16">
        <f t="shared" si="1"/>
        <v>21.51</v>
      </c>
      <c r="I10" s="15">
        <f t="shared" si="2"/>
        <v>7.5999999999999998E-2</v>
      </c>
      <c r="J10" s="15">
        <f>ROUND(G10/40492.8-1,2)</f>
        <v>-0.08</v>
      </c>
    </row>
    <row r="11" spans="1:10" x14ac:dyDescent="0.25">
      <c r="A11" s="1" t="s">
        <v>16</v>
      </c>
      <c r="B11" s="1" t="s">
        <v>20</v>
      </c>
      <c r="C11" s="10">
        <v>55680</v>
      </c>
      <c r="D11" s="10"/>
      <c r="E11" s="10"/>
      <c r="F11" s="10"/>
      <c r="G11" s="10">
        <f t="shared" si="0"/>
        <v>55680</v>
      </c>
      <c r="H11" s="16">
        <f t="shared" si="1"/>
        <v>32.299999999999997</v>
      </c>
      <c r="I11" s="15">
        <f t="shared" si="2"/>
        <v>0.113</v>
      </c>
      <c r="J11" s="15">
        <f>ROUND(G11/60420-1,2)</f>
        <v>-0.08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76</v>
      </c>
      <c r="F12" s="10"/>
      <c r="G12" s="10">
        <f t="shared" si="0"/>
        <v>76</v>
      </c>
      <c r="H12" s="16">
        <f t="shared" si="1"/>
        <v>0.04</v>
      </c>
      <c r="I12" s="15">
        <f t="shared" si="2"/>
        <v>0</v>
      </c>
      <c r="J12" s="15">
        <f>ROUND(G12/321.96-1,2)</f>
        <v>-0.76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627</v>
      </c>
      <c r="F13" s="10"/>
      <c r="G13" s="10">
        <f t="shared" si="0"/>
        <v>627</v>
      </c>
      <c r="H13" s="16">
        <f t="shared" si="1"/>
        <v>0.36</v>
      </c>
      <c r="I13" s="15">
        <f t="shared" si="2"/>
        <v>1E-3</v>
      </c>
      <c r="J13" s="15">
        <f>ROUND(G13/240-1,2)</f>
        <v>1.61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74860</v>
      </c>
      <c r="F14" s="10"/>
      <c r="G14" s="10">
        <f t="shared" si="0"/>
        <v>74860</v>
      </c>
      <c r="H14" s="16">
        <f t="shared" si="1"/>
        <v>43.42</v>
      </c>
      <c r="I14" s="15">
        <f t="shared" si="2"/>
        <v>0.153</v>
      </c>
      <c r="J14" s="15">
        <f>ROUND(G14/85797.99-1,2)</f>
        <v>-0.13</v>
      </c>
    </row>
    <row r="15" spans="1:10" x14ac:dyDescent="0.25">
      <c r="A15" s="1" t="s">
        <v>16</v>
      </c>
      <c r="B15" s="1" t="s">
        <v>24</v>
      </c>
      <c r="C15" s="10">
        <v>47100</v>
      </c>
      <c r="D15" s="10"/>
      <c r="E15" s="10">
        <v>13680</v>
      </c>
      <c r="F15" s="10">
        <v>120</v>
      </c>
      <c r="G15" s="10">
        <f t="shared" si="0"/>
        <v>60900</v>
      </c>
      <c r="H15" s="16">
        <f t="shared" si="1"/>
        <v>35.32</v>
      </c>
      <c r="I15" s="15">
        <f t="shared" si="2"/>
        <v>0.124</v>
      </c>
      <c r="J15" s="15">
        <f>ROUND(G15/61717.18-1,2)</f>
        <v>-0.01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3100</v>
      </c>
      <c r="F16" s="10"/>
      <c r="G16" s="10">
        <f t="shared" si="0"/>
        <v>3100</v>
      </c>
      <c r="H16" s="16">
        <f t="shared" si="1"/>
        <v>1.8</v>
      </c>
      <c r="I16" s="15">
        <f t="shared" si="2"/>
        <v>6.0000000000000001E-3</v>
      </c>
      <c r="J16" s="15">
        <f>ROUND(G16/4495-1,2)</f>
        <v>-0.31</v>
      </c>
    </row>
    <row r="17" spans="1:10" x14ac:dyDescent="0.25">
      <c r="A17" s="1" t="s">
        <v>16</v>
      </c>
      <c r="B17" s="1" t="s">
        <v>26</v>
      </c>
      <c r="C17" s="10">
        <v>36290</v>
      </c>
      <c r="D17" s="10"/>
      <c r="E17" s="10"/>
      <c r="F17" s="10">
        <v>120</v>
      </c>
      <c r="G17" s="10">
        <f t="shared" si="0"/>
        <v>36410</v>
      </c>
      <c r="H17" s="16">
        <f t="shared" si="1"/>
        <v>21.12</v>
      </c>
      <c r="I17" s="15">
        <f t="shared" si="2"/>
        <v>7.3999999999999996E-2</v>
      </c>
      <c r="J17" s="15">
        <f>ROUND(G17/43960-1,2)</f>
        <v>-0.17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712</v>
      </c>
      <c r="F18" s="10"/>
      <c r="G18" s="10">
        <f t="shared" si="0"/>
        <v>712</v>
      </c>
      <c r="H18" s="16">
        <f t="shared" si="1"/>
        <v>0.41</v>
      </c>
      <c r="I18" s="15">
        <f t="shared" si="2"/>
        <v>1E-3</v>
      </c>
      <c r="J18" s="15">
        <f>ROUND(G18/795-1,2)</f>
        <v>-0.1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384</v>
      </c>
      <c r="F19" s="10"/>
      <c r="G19" s="10">
        <f t="shared" si="0"/>
        <v>384</v>
      </c>
      <c r="H19" s="16">
        <f t="shared" si="1"/>
        <v>0.22</v>
      </c>
      <c r="I19" s="15">
        <f t="shared" si="2"/>
        <v>1E-3</v>
      </c>
      <c r="J19" s="15">
        <f>ROUND(G19/514-1,2)</f>
        <v>-0.25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1782</v>
      </c>
      <c r="F20" s="10"/>
      <c r="G20" s="10">
        <f t="shared" si="0"/>
        <v>1782</v>
      </c>
      <c r="H20" s="16">
        <f t="shared" si="1"/>
        <v>1.03</v>
      </c>
      <c r="I20" s="15">
        <f t="shared" si="2"/>
        <v>4.0000000000000001E-3</v>
      </c>
      <c r="J20" s="15">
        <f>ROUND(G20/5192.78-1,2)</f>
        <v>-0.66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358</v>
      </c>
      <c r="F21" s="10"/>
      <c r="G21" s="10">
        <f t="shared" si="0"/>
        <v>358</v>
      </c>
      <c r="H21" s="16">
        <f t="shared" si="1"/>
        <v>0.21</v>
      </c>
      <c r="I21" s="15">
        <f t="shared" si="2"/>
        <v>1E-3</v>
      </c>
      <c r="J21" s="15">
        <f>ROUND(G21/625.3-1,2)</f>
        <v>-0.43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835</v>
      </c>
      <c r="F22" s="10"/>
      <c r="G22" s="10">
        <f t="shared" si="0"/>
        <v>835</v>
      </c>
      <c r="H22" s="16">
        <f t="shared" si="1"/>
        <v>0.48</v>
      </c>
      <c r="I22" s="15">
        <f t="shared" si="2"/>
        <v>2E-3</v>
      </c>
      <c r="J22" s="15">
        <f>ROUND(G22/810-1,2)</f>
        <v>0.03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215</v>
      </c>
      <c r="F23" s="10"/>
      <c r="G23" s="10">
        <f t="shared" si="0"/>
        <v>215</v>
      </c>
      <c r="H23" s="16">
        <f t="shared" si="1"/>
        <v>0.12</v>
      </c>
      <c r="I23" s="15">
        <f t="shared" si="2"/>
        <v>0</v>
      </c>
      <c r="J23" s="15">
        <f>ROUND(G23/326-1,2)</f>
        <v>-0.34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251</v>
      </c>
      <c r="F24" s="10"/>
      <c r="G24" s="10">
        <f t="shared" si="0"/>
        <v>251</v>
      </c>
      <c r="H24" s="16">
        <f t="shared" si="1"/>
        <v>0.15</v>
      </c>
      <c r="I24" s="15">
        <f t="shared" si="2"/>
        <v>1E-3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2731</v>
      </c>
      <c r="F25" s="10"/>
      <c r="G25" s="10">
        <f t="shared" si="0"/>
        <v>2731</v>
      </c>
      <c r="H25" s="16">
        <f t="shared" si="1"/>
        <v>1.58</v>
      </c>
      <c r="I25" s="15">
        <f t="shared" si="2"/>
        <v>6.0000000000000001E-3</v>
      </c>
      <c r="J25" s="15">
        <f>ROUND(G25/6941.68-1,2)</f>
        <v>-0.61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2280</v>
      </c>
      <c r="F26" s="10"/>
      <c r="G26" s="10">
        <f t="shared" si="0"/>
        <v>2280</v>
      </c>
      <c r="H26" s="16">
        <f t="shared" si="1"/>
        <v>1.32</v>
      </c>
      <c r="I26" s="15">
        <f t="shared" si="2"/>
        <v>5.0000000000000001E-3</v>
      </c>
      <c r="J26" s="15">
        <f>ROUND(G26/14420-1,2)</f>
        <v>-0.84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50762</v>
      </c>
      <c r="F27" s="10"/>
      <c r="G27" s="10">
        <f t="shared" si="0"/>
        <v>50762</v>
      </c>
      <c r="H27" s="16">
        <f t="shared" si="1"/>
        <v>29.44</v>
      </c>
      <c r="I27" s="15">
        <f t="shared" si="2"/>
        <v>0.10299999999999999</v>
      </c>
      <c r="J27" s="15">
        <f>ROUND(G27/54571.24-1,2)</f>
        <v>-7.0000000000000007E-2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18055</v>
      </c>
      <c r="F28" s="10"/>
      <c r="G28" s="10">
        <f t="shared" si="0"/>
        <v>18055</v>
      </c>
      <c r="H28" s="16">
        <f t="shared" si="1"/>
        <v>10.47</v>
      </c>
      <c r="I28" s="15">
        <f t="shared" si="2"/>
        <v>3.6999999999999998E-2</v>
      </c>
      <c r="J28" s="15">
        <f>ROUND(G28/23839.74-1,2)</f>
        <v>-0.24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8299</v>
      </c>
      <c r="F29" s="10"/>
      <c r="G29" s="10">
        <f t="shared" si="0"/>
        <v>8299</v>
      </c>
      <c r="H29" s="16">
        <f t="shared" si="1"/>
        <v>4.8099999999999996</v>
      </c>
      <c r="I29" s="15">
        <f t="shared" si="2"/>
        <v>1.7000000000000001E-2</v>
      </c>
      <c r="J29" s="15">
        <f>ROUND(G29/61372.12-1,2)</f>
        <v>-0.86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120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ROUND(G32/4229.22-1,2)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ROUND(G33/301.33-1,2)</f>
        <v>-1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ROUND(G34/48-1,2)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39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107750</v>
      </c>
      <c r="D37" s="10"/>
      <c r="E37" s="10"/>
      <c r="F37" s="10">
        <v>330</v>
      </c>
      <c r="G37" s="10">
        <f t="shared" si="0"/>
        <v>108080</v>
      </c>
      <c r="H37" s="16">
        <f t="shared" si="1"/>
        <v>62.69</v>
      </c>
      <c r="I37" s="15">
        <f t="shared" si="2"/>
        <v>0.22</v>
      </c>
      <c r="J37" s="15">
        <f>ROUND(G37/105480-1,2)</f>
        <v>0.02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27174</v>
      </c>
      <c r="F38" s="10"/>
      <c r="G38" s="10">
        <f t="shared" si="0"/>
        <v>27174</v>
      </c>
      <c r="H38" s="16">
        <f t="shared" si="1"/>
        <v>15.76</v>
      </c>
      <c r="I38" s="15">
        <f t="shared" si="2"/>
        <v>5.5E-2</v>
      </c>
      <c r="J38" s="15">
        <f>ROUND(G38/36691.66-1,2)</f>
        <v>-0.26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ROUND(G39/5320-1,2)</f>
        <v>-1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ROUND(G40/5-1,2)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3" t="s">
        <v>12</v>
      </c>
      <c r="B43" s="23"/>
      <c r="C43" s="11">
        <f t="shared" ref="C43:H43" si="3">SUM(C8:C42)</f>
        <v>278500</v>
      </c>
      <c r="D43" s="11">
        <f t="shared" si="3"/>
        <v>0</v>
      </c>
      <c r="E43" s="11">
        <f t="shared" si="3"/>
        <v>211180</v>
      </c>
      <c r="F43" s="11">
        <f t="shared" si="3"/>
        <v>1010</v>
      </c>
      <c r="G43" s="11">
        <f t="shared" si="3"/>
        <v>490690</v>
      </c>
      <c r="H43" s="14">
        <f t="shared" si="3"/>
        <v>284.58000000000004</v>
      </c>
      <c r="I43" s="17"/>
      <c r="J43" s="17"/>
    </row>
    <row r="44" spans="1:10" x14ac:dyDescent="0.25">
      <c r="A44" s="23" t="s">
        <v>14</v>
      </c>
      <c r="B44" s="23"/>
      <c r="C44" s="12">
        <f>ROUND(C43/G43,2)</f>
        <v>0.56999999999999995</v>
      </c>
      <c r="D44" s="12">
        <f>ROUND(D43/G43,2)</f>
        <v>0</v>
      </c>
      <c r="E44" s="12">
        <f>ROUND(E43/G43,2)</f>
        <v>0.43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53</v>
      </c>
      <c r="B49" s="23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170750</v>
      </c>
      <c r="D50" s="10">
        <v>0</v>
      </c>
      <c r="E50" s="10">
        <v>184006</v>
      </c>
      <c r="F50" s="10">
        <v>680</v>
      </c>
      <c r="G50" s="10">
        <f>SUM(C50:F50)</f>
        <v>355436</v>
      </c>
      <c r="H50" s="16">
        <f>ROUND(G50/1724,2)</f>
        <v>206.17</v>
      </c>
      <c r="I50" s="9"/>
      <c r="J50" s="9"/>
    </row>
    <row r="51" spans="1:10" x14ac:dyDescent="0.25">
      <c r="A51" s="22" t="s">
        <v>55</v>
      </c>
      <c r="B51" s="22"/>
      <c r="C51" s="10">
        <v>107750</v>
      </c>
      <c r="D51" s="10">
        <v>0</v>
      </c>
      <c r="E51" s="10">
        <v>27174</v>
      </c>
      <c r="F51" s="10">
        <v>330</v>
      </c>
      <c r="G51" s="10">
        <f>SUM(C51:F51)</f>
        <v>135254</v>
      </c>
      <c r="H51" s="16">
        <f>ROUND(G51/1724,2)</f>
        <v>78.45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ROUND(G52/1724,2)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57</v>
      </c>
      <c r="B57" s="23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ROUND(0.738, 4)</f>
        <v>0.73799999999999999</v>
      </c>
      <c r="D58" s="15">
        <f>ROUND(0.7908, 4)</f>
        <v>0.79079999999999995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4" t="s">
        <v>64</v>
      </c>
      <c r="J58" s="24" t="s">
        <v>65</v>
      </c>
    </row>
    <row r="59" spans="1:10" x14ac:dyDescent="0.25">
      <c r="A59" s="22" t="s">
        <v>66</v>
      </c>
      <c r="B59" s="22"/>
      <c r="C59" s="15">
        <f>ROUND(0.7048, 4)</f>
        <v>0.70479999999999998</v>
      </c>
      <c r="D59" s="15">
        <f>ROUND(0.7615, 4)</f>
        <v>0.76149999999999995</v>
      </c>
      <c r="E59" s="15">
        <f>ROUND(0.7608, 4)</f>
        <v>0.76080000000000003</v>
      </c>
      <c r="F59" s="8"/>
      <c r="G59" s="14" t="s">
        <v>67</v>
      </c>
      <c r="H59" s="27"/>
      <c r="I59" s="25"/>
      <c r="J59" s="25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68</v>
      </c>
      <c r="B63" s="23"/>
      <c r="C63" s="14" t="s">
        <v>2</v>
      </c>
      <c r="D63" s="14" t="s">
        <v>234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62.69</v>
      </c>
      <c r="D64" s="16">
        <v>76.31</v>
      </c>
      <c r="E64" s="16">
        <v>89.58</v>
      </c>
      <c r="F64" s="16">
        <v>53.73</v>
      </c>
      <c r="G64" s="16">
        <f>12/9*C64</f>
        <v>83.586666666666659</v>
      </c>
      <c r="H64" s="8"/>
      <c r="I64" s="9"/>
      <c r="J64" s="9"/>
    </row>
    <row r="65" spans="1:10" x14ac:dyDescent="0.25">
      <c r="A65" s="22" t="s">
        <v>74</v>
      </c>
      <c r="B65" s="22"/>
      <c r="C65" s="16">
        <v>21.12</v>
      </c>
      <c r="D65" s="16">
        <v>49.89</v>
      </c>
      <c r="E65" s="16">
        <v>60.32</v>
      </c>
      <c r="F65" s="16">
        <v>61.62</v>
      </c>
      <c r="G65" s="16">
        <f>12/9*C65</f>
        <v>28.16</v>
      </c>
      <c r="H65" s="8"/>
      <c r="I65" s="9"/>
      <c r="J65" s="9"/>
    </row>
    <row r="66" spans="1:10" x14ac:dyDescent="0.25">
      <c r="A66" s="22" t="s">
        <v>75</v>
      </c>
      <c r="B66" s="22"/>
      <c r="C66" s="16">
        <v>206.17</v>
      </c>
      <c r="D66" s="16">
        <v>309.17</v>
      </c>
      <c r="E66" s="16">
        <v>282.8</v>
      </c>
      <c r="F66" s="16">
        <v>273.33</v>
      </c>
      <c r="G66" s="16">
        <f>12/9*C66</f>
        <v>274.89333333333332</v>
      </c>
      <c r="H66" s="8"/>
      <c r="I66" s="9"/>
      <c r="J66" s="9"/>
    </row>
    <row r="67" spans="1:10" x14ac:dyDescent="0.25">
      <c r="A67" s="22" t="s">
        <v>76</v>
      </c>
      <c r="B67" s="22"/>
      <c r="C67" s="16">
        <v>78.45</v>
      </c>
      <c r="D67" s="16">
        <v>101.44</v>
      </c>
      <c r="E67" s="16">
        <v>112.72</v>
      </c>
      <c r="F67" s="16">
        <v>76.52</v>
      </c>
      <c r="G67" s="16">
        <f>12/9*C67</f>
        <v>104.6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8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235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4"/>
  <dimension ref="A2:J77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5067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45" si="0">SUM(C9:F9)</f>
        <v>40</v>
      </c>
      <c r="H9" s="16">
        <f t="shared" ref="H9:H45" si="1">ROUND(G9/5067,2)</f>
        <v>0.01</v>
      </c>
      <c r="I9" s="15">
        <f t="shared" ref="I9:I45" si="2">ROUND(G9/$G$46,3)</f>
        <v>0</v>
      </c>
      <c r="J9" s="15">
        <f>ROUND(G9/65-1,2)</f>
        <v>-0.38</v>
      </c>
    </row>
    <row r="10" spans="1:10" x14ac:dyDescent="0.25">
      <c r="A10" s="1" t="s">
        <v>16</v>
      </c>
      <c r="B10" s="1" t="s">
        <v>19</v>
      </c>
      <c r="C10" s="10">
        <v>109290</v>
      </c>
      <c r="D10" s="10"/>
      <c r="E10" s="10"/>
      <c r="F10" s="10"/>
      <c r="G10" s="10">
        <f t="shared" si="0"/>
        <v>109290</v>
      </c>
      <c r="H10" s="16">
        <f t="shared" si="1"/>
        <v>21.57</v>
      </c>
      <c r="I10" s="15">
        <f t="shared" si="2"/>
        <v>7.4999999999999997E-2</v>
      </c>
      <c r="J10" s="15">
        <f>ROUND(G10/29540-1,2)</f>
        <v>2.7</v>
      </c>
    </row>
    <row r="11" spans="1:10" x14ac:dyDescent="0.25">
      <c r="A11" s="1" t="s">
        <v>16</v>
      </c>
      <c r="B11" s="1" t="s">
        <v>20</v>
      </c>
      <c r="C11" s="10">
        <v>132570</v>
      </c>
      <c r="D11" s="10"/>
      <c r="E11" s="10"/>
      <c r="F11" s="10"/>
      <c r="G11" s="10">
        <f t="shared" si="0"/>
        <v>132570</v>
      </c>
      <c r="H11" s="16">
        <f t="shared" si="1"/>
        <v>26.16</v>
      </c>
      <c r="I11" s="15">
        <f t="shared" si="2"/>
        <v>9.0999999999999998E-2</v>
      </c>
      <c r="J11" s="15">
        <f>ROUND(G11/148620-1,2)</f>
        <v>-0.11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87</v>
      </c>
      <c r="F12" s="10"/>
      <c r="G12" s="10">
        <f t="shared" si="0"/>
        <v>87</v>
      </c>
      <c r="H12" s="16">
        <f t="shared" si="1"/>
        <v>0.02</v>
      </c>
      <c r="I12" s="15">
        <f t="shared" si="2"/>
        <v>0</v>
      </c>
      <c r="J12" s="15">
        <f>ROUND(G12/90-1,2)</f>
        <v>-0.03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249</v>
      </c>
      <c r="F13" s="10"/>
      <c r="G13" s="10">
        <f t="shared" si="0"/>
        <v>249</v>
      </c>
      <c r="H13" s="16">
        <f t="shared" si="1"/>
        <v>0.05</v>
      </c>
      <c r="I13" s="15">
        <f t="shared" si="2"/>
        <v>0</v>
      </c>
      <c r="J13" s="15">
        <f>ROUND(G13/77-1,2)</f>
        <v>2.23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72900</v>
      </c>
      <c r="F14" s="10"/>
      <c r="G14" s="10">
        <f t="shared" si="0"/>
        <v>72900</v>
      </c>
      <c r="H14" s="16">
        <f t="shared" si="1"/>
        <v>14.39</v>
      </c>
      <c r="I14" s="15">
        <f t="shared" si="2"/>
        <v>0.05</v>
      </c>
      <c r="J14" s="15">
        <f>ROUND(G14/25040-1,2)</f>
        <v>1.91</v>
      </c>
    </row>
    <row r="15" spans="1:10" x14ac:dyDescent="0.25">
      <c r="A15" s="1" t="s">
        <v>16</v>
      </c>
      <c r="B15" s="1" t="s">
        <v>24</v>
      </c>
      <c r="C15" s="10">
        <v>159980</v>
      </c>
      <c r="D15" s="10"/>
      <c r="E15" s="10">
        <v>16930</v>
      </c>
      <c r="F15" s="10"/>
      <c r="G15" s="10">
        <f t="shared" si="0"/>
        <v>176910</v>
      </c>
      <c r="H15" s="16">
        <f t="shared" si="1"/>
        <v>34.909999999999997</v>
      </c>
      <c r="I15" s="15">
        <f t="shared" si="2"/>
        <v>0.122</v>
      </c>
      <c r="J15" s="15">
        <f>ROUND(G15/189690-1,2)</f>
        <v>-7.0000000000000007E-2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3965</v>
      </c>
      <c r="F16" s="10"/>
      <c r="G16" s="10">
        <f t="shared" si="0"/>
        <v>3965</v>
      </c>
      <c r="H16" s="16">
        <f t="shared" si="1"/>
        <v>0.78</v>
      </c>
      <c r="I16" s="15">
        <f t="shared" si="2"/>
        <v>3.0000000000000001E-3</v>
      </c>
      <c r="J16" s="15">
        <f>ROUND(G16/3355-1,2)</f>
        <v>0.18</v>
      </c>
    </row>
    <row r="17" spans="1:10" x14ac:dyDescent="0.25">
      <c r="A17" s="1" t="s">
        <v>16</v>
      </c>
      <c r="B17" s="1" t="s">
        <v>26</v>
      </c>
      <c r="C17" s="10">
        <v>243110</v>
      </c>
      <c r="D17" s="10"/>
      <c r="E17" s="10"/>
      <c r="F17" s="10"/>
      <c r="G17" s="10">
        <f t="shared" si="0"/>
        <v>243110</v>
      </c>
      <c r="H17" s="16">
        <f t="shared" si="1"/>
        <v>47.98</v>
      </c>
      <c r="I17" s="15">
        <f t="shared" si="2"/>
        <v>0.16800000000000001</v>
      </c>
      <c r="J17" s="15">
        <f>ROUND(G17/83440-1,2)</f>
        <v>1.91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1073</v>
      </c>
      <c r="F18" s="10"/>
      <c r="G18" s="10">
        <f t="shared" si="0"/>
        <v>1073</v>
      </c>
      <c r="H18" s="16">
        <f t="shared" si="1"/>
        <v>0.21</v>
      </c>
      <c r="I18" s="15">
        <f t="shared" si="2"/>
        <v>1E-3</v>
      </c>
      <c r="J18" s="15">
        <f>ROUND(G18/620-1,2)</f>
        <v>0.73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968</v>
      </c>
      <c r="F19" s="10"/>
      <c r="G19" s="10">
        <f t="shared" si="0"/>
        <v>968</v>
      </c>
      <c r="H19" s="16">
        <f t="shared" si="1"/>
        <v>0.19</v>
      </c>
      <c r="I19" s="15">
        <f t="shared" si="2"/>
        <v>1E-3</v>
      </c>
      <c r="J19" s="15">
        <f>ROUND(G19/432-1,2)</f>
        <v>1.24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2580</v>
      </c>
      <c r="F20" s="10"/>
      <c r="G20" s="10">
        <f t="shared" si="0"/>
        <v>2580</v>
      </c>
      <c r="H20" s="16">
        <f t="shared" si="1"/>
        <v>0.51</v>
      </c>
      <c r="I20" s="15">
        <f t="shared" si="2"/>
        <v>2E-3</v>
      </c>
      <c r="J20" s="15">
        <f>ROUND(G20/1760-1,2)</f>
        <v>0.47</v>
      </c>
    </row>
    <row r="21" spans="1:10" x14ac:dyDescent="0.25">
      <c r="A21" s="1" t="s">
        <v>16</v>
      </c>
      <c r="B21" s="1" t="s">
        <v>32</v>
      </c>
      <c r="C21" s="10"/>
      <c r="D21" s="10"/>
      <c r="E21" s="10">
        <v>1120</v>
      </c>
      <c r="F21" s="10"/>
      <c r="G21" s="10">
        <f t="shared" si="0"/>
        <v>1120</v>
      </c>
      <c r="H21" s="16">
        <f t="shared" si="1"/>
        <v>0.22</v>
      </c>
      <c r="I21" s="15">
        <f t="shared" si="2"/>
        <v>1E-3</v>
      </c>
      <c r="J21" s="15">
        <f>ROUND(G21/1820-1,2)</f>
        <v>-0.38</v>
      </c>
    </row>
    <row r="22" spans="1:10" x14ac:dyDescent="0.25">
      <c r="A22" s="1" t="s">
        <v>16</v>
      </c>
      <c r="B22" s="1" t="s">
        <v>33</v>
      </c>
      <c r="C22" s="10"/>
      <c r="D22" s="10">
        <v>473</v>
      </c>
      <c r="E22" s="10">
        <v>117</v>
      </c>
      <c r="F22" s="10"/>
      <c r="G22" s="10">
        <f t="shared" si="0"/>
        <v>590</v>
      </c>
      <c r="H22" s="16">
        <f t="shared" si="1"/>
        <v>0.12</v>
      </c>
      <c r="I22" s="15">
        <f t="shared" si="2"/>
        <v>0</v>
      </c>
      <c r="J22" s="15">
        <f>ROUND(G22/198-1,2)</f>
        <v>1.98</v>
      </c>
    </row>
    <row r="23" spans="1:10" x14ac:dyDescent="0.25">
      <c r="A23" s="1" t="s">
        <v>16</v>
      </c>
      <c r="B23" s="1" t="s">
        <v>35</v>
      </c>
      <c r="C23" s="10"/>
      <c r="D23" s="10">
        <v>170</v>
      </c>
      <c r="E23" s="10"/>
      <c r="F23" s="10"/>
      <c r="G23" s="10">
        <f t="shared" si="0"/>
        <v>170</v>
      </c>
      <c r="H23" s="16">
        <f t="shared" si="1"/>
        <v>0.03</v>
      </c>
      <c r="I23" s="15">
        <f t="shared" si="2"/>
        <v>0</v>
      </c>
      <c r="J23" s="15">
        <f>ROUND(G23/500-1,2)</f>
        <v>-0.66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4070</v>
      </c>
      <c r="F24" s="10"/>
      <c r="G24" s="10">
        <f t="shared" si="0"/>
        <v>4070</v>
      </c>
      <c r="H24" s="16">
        <f t="shared" si="1"/>
        <v>0.8</v>
      </c>
      <c r="I24" s="15">
        <f t="shared" si="2"/>
        <v>3.0000000000000001E-3</v>
      </c>
      <c r="J24" s="15">
        <f>ROUND(G24/1776-1,2)</f>
        <v>1.29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2430</v>
      </c>
      <c r="F25" s="10"/>
      <c r="G25" s="10">
        <f t="shared" si="0"/>
        <v>2430</v>
      </c>
      <c r="H25" s="16">
        <f t="shared" si="1"/>
        <v>0.48</v>
      </c>
      <c r="I25" s="15">
        <f t="shared" si="2"/>
        <v>2E-3</v>
      </c>
      <c r="J25" s="15">
        <f>ROUND(G25/5540-1,2)</f>
        <v>-0.56000000000000005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63510</v>
      </c>
      <c r="F26" s="10"/>
      <c r="G26" s="10">
        <f t="shared" si="0"/>
        <v>63510</v>
      </c>
      <c r="H26" s="16">
        <f t="shared" si="1"/>
        <v>12.53</v>
      </c>
      <c r="I26" s="15">
        <f t="shared" si="2"/>
        <v>4.3999999999999997E-2</v>
      </c>
      <c r="J26" s="15">
        <f>ROUND(G26/46040-1,2)</f>
        <v>0.38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18090</v>
      </c>
      <c r="F27" s="10"/>
      <c r="G27" s="10">
        <f t="shared" si="0"/>
        <v>18090</v>
      </c>
      <c r="H27" s="16">
        <f t="shared" si="1"/>
        <v>3.57</v>
      </c>
      <c r="I27" s="15">
        <f t="shared" si="2"/>
        <v>1.2E-2</v>
      </c>
      <c r="J27" s="15">
        <f>ROUND(G27/4550-1,2)</f>
        <v>2.98</v>
      </c>
    </row>
    <row r="28" spans="1:10" x14ac:dyDescent="0.25">
      <c r="A28" s="1" t="s">
        <v>16</v>
      </c>
      <c r="B28" s="1" t="s">
        <v>41</v>
      </c>
      <c r="C28" s="10">
        <v>2040</v>
      </c>
      <c r="D28" s="10">
        <v>16360</v>
      </c>
      <c r="E28" s="10">
        <v>326590</v>
      </c>
      <c r="F28" s="10">
        <v>5000</v>
      </c>
      <c r="G28" s="10">
        <f t="shared" si="0"/>
        <v>349990</v>
      </c>
      <c r="H28" s="16">
        <f t="shared" si="1"/>
        <v>69.069999999999993</v>
      </c>
      <c r="I28" s="15">
        <f t="shared" si="2"/>
        <v>0.24099999999999999</v>
      </c>
      <c r="J28" s="15">
        <f>ROUND(G28/210400-1,2)</f>
        <v>0.66</v>
      </c>
    </row>
    <row r="29" spans="1:10" x14ac:dyDescent="0.25">
      <c r="A29" s="1" t="s">
        <v>16</v>
      </c>
      <c r="B29" s="1" t="s">
        <v>90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ROUND(G29/3300-1,2)</f>
        <v>-1</v>
      </c>
    </row>
    <row r="30" spans="1:10" x14ac:dyDescent="0.25">
      <c r="A30" s="1" t="s">
        <v>16</v>
      </c>
      <c r="B30" s="1" t="s">
        <v>133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ROUND(G30/9320-1,2)</f>
        <v>-1</v>
      </c>
    </row>
    <row r="31" spans="1:10" x14ac:dyDescent="0.25">
      <c r="A31" s="1" t="s">
        <v>16</v>
      </c>
      <c r="B31" s="1" t="s">
        <v>98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ROUND(G31/221-1,2)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ROUND(G32/253-1,2)</f>
        <v>-1</v>
      </c>
    </row>
    <row r="33" spans="1:10" x14ac:dyDescent="0.25">
      <c r="A33" s="1" t="s">
        <v>16</v>
      </c>
      <c r="B33" s="1" t="s">
        <v>30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ROUND(G33/490-1,2)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ROUND(G34/300-1,2)</f>
        <v>-1</v>
      </c>
    </row>
    <row r="35" spans="1:10" x14ac:dyDescent="0.25">
      <c r="A35" s="1" t="s">
        <v>16</v>
      </c>
      <c r="B35" s="1" t="s">
        <v>34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ROUND(G35/270-1,2)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ROUND(G36/2376-1,2)</f>
        <v>-1</v>
      </c>
    </row>
    <row r="37" spans="1:10" x14ac:dyDescent="0.25">
      <c r="A37" s="1" t="s">
        <v>16</v>
      </c>
      <c r="B37" s="1" t="s">
        <v>22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ROUND(G38/720-1,2)</f>
        <v>-1</v>
      </c>
    </row>
    <row r="39" spans="1:10" x14ac:dyDescent="0.25">
      <c r="A39" s="1" t="s">
        <v>44</v>
      </c>
      <c r="B39" s="1" t="s">
        <v>45</v>
      </c>
      <c r="C39" s="10">
        <v>159480</v>
      </c>
      <c r="D39" s="10"/>
      <c r="E39" s="10"/>
      <c r="F39" s="10"/>
      <c r="G39" s="10">
        <f t="shared" si="0"/>
        <v>159480</v>
      </c>
      <c r="H39" s="16">
        <f t="shared" si="1"/>
        <v>31.47</v>
      </c>
      <c r="I39" s="15">
        <f t="shared" si="2"/>
        <v>0.11</v>
      </c>
      <c r="J39" s="15">
        <f>ROUND(G39/161670-1,2)</f>
        <v>-0.01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>
        <v>54300</v>
      </c>
      <c r="G40" s="10">
        <f t="shared" si="0"/>
        <v>54300</v>
      </c>
      <c r="H40" s="16">
        <f t="shared" si="1"/>
        <v>10.72</v>
      </c>
      <c r="I40" s="15">
        <f t="shared" si="2"/>
        <v>3.6999999999999998E-2</v>
      </c>
      <c r="J40" s="15">
        <f>ROUND(G40/17940-1,2)</f>
        <v>2.0299999999999998</v>
      </c>
    </row>
    <row r="41" spans="1:10" x14ac:dyDescent="0.25">
      <c r="A41" s="1" t="s">
        <v>44</v>
      </c>
      <c r="B41" s="1" t="s">
        <v>46</v>
      </c>
      <c r="C41" s="10"/>
      <c r="D41" s="10"/>
      <c r="E41" s="10">
        <v>52630</v>
      </c>
      <c r="F41" s="10"/>
      <c r="G41" s="10">
        <f t="shared" si="0"/>
        <v>52630</v>
      </c>
      <c r="H41" s="16">
        <f t="shared" si="1"/>
        <v>10.39</v>
      </c>
      <c r="I41" s="15">
        <f t="shared" si="2"/>
        <v>3.5999999999999997E-2</v>
      </c>
      <c r="J41" s="15">
        <f>ROUND(G41/31740-1,2)</f>
        <v>0.66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ROUND(G43/35-1,2)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ROUND(G45/329-1,2)</f>
        <v>-1</v>
      </c>
    </row>
    <row r="46" spans="1:10" x14ac:dyDescent="0.25">
      <c r="A46" s="23" t="s">
        <v>12</v>
      </c>
      <c r="B46" s="23"/>
      <c r="C46" s="11">
        <f t="shared" ref="C46:H46" si="3">SUM(C8:C45)</f>
        <v>806470</v>
      </c>
      <c r="D46" s="11">
        <f t="shared" si="3"/>
        <v>17003</v>
      </c>
      <c r="E46" s="11">
        <f t="shared" si="3"/>
        <v>567349</v>
      </c>
      <c r="F46" s="11">
        <f t="shared" si="3"/>
        <v>59300</v>
      </c>
      <c r="G46" s="11">
        <f t="shared" si="3"/>
        <v>1450122</v>
      </c>
      <c r="H46" s="14">
        <f t="shared" si="3"/>
        <v>286.18</v>
      </c>
      <c r="I46" s="17"/>
      <c r="J46" s="17"/>
    </row>
    <row r="47" spans="1:10" x14ac:dyDescent="0.25">
      <c r="A47" s="23" t="s">
        <v>14</v>
      </c>
      <c r="B47" s="23"/>
      <c r="C47" s="12">
        <f>ROUND(C46/G46,2)</f>
        <v>0.56000000000000005</v>
      </c>
      <c r="D47" s="12">
        <f>ROUND(D46/G46,2)</f>
        <v>0.01</v>
      </c>
      <c r="E47" s="12">
        <f>ROUND(E46/G46,2)</f>
        <v>0.39</v>
      </c>
      <c r="F47" s="12">
        <f>ROUND(F46/G46,2)</f>
        <v>0.04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53</v>
      </c>
      <c r="B52" s="23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2" t="s">
        <v>54</v>
      </c>
      <c r="B53" s="22"/>
      <c r="C53" s="10">
        <v>646990</v>
      </c>
      <c r="D53" s="10">
        <v>17003</v>
      </c>
      <c r="E53" s="10">
        <v>514719</v>
      </c>
      <c r="F53" s="10">
        <v>5000</v>
      </c>
      <c r="G53" s="10">
        <f>SUM(C53:F53)</f>
        <v>1183712</v>
      </c>
      <c r="H53" s="16">
        <f>ROUND(G53/5067,2)</f>
        <v>233.61</v>
      </c>
      <c r="I53" s="9"/>
      <c r="J53" s="9"/>
    </row>
    <row r="54" spans="1:10" x14ac:dyDescent="0.25">
      <c r="A54" s="22" t="s">
        <v>55</v>
      </c>
      <c r="B54" s="22"/>
      <c r="C54" s="10">
        <v>159480</v>
      </c>
      <c r="D54" s="10">
        <v>0</v>
      </c>
      <c r="E54" s="10">
        <v>52630</v>
      </c>
      <c r="F54" s="10">
        <v>54300</v>
      </c>
      <c r="G54" s="10">
        <f>SUM(C54:F54)</f>
        <v>266410</v>
      </c>
      <c r="H54" s="16">
        <f>ROUND(G54/5067,2)</f>
        <v>52.58</v>
      </c>
      <c r="I54" s="9"/>
      <c r="J54" s="9"/>
    </row>
    <row r="55" spans="1:10" x14ac:dyDescent="0.25">
      <c r="A55" s="22" t="s">
        <v>56</v>
      </c>
      <c r="B55" s="22"/>
      <c r="C55" s="10">
        <v>0</v>
      </c>
      <c r="D55" s="10">
        <v>0</v>
      </c>
      <c r="E55" s="10">
        <v>0</v>
      </c>
      <c r="F55" s="10">
        <v>0</v>
      </c>
      <c r="G55" s="10">
        <f>SUM(C55:F55)</f>
        <v>0</v>
      </c>
      <c r="H55" s="16">
        <f>ROUND(G55/5067,2)</f>
        <v>0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57</v>
      </c>
      <c r="B60" s="23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2" t="s">
        <v>58</v>
      </c>
      <c r="B61" s="22"/>
      <c r="C61" s="15">
        <f>ROUND(0.8766, 4)</f>
        <v>0.87660000000000005</v>
      </c>
      <c r="D61" s="15">
        <f>ROUND(0.84, 4)</f>
        <v>0.84</v>
      </c>
      <c r="E61" s="15">
        <f>ROUND(0.777, 4)</f>
        <v>0.77700000000000002</v>
      </c>
      <c r="F61" s="8"/>
      <c r="G61" s="14" t="s">
        <v>62</v>
      </c>
      <c r="H61" s="26" t="s">
        <v>63</v>
      </c>
      <c r="I61" s="24" t="s">
        <v>64</v>
      </c>
      <c r="J61" s="24" t="s">
        <v>65</v>
      </c>
    </row>
    <row r="62" spans="1:10" x14ac:dyDescent="0.25">
      <c r="A62" s="22" t="s">
        <v>66</v>
      </c>
      <c r="B62" s="22"/>
      <c r="C62" s="15">
        <f>ROUND(0.8664, 4)</f>
        <v>0.86639999999999995</v>
      </c>
      <c r="D62" s="15">
        <f>ROUND(0.8097, 4)</f>
        <v>0.80969999999999998</v>
      </c>
      <c r="E62" s="15">
        <f>ROUND(0.7608, 4)</f>
        <v>0.76080000000000003</v>
      </c>
      <c r="F62" s="8"/>
      <c r="G62" s="14" t="s">
        <v>67</v>
      </c>
      <c r="H62" s="27"/>
      <c r="I62" s="25"/>
      <c r="J62" s="25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68</v>
      </c>
      <c r="B66" s="23"/>
      <c r="C66" s="14" t="s">
        <v>2</v>
      </c>
      <c r="D66" s="14" t="s">
        <v>237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2" t="s">
        <v>73</v>
      </c>
      <c r="B67" s="22"/>
      <c r="C67" s="16">
        <v>31.47</v>
      </c>
      <c r="D67" s="16">
        <v>54.25</v>
      </c>
      <c r="E67" s="16">
        <v>89.58</v>
      </c>
      <c r="F67" s="16">
        <v>53.73</v>
      </c>
      <c r="G67" s="16">
        <f>12/9*C67</f>
        <v>41.959999999999994</v>
      </c>
      <c r="H67" s="8"/>
      <c r="I67" s="9"/>
      <c r="J67" s="9"/>
    </row>
    <row r="68" spans="1:10" x14ac:dyDescent="0.25">
      <c r="A68" s="22" t="s">
        <v>74</v>
      </c>
      <c r="B68" s="22"/>
      <c r="C68" s="16">
        <v>47.98</v>
      </c>
      <c r="D68" s="16">
        <v>73.459999999999994</v>
      </c>
      <c r="E68" s="16">
        <v>60.32</v>
      </c>
      <c r="F68" s="16">
        <v>61.62</v>
      </c>
      <c r="G68" s="16">
        <f>12/9*C68</f>
        <v>63.973333333333329</v>
      </c>
      <c r="H68" s="8"/>
      <c r="I68" s="9"/>
      <c r="J68" s="9"/>
    </row>
    <row r="69" spans="1:10" x14ac:dyDescent="0.25">
      <c r="A69" s="22" t="s">
        <v>75</v>
      </c>
      <c r="B69" s="22"/>
      <c r="C69" s="16">
        <v>233.61</v>
      </c>
      <c r="D69" s="16">
        <v>339.09</v>
      </c>
      <c r="E69" s="16">
        <v>282.8</v>
      </c>
      <c r="F69" s="16">
        <v>273.33</v>
      </c>
      <c r="G69" s="16">
        <f>12/9*C69</f>
        <v>311.48</v>
      </c>
      <c r="H69" s="8"/>
      <c r="I69" s="9"/>
      <c r="J69" s="9"/>
    </row>
    <row r="70" spans="1:10" x14ac:dyDescent="0.25">
      <c r="A70" s="22" t="s">
        <v>76</v>
      </c>
      <c r="B70" s="22"/>
      <c r="C70" s="16">
        <v>52.58</v>
      </c>
      <c r="D70" s="16">
        <v>73.42</v>
      </c>
      <c r="E70" s="16">
        <v>112.72</v>
      </c>
      <c r="F70" s="16">
        <v>76.52</v>
      </c>
      <c r="G70" s="16">
        <f>12/9*C70</f>
        <v>70.106666666666655</v>
      </c>
      <c r="H70" s="8"/>
      <c r="I70" s="9"/>
      <c r="J70" s="9"/>
    </row>
    <row r="73" spans="1:10" x14ac:dyDescent="0.25">
      <c r="A73" s="21" t="s">
        <v>60</v>
      </c>
      <c r="B73" s="28"/>
    </row>
    <row r="74" spans="1:10" x14ac:dyDescent="0.25">
      <c r="A74" s="3" t="s">
        <v>77</v>
      </c>
      <c r="B74" s="1" t="s">
        <v>238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A68:B68"/>
    <mergeCell ref="A69:B69"/>
    <mergeCell ref="A70:B70"/>
    <mergeCell ref="A73:B73"/>
    <mergeCell ref="I61:I62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C7:G7"/>
    <mergeCell ref="A46:B46"/>
    <mergeCell ref="A47:B47"/>
    <mergeCell ref="A52:B52"/>
    <mergeCell ref="A53:B5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5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1952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38" si="0">SUM(C9:F9)</f>
        <v>40</v>
      </c>
      <c r="H9" s="16">
        <f t="shared" ref="H9:H38" si="1">ROUND(G9/1952,2)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50020</v>
      </c>
      <c r="D10" s="10"/>
      <c r="E10" s="10">
        <v>6736</v>
      </c>
      <c r="F10" s="10">
        <v>280</v>
      </c>
      <c r="G10" s="10">
        <f t="shared" si="0"/>
        <v>57036</v>
      </c>
      <c r="H10" s="16">
        <f t="shared" si="1"/>
        <v>29.22</v>
      </c>
      <c r="I10" s="15">
        <f t="shared" si="2"/>
        <v>8.5000000000000006E-2</v>
      </c>
      <c r="J10" s="15">
        <f>ROUND(G10/45461.14-1,2)</f>
        <v>0.25</v>
      </c>
    </row>
    <row r="11" spans="1:10" x14ac:dyDescent="0.25">
      <c r="A11" s="1" t="s">
        <v>16</v>
      </c>
      <c r="B11" s="1" t="s">
        <v>20</v>
      </c>
      <c r="C11" s="10">
        <v>67320</v>
      </c>
      <c r="D11" s="10"/>
      <c r="E11" s="10"/>
      <c r="F11" s="10"/>
      <c r="G11" s="10">
        <f t="shared" si="0"/>
        <v>67320</v>
      </c>
      <c r="H11" s="16">
        <f t="shared" si="1"/>
        <v>34.49</v>
      </c>
      <c r="I11" s="15">
        <f t="shared" si="2"/>
        <v>0.1</v>
      </c>
      <c r="J11" s="15">
        <f>ROUND(G11/68570-1,2)</f>
        <v>-0.02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187</v>
      </c>
      <c r="F12" s="10"/>
      <c r="G12" s="10">
        <f t="shared" si="0"/>
        <v>187</v>
      </c>
      <c r="H12" s="16">
        <f t="shared" si="1"/>
        <v>0.1</v>
      </c>
      <c r="I12" s="15">
        <f t="shared" si="2"/>
        <v>0</v>
      </c>
      <c r="J12" s="15">
        <f>ROUND(G12/88.98-1,2)</f>
        <v>1.1000000000000001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1398</v>
      </c>
      <c r="F13" s="10"/>
      <c r="G13" s="10">
        <f t="shared" si="0"/>
        <v>1398</v>
      </c>
      <c r="H13" s="16">
        <f t="shared" si="1"/>
        <v>0.72</v>
      </c>
      <c r="I13" s="15">
        <f t="shared" si="2"/>
        <v>2E-3</v>
      </c>
      <c r="J13" s="15">
        <f>ROUND(G13/428.57-1,2)</f>
        <v>2.2599999999999998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63601</v>
      </c>
      <c r="F14" s="10"/>
      <c r="G14" s="10">
        <f t="shared" si="0"/>
        <v>63601</v>
      </c>
      <c r="H14" s="16">
        <f t="shared" si="1"/>
        <v>32.58</v>
      </c>
      <c r="I14" s="15">
        <f t="shared" si="2"/>
        <v>9.4E-2</v>
      </c>
      <c r="J14" s="15">
        <f>ROUND(G14/31938.21-1,2)</f>
        <v>0.99</v>
      </c>
    </row>
    <row r="15" spans="1:10" x14ac:dyDescent="0.25">
      <c r="A15" s="1" t="s">
        <v>16</v>
      </c>
      <c r="B15" s="1" t="s">
        <v>24</v>
      </c>
      <c r="C15" s="10">
        <v>58320</v>
      </c>
      <c r="D15" s="10"/>
      <c r="E15" s="10">
        <v>21590</v>
      </c>
      <c r="F15" s="10">
        <v>320</v>
      </c>
      <c r="G15" s="10">
        <f t="shared" si="0"/>
        <v>80230</v>
      </c>
      <c r="H15" s="16">
        <f t="shared" si="1"/>
        <v>41.1</v>
      </c>
      <c r="I15" s="15">
        <f t="shared" si="2"/>
        <v>0.11899999999999999</v>
      </c>
      <c r="J15" s="15">
        <f>ROUND(G15/59452.13-1,2)</f>
        <v>0.35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6240</v>
      </c>
      <c r="F16" s="10"/>
      <c r="G16" s="10">
        <f t="shared" si="0"/>
        <v>6240</v>
      </c>
      <c r="H16" s="16">
        <f t="shared" si="1"/>
        <v>3.2</v>
      </c>
      <c r="I16" s="15">
        <f t="shared" si="2"/>
        <v>8.9999999999999993E-3</v>
      </c>
      <c r="J16" s="15"/>
    </row>
    <row r="17" spans="1:10" x14ac:dyDescent="0.25">
      <c r="A17" s="1" t="s">
        <v>16</v>
      </c>
      <c r="B17" s="1" t="s">
        <v>26</v>
      </c>
      <c r="C17" s="10">
        <v>58930</v>
      </c>
      <c r="D17" s="10"/>
      <c r="E17" s="10"/>
      <c r="F17" s="10">
        <v>280</v>
      </c>
      <c r="G17" s="10">
        <f t="shared" si="0"/>
        <v>59210</v>
      </c>
      <c r="H17" s="16">
        <f t="shared" si="1"/>
        <v>30.33</v>
      </c>
      <c r="I17" s="15">
        <f t="shared" si="2"/>
        <v>8.7999999999999995E-2</v>
      </c>
      <c r="J17" s="15">
        <f>ROUND(G17/54880-1,2)</f>
        <v>0.08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669</v>
      </c>
      <c r="F18" s="10"/>
      <c r="G18" s="10">
        <f t="shared" si="0"/>
        <v>669</v>
      </c>
      <c r="H18" s="16">
        <f t="shared" si="1"/>
        <v>0.34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359</v>
      </c>
      <c r="F19" s="10"/>
      <c r="G19" s="10">
        <f t="shared" si="0"/>
        <v>359</v>
      </c>
      <c r="H19" s="16">
        <f t="shared" si="1"/>
        <v>0.18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106</v>
      </c>
      <c r="F20" s="10"/>
      <c r="G20" s="10">
        <f t="shared" si="0"/>
        <v>106</v>
      </c>
      <c r="H20" s="16">
        <f t="shared" si="1"/>
        <v>0.05</v>
      </c>
      <c r="I20" s="15">
        <f t="shared" si="2"/>
        <v>0</v>
      </c>
      <c r="J20" s="15">
        <f>ROUND(G20/56.37-1,2)</f>
        <v>0.88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1263</v>
      </c>
      <c r="F21" s="10"/>
      <c r="G21" s="10">
        <f t="shared" si="0"/>
        <v>1263</v>
      </c>
      <c r="H21" s="16">
        <f t="shared" si="1"/>
        <v>0.65</v>
      </c>
      <c r="I21" s="15">
        <f t="shared" si="2"/>
        <v>2E-3</v>
      </c>
      <c r="J21" s="15">
        <f>ROUND(G21/1710.66-1,2)</f>
        <v>-0.26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361</v>
      </c>
      <c r="F22" s="10"/>
      <c r="G22" s="10">
        <f t="shared" si="0"/>
        <v>361</v>
      </c>
      <c r="H22" s="16">
        <f t="shared" si="1"/>
        <v>0.18</v>
      </c>
      <c r="I22" s="15">
        <f t="shared" si="2"/>
        <v>1E-3</v>
      </c>
      <c r="J22" s="15">
        <f>ROUND(G22/191.14-1,2)</f>
        <v>0.89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1664</v>
      </c>
      <c r="F23" s="10"/>
      <c r="G23" s="10">
        <f t="shared" si="0"/>
        <v>1664</v>
      </c>
      <c r="H23" s="16">
        <f t="shared" si="1"/>
        <v>0.85</v>
      </c>
      <c r="I23" s="15">
        <f t="shared" si="2"/>
        <v>2E-3</v>
      </c>
      <c r="J23" s="15">
        <f>ROUND(G23/650.75-1,2)</f>
        <v>1.56</v>
      </c>
    </row>
    <row r="24" spans="1:10" x14ac:dyDescent="0.25">
      <c r="A24" s="1" t="s">
        <v>16</v>
      </c>
      <c r="B24" s="1" t="s">
        <v>33</v>
      </c>
      <c r="C24" s="10"/>
      <c r="D24" s="10"/>
      <c r="E24" s="10">
        <v>145</v>
      </c>
      <c r="F24" s="10"/>
      <c r="G24" s="10">
        <f t="shared" si="0"/>
        <v>145</v>
      </c>
      <c r="H24" s="16">
        <f t="shared" si="1"/>
        <v>7.0000000000000007E-2</v>
      </c>
      <c r="I24" s="15">
        <f t="shared" si="2"/>
        <v>0</v>
      </c>
      <c r="J24" s="15">
        <f>ROUND(G24/60-1,2)</f>
        <v>1.42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316</v>
      </c>
      <c r="F25" s="10"/>
      <c r="G25" s="10">
        <f t="shared" si="0"/>
        <v>316</v>
      </c>
      <c r="H25" s="16">
        <f t="shared" si="1"/>
        <v>0.16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212</v>
      </c>
      <c r="F26" s="10"/>
      <c r="G26" s="10">
        <f t="shared" si="0"/>
        <v>212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43</v>
      </c>
      <c r="C27" s="10"/>
      <c r="D27" s="10"/>
      <c r="E27" s="10">
        <v>2200</v>
      </c>
      <c r="F27" s="10"/>
      <c r="G27" s="10">
        <f t="shared" si="0"/>
        <v>2200</v>
      </c>
      <c r="H27" s="16">
        <f t="shared" si="1"/>
        <v>1.1299999999999999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3922</v>
      </c>
      <c r="F28" s="10"/>
      <c r="G28" s="10">
        <f t="shared" si="0"/>
        <v>3922</v>
      </c>
      <c r="H28" s="16">
        <f t="shared" si="1"/>
        <v>2.0099999999999998</v>
      </c>
      <c r="I28" s="15">
        <f t="shared" si="2"/>
        <v>6.0000000000000001E-3</v>
      </c>
      <c r="J28" s="15">
        <f>ROUND(G28/2076.33-1,2)</f>
        <v>0.89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55371</v>
      </c>
      <c r="F29" s="10"/>
      <c r="G29" s="10">
        <f t="shared" si="0"/>
        <v>55371</v>
      </c>
      <c r="H29" s="16">
        <f t="shared" si="1"/>
        <v>28.37</v>
      </c>
      <c r="I29" s="15">
        <f t="shared" si="2"/>
        <v>8.2000000000000003E-2</v>
      </c>
      <c r="J29" s="15">
        <f>ROUND(G29/34948.57-1,2)</f>
        <v>0.57999999999999996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4644</v>
      </c>
      <c r="F30" s="10"/>
      <c r="G30" s="10">
        <f t="shared" si="0"/>
        <v>4644</v>
      </c>
      <c r="H30" s="16">
        <f t="shared" si="1"/>
        <v>2.38</v>
      </c>
      <c r="I30" s="15">
        <f t="shared" si="2"/>
        <v>7.0000000000000001E-3</v>
      </c>
      <c r="J30" s="15">
        <f>ROUND(G30/2134.84-1,2)</f>
        <v>1.18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14266</v>
      </c>
      <c r="F31" s="10"/>
      <c r="G31" s="10">
        <f t="shared" si="0"/>
        <v>14266</v>
      </c>
      <c r="H31" s="16">
        <f t="shared" si="1"/>
        <v>7.31</v>
      </c>
      <c r="I31" s="15">
        <f t="shared" si="2"/>
        <v>2.1000000000000001E-2</v>
      </c>
      <c r="J31" s="15">
        <f>ROUND(G31/8106.69-1,2)</f>
        <v>0.76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17880</v>
      </c>
      <c r="F32" s="10"/>
      <c r="G32" s="10">
        <f t="shared" si="0"/>
        <v>17880</v>
      </c>
      <c r="H32" s="16">
        <f t="shared" si="1"/>
        <v>9.16</v>
      </c>
      <c r="I32" s="15">
        <f t="shared" si="2"/>
        <v>2.7E-2</v>
      </c>
      <c r="J32" s="15">
        <f>ROUND(G32/8801.51-1,2)</f>
        <v>1.03</v>
      </c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ROUND(G33/1155.15-1,2)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202820</v>
      </c>
      <c r="D35" s="10"/>
      <c r="E35" s="10"/>
      <c r="F35" s="10">
        <v>490</v>
      </c>
      <c r="G35" s="10">
        <f t="shared" si="0"/>
        <v>203310</v>
      </c>
      <c r="H35" s="16">
        <f t="shared" si="1"/>
        <v>104.15</v>
      </c>
      <c r="I35" s="15">
        <f t="shared" si="2"/>
        <v>0.30199999999999999</v>
      </c>
      <c r="J35" s="15">
        <f>ROUND(G35/194310-1,2)</f>
        <v>0.05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31677</v>
      </c>
      <c r="F36" s="10"/>
      <c r="G36" s="10">
        <f t="shared" si="0"/>
        <v>31677</v>
      </c>
      <c r="H36" s="16">
        <f t="shared" si="1"/>
        <v>16.23</v>
      </c>
      <c r="I36" s="15">
        <f t="shared" si="2"/>
        <v>4.7E-2</v>
      </c>
      <c r="J36" s="15">
        <f>ROUND(G36/15493.21-1,2)</f>
        <v>1.04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437410</v>
      </c>
      <c r="D39" s="11">
        <f t="shared" si="3"/>
        <v>0</v>
      </c>
      <c r="E39" s="11">
        <f t="shared" si="3"/>
        <v>234847</v>
      </c>
      <c r="F39" s="11">
        <f t="shared" si="3"/>
        <v>1370</v>
      </c>
      <c r="G39" s="11">
        <f t="shared" si="3"/>
        <v>673627</v>
      </c>
      <c r="H39" s="14">
        <f t="shared" si="3"/>
        <v>345.09000000000003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0.65</v>
      </c>
      <c r="D40" s="12">
        <f>ROUND(D39/G39,2)</f>
        <v>0</v>
      </c>
      <c r="E40" s="12">
        <f>ROUND(E39/G39,2)</f>
        <v>0.35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234590</v>
      </c>
      <c r="D46" s="10">
        <v>0</v>
      </c>
      <c r="E46" s="10">
        <v>203170</v>
      </c>
      <c r="F46" s="10">
        <v>880</v>
      </c>
      <c r="G46" s="10">
        <f>SUM(C46:F46)</f>
        <v>438640</v>
      </c>
      <c r="H46" s="16">
        <f>ROUND(G46/1952,2)</f>
        <v>224.71</v>
      </c>
      <c r="I46" s="9"/>
      <c r="J46" s="9"/>
    </row>
    <row r="47" spans="1:10" x14ac:dyDescent="0.25">
      <c r="A47" s="22" t="s">
        <v>55</v>
      </c>
      <c r="B47" s="22"/>
      <c r="C47" s="10">
        <v>202820</v>
      </c>
      <c r="D47" s="10">
        <v>0</v>
      </c>
      <c r="E47" s="10">
        <v>31677</v>
      </c>
      <c r="F47" s="10">
        <v>490</v>
      </c>
      <c r="G47" s="10">
        <f>SUM(C47:F47)</f>
        <v>234987</v>
      </c>
      <c r="H47" s="16">
        <f>ROUND(G47/1952,2)</f>
        <v>120.38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ROUND(G48/1952,2)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ROUND(0.6641, 4)</f>
        <v>0.66410000000000002</v>
      </c>
      <c r="D54" s="15">
        <f>ROUND(0.576, 4)</f>
        <v>0.57599999999999996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ROUND(0.6293, 4)</f>
        <v>0.62929999999999997</v>
      </c>
      <c r="D55" s="15">
        <f>ROUND(0.5403, 4)</f>
        <v>0.5403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240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104.15</v>
      </c>
      <c r="D60" s="16">
        <v>125.78</v>
      </c>
      <c r="E60" s="16">
        <v>89.58</v>
      </c>
      <c r="F60" s="16">
        <v>53.73</v>
      </c>
      <c r="G60" s="16">
        <f>12/9*C60</f>
        <v>138.86666666666667</v>
      </c>
      <c r="H60" s="8"/>
      <c r="I60" s="9"/>
      <c r="J60" s="9"/>
    </row>
    <row r="61" spans="1:10" x14ac:dyDescent="0.25">
      <c r="A61" s="22" t="s">
        <v>74</v>
      </c>
      <c r="B61" s="22"/>
      <c r="C61" s="16">
        <v>30.33</v>
      </c>
      <c r="D61" s="16">
        <v>45.72</v>
      </c>
      <c r="E61" s="16">
        <v>60.32</v>
      </c>
      <c r="F61" s="16">
        <v>61.62</v>
      </c>
      <c r="G61" s="16">
        <f>12/9*C61</f>
        <v>40.44</v>
      </c>
      <c r="H61" s="8"/>
      <c r="I61" s="9"/>
      <c r="J61" s="9"/>
    </row>
    <row r="62" spans="1:10" x14ac:dyDescent="0.25">
      <c r="A62" s="22" t="s">
        <v>75</v>
      </c>
      <c r="B62" s="22"/>
      <c r="C62" s="16">
        <v>224.71</v>
      </c>
      <c r="D62" s="16">
        <v>257</v>
      </c>
      <c r="E62" s="16">
        <v>282.8</v>
      </c>
      <c r="F62" s="16">
        <v>273.33</v>
      </c>
      <c r="G62" s="16">
        <f>12/9*C62</f>
        <v>299.61333333333334</v>
      </c>
      <c r="H62" s="8"/>
      <c r="I62" s="9"/>
      <c r="J62" s="9"/>
    </row>
    <row r="63" spans="1:10" x14ac:dyDescent="0.25">
      <c r="A63" s="22" t="s">
        <v>76</v>
      </c>
      <c r="B63" s="22"/>
      <c r="C63" s="16">
        <v>120.38</v>
      </c>
      <c r="D63" s="16">
        <v>142.83000000000001</v>
      </c>
      <c r="E63" s="16">
        <v>112.72</v>
      </c>
      <c r="F63" s="16">
        <v>76.52</v>
      </c>
      <c r="G63" s="16">
        <f>12/9*C63</f>
        <v>160.50666666666666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6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0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9241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96</v>
      </c>
      <c r="G9" s="10">
        <f t="shared" ref="G9:G47" si="0">SUM(C9:F9)</f>
        <v>96</v>
      </c>
      <c r="H9" s="16">
        <f t="shared" ref="H9:H47" si="1">ROUND(G9/9241,2)</f>
        <v>0.01</v>
      </c>
      <c r="I9" s="15">
        <f t="shared" ref="I9:I47" si="2">ROUND(G9/$G$48,3)</f>
        <v>0</v>
      </c>
      <c r="J9" s="15">
        <f>ROUND(G9/10-1,2)</f>
        <v>8.6</v>
      </c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ROUND(G11/262-1,2)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163</v>
      </c>
      <c r="F13" s="10"/>
      <c r="G13" s="10">
        <f t="shared" si="0"/>
        <v>163</v>
      </c>
      <c r="H13" s="16">
        <f t="shared" si="1"/>
        <v>0.02</v>
      </c>
      <c r="I13" s="15">
        <f t="shared" si="2"/>
        <v>0</v>
      </c>
      <c r="J13" s="15">
        <f>ROUND(G13/149-1,2)</f>
        <v>0.09</v>
      </c>
    </row>
    <row r="14" spans="1:10" x14ac:dyDescent="0.25">
      <c r="A14" s="1" t="s">
        <v>16</v>
      </c>
      <c r="B14" s="1" t="s">
        <v>19</v>
      </c>
      <c r="C14" s="10">
        <v>196035</v>
      </c>
      <c r="D14" s="10"/>
      <c r="E14" s="10">
        <v>11935</v>
      </c>
      <c r="F14" s="10"/>
      <c r="G14" s="10">
        <f t="shared" si="0"/>
        <v>207970</v>
      </c>
      <c r="H14" s="16">
        <f t="shared" si="1"/>
        <v>22.51</v>
      </c>
      <c r="I14" s="15">
        <f t="shared" si="2"/>
        <v>7.0999999999999994E-2</v>
      </c>
      <c r="J14" s="15">
        <f>ROUND(G14/202970-1,2)</f>
        <v>0.02</v>
      </c>
    </row>
    <row r="15" spans="1:10" x14ac:dyDescent="0.25">
      <c r="A15" s="1" t="s">
        <v>16</v>
      </c>
      <c r="B15" s="1" t="s">
        <v>20</v>
      </c>
      <c r="C15" s="10">
        <v>229510</v>
      </c>
      <c r="D15" s="10"/>
      <c r="E15" s="10"/>
      <c r="F15" s="10"/>
      <c r="G15" s="10">
        <f t="shared" si="0"/>
        <v>229510</v>
      </c>
      <c r="H15" s="16">
        <f t="shared" si="1"/>
        <v>24.84</v>
      </c>
      <c r="I15" s="15">
        <f t="shared" si="2"/>
        <v>7.8E-2</v>
      </c>
      <c r="J15" s="15">
        <f>ROUND(G15/233040-1,2)</f>
        <v>-0.02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119</v>
      </c>
      <c r="F16" s="10"/>
      <c r="G16" s="10">
        <f t="shared" si="0"/>
        <v>119</v>
      </c>
      <c r="H16" s="16">
        <f t="shared" si="1"/>
        <v>0.01</v>
      </c>
      <c r="I16" s="15">
        <f t="shared" si="2"/>
        <v>0</v>
      </c>
      <c r="J16" s="15">
        <f>ROUND(G16/105-1,2)</f>
        <v>0.13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246</v>
      </c>
      <c r="F17" s="10"/>
      <c r="G17" s="10">
        <f t="shared" si="0"/>
        <v>246</v>
      </c>
      <c r="H17" s="16">
        <f t="shared" si="1"/>
        <v>0.03</v>
      </c>
      <c r="I17" s="15">
        <f t="shared" si="2"/>
        <v>0</v>
      </c>
      <c r="J17" s="15">
        <f>ROUND(G17/360-1,2)</f>
        <v>-0.32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3900</v>
      </c>
      <c r="F18" s="10"/>
      <c r="G18" s="10">
        <f t="shared" si="0"/>
        <v>3900</v>
      </c>
      <c r="H18" s="16">
        <f t="shared" si="1"/>
        <v>0.42</v>
      </c>
      <c r="I18" s="15">
        <f t="shared" si="2"/>
        <v>1E-3</v>
      </c>
      <c r="J18" s="15">
        <f>ROUND(G18/3300-1,2)</f>
        <v>0.18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157820</v>
      </c>
      <c r="F19" s="10"/>
      <c r="G19" s="10">
        <f t="shared" si="0"/>
        <v>157820</v>
      </c>
      <c r="H19" s="16">
        <f t="shared" si="1"/>
        <v>17.079999999999998</v>
      </c>
      <c r="I19" s="15">
        <f t="shared" si="2"/>
        <v>5.3999999999999999E-2</v>
      </c>
      <c r="J19" s="15">
        <f>ROUND(G19/133040-1,2)</f>
        <v>0.19</v>
      </c>
    </row>
    <row r="20" spans="1:10" x14ac:dyDescent="0.25">
      <c r="A20" s="1" t="s">
        <v>16</v>
      </c>
      <c r="B20" s="1" t="s">
        <v>24</v>
      </c>
      <c r="C20" s="10">
        <v>335820</v>
      </c>
      <c r="D20" s="10"/>
      <c r="E20" s="10">
        <v>50240</v>
      </c>
      <c r="F20" s="10"/>
      <c r="G20" s="10">
        <f t="shared" si="0"/>
        <v>386060</v>
      </c>
      <c r="H20" s="16">
        <f t="shared" si="1"/>
        <v>41.78</v>
      </c>
      <c r="I20" s="15">
        <f t="shared" si="2"/>
        <v>0.13200000000000001</v>
      </c>
      <c r="J20" s="15">
        <f>ROUND(G20/371285-1,2)</f>
        <v>0.04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7115</v>
      </c>
      <c r="F21" s="10"/>
      <c r="G21" s="10">
        <f t="shared" si="0"/>
        <v>7115</v>
      </c>
      <c r="H21" s="16">
        <f t="shared" si="1"/>
        <v>0.77</v>
      </c>
      <c r="I21" s="15">
        <f t="shared" si="2"/>
        <v>2E-3</v>
      </c>
      <c r="J21" s="15">
        <f>ROUND(G21/12955-1,2)</f>
        <v>-0.45</v>
      </c>
    </row>
    <row r="22" spans="1:10" x14ac:dyDescent="0.25">
      <c r="A22" s="1" t="s">
        <v>16</v>
      </c>
      <c r="B22" s="1" t="s">
        <v>26</v>
      </c>
      <c r="C22" s="10">
        <v>471110</v>
      </c>
      <c r="D22" s="10"/>
      <c r="E22" s="10"/>
      <c r="F22" s="10">
        <v>960</v>
      </c>
      <c r="G22" s="10">
        <f t="shared" si="0"/>
        <v>472070</v>
      </c>
      <c r="H22" s="16">
        <f t="shared" si="1"/>
        <v>51.08</v>
      </c>
      <c r="I22" s="15">
        <f t="shared" si="2"/>
        <v>0.161</v>
      </c>
      <c r="J22" s="15">
        <f>ROUND(G22/474510-1,2)</f>
        <v>-0.01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1883</v>
      </c>
      <c r="F23" s="10"/>
      <c r="G23" s="10">
        <f t="shared" si="0"/>
        <v>1883</v>
      </c>
      <c r="H23" s="16">
        <f t="shared" si="1"/>
        <v>0.2</v>
      </c>
      <c r="I23" s="15">
        <f t="shared" si="2"/>
        <v>1E-3</v>
      </c>
      <c r="J23" s="15">
        <f>ROUND(G23/1330-1,2)</f>
        <v>0.42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1506</v>
      </c>
      <c r="F24" s="10"/>
      <c r="G24" s="10">
        <f t="shared" si="0"/>
        <v>1506</v>
      </c>
      <c r="H24" s="16">
        <f t="shared" si="1"/>
        <v>0.16</v>
      </c>
      <c r="I24" s="15">
        <f t="shared" si="2"/>
        <v>1E-3</v>
      </c>
      <c r="J24" s="15">
        <f>ROUND(G24/1700-1,2)</f>
        <v>-0.11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70</v>
      </c>
      <c r="F25" s="10"/>
      <c r="G25" s="10">
        <f t="shared" si="0"/>
        <v>70</v>
      </c>
      <c r="H25" s="16">
        <f t="shared" si="1"/>
        <v>0.01</v>
      </c>
      <c r="I25" s="15">
        <f t="shared" si="2"/>
        <v>0</v>
      </c>
      <c r="J25" s="15">
        <f>ROUND(G25/436-1,2)</f>
        <v>-0.84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5540</v>
      </c>
      <c r="F26" s="10"/>
      <c r="G26" s="10">
        <f t="shared" si="0"/>
        <v>5540</v>
      </c>
      <c r="H26" s="16">
        <f t="shared" si="1"/>
        <v>0.6</v>
      </c>
      <c r="I26" s="15">
        <f t="shared" si="2"/>
        <v>2E-3</v>
      </c>
      <c r="J26" s="15">
        <f>ROUND(G26/6719-1,2)</f>
        <v>-0.18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2630</v>
      </c>
      <c r="F27" s="10"/>
      <c r="G27" s="10">
        <f t="shared" si="0"/>
        <v>2630</v>
      </c>
      <c r="H27" s="16">
        <f t="shared" si="1"/>
        <v>0.28000000000000003</v>
      </c>
      <c r="I27" s="15">
        <f t="shared" si="2"/>
        <v>1E-3</v>
      </c>
      <c r="J27" s="15">
        <f>ROUND(G27/2560-1,2)</f>
        <v>0.03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970</v>
      </c>
      <c r="F28" s="10"/>
      <c r="G28" s="10">
        <f t="shared" si="0"/>
        <v>970</v>
      </c>
      <c r="H28" s="16">
        <f t="shared" si="1"/>
        <v>0.1</v>
      </c>
      <c r="I28" s="15">
        <f t="shared" si="2"/>
        <v>0</v>
      </c>
      <c r="J28" s="15">
        <f>ROUND(G28/580-1,2)</f>
        <v>0.67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3390</v>
      </c>
      <c r="F29" s="10"/>
      <c r="G29" s="10">
        <f t="shared" si="0"/>
        <v>3390</v>
      </c>
      <c r="H29" s="16">
        <f t="shared" si="1"/>
        <v>0.37</v>
      </c>
      <c r="I29" s="15">
        <f t="shared" si="2"/>
        <v>1E-3</v>
      </c>
      <c r="J29" s="15">
        <f>ROUND(G29/3245-1,2)</f>
        <v>0.04</v>
      </c>
    </row>
    <row r="30" spans="1:10" x14ac:dyDescent="0.25">
      <c r="A30" s="1" t="s">
        <v>16</v>
      </c>
      <c r="B30" s="1" t="s">
        <v>33</v>
      </c>
      <c r="C30" s="10"/>
      <c r="D30" s="10">
        <v>630</v>
      </c>
      <c r="E30" s="10">
        <v>203</v>
      </c>
      <c r="F30" s="10"/>
      <c r="G30" s="10">
        <f t="shared" si="0"/>
        <v>833</v>
      </c>
      <c r="H30" s="16">
        <f t="shared" si="1"/>
        <v>0.09</v>
      </c>
      <c r="I30" s="15">
        <f t="shared" si="2"/>
        <v>0</v>
      </c>
      <c r="J30" s="15">
        <f>ROUND(G30/750-1,2)</f>
        <v>0.11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1060</v>
      </c>
      <c r="F31" s="10"/>
      <c r="G31" s="10">
        <f t="shared" si="0"/>
        <v>1060</v>
      </c>
      <c r="H31" s="16">
        <f t="shared" si="1"/>
        <v>0.11</v>
      </c>
      <c r="I31" s="15">
        <f t="shared" si="2"/>
        <v>0</v>
      </c>
      <c r="J31" s="15">
        <f>ROUND(G31/556-1,2)</f>
        <v>0.91</v>
      </c>
    </row>
    <row r="32" spans="1:10" x14ac:dyDescent="0.25">
      <c r="A32" s="1" t="s">
        <v>16</v>
      </c>
      <c r="B32" s="1" t="s">
        <v>36</v>
      </c>
      <c r="C32" s="10"/>
      <c r="D32" s="10"/>
      <c r="E32" s="10">
        <v>2770</v>
      </c>
      <c r="F32" s="10"/>
      <c r="G32" s="10">
        <f t="shared" si="0"/>
        <v>2770</v>
      </c>
      <c r="H32" s="16">
        <f t="shared" si="1"/>
        <v>0.3</v>
      </c>
      <c r="I32" s="15">
        <f t="shared" si="2"/>
        <v>1E-3</v>
      </c>
      <c r="J32" s="15">
        <f>ROUND(G32/3823-1,2)</f>
        <v>-0.28000000000000003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6759</v>
      </c>
      <c r="F33" s="10"/>
      <c r="G33" s="10">
        <f t="shared" si="0"/>
        <v>6759</v>
      </c>
      <c r="H33" s="16">
        <f t="shared" si="1"/>
        <v>0.73</v>
      </c>
      <c r="I33" s="15">
        <f t="shared" si="2"/>
        <v>2E-3</v>
      </c>
      <c r="J33" s="15">
        <f>ROUND(G33/9420-1,2)</f>
        <v>-0.28000000000000003</v>
      </c>
    </row>
    <row r="34" spans="1:10" x14ac:dyDescent="0.25">
      <c r="A34" s="1" t="s">
        <v>16</v>
      </c>
      <c r="B34" s="1" t="s">
        <v>43</v>
      </c>
      <c r="C34" s="10"/>
      <c r="D34" s="10"/>
      <c r="E34" s="10">
        <v>10140</v>
      </c>
      <c r="F34" s="10"/>
      <c r="G34" s="10">
        <f t="shared" si="0"/>
        <v>10140</v>
      </c>
      <c r="H34" s="16">
        <f t="shared" si="1"/>
        <v>1.1000000000000001</v>
      </c>
      <c r="I34" s="15">
        <f t="shared" si="2"/>
        <v>3.0000000000000001E-3</v>
      </c>
      <c r="J34" s="15">
        <f>ROUND(G34/18597-1,2)</f>
        <v>-0.45</v>
      </c>
    </row>
    <row r="35" spans="1:10" x14ac:dyDescent="0.25">
      <c r="A35" s="1" t="s">
        <v>16</v>
      </c>
      <c r="B35" s="1" t="s">
        <v>38</v>
      </c>
      <c r="C35" s="10"/>
      <c r="D35" s="10"/>
      <c r="E35" s="10">
        <v>175075</v>
      </c>
      <c r="F35" s="10"/>
      <c r="G35" s="10">
        <f t="shared" si="0"/>
        <v>175075</v>
      </c>
      <c r="H35" s="16">
        <f t="shared" si="1"/>
        <v>18.95</v>
      </c>
      <c r="I35" s="15">
        <f t="shared" si="2"/>
        <v>0.06</v>
      </c>
      <c r="J35" s="15">
        <f>ROUND(G35/157410-1,2)</f>
        <v>0.11</v>
      </c>
    </row>
    <row r="36" spans="1:10" x14ac:dyDescent="0.25">
      <c r="A36" s="1" t="s">
        <v>16</v>
      </c>
      <c r="B36" s="1" t="s">
        <v>39</v>
      </c>
      <c r="C36" s="10"/>
      <c r="D36" s="10"/>
      <c r="E36" s="10">
        <v>6155</v>
      </c>
      <c r="F36" s="10"/>
      <c r="G36" s="10">
        <f t="shared" si="0"/>
        <v>6155</v>
      </c>
      <c r="H36" s="16">
        <f t="shared" si="1"/>
        <v>0.67</v>
      </c>
      <c r="I36" s="15">
        <f t="shared" si="2"/>
        <v>2E-3</v>
      </c>
      <c r="J36" s="15">
        <f>ROUND(G36/6750-1,2)</f>
        <v>-0.09</v>
      </c>
    </row>
    <row r="37" spans="1:10" x14ac:dyDescent="0.25">
      <c r="A37" s="1" t="s">
        <v>16</v>
      </c>
      <c r="B37" s="1" t="s">
        <v>40</v>
      </c>
      <c r="C37" s="10"/>
      <c r="D37" s="10"/>
      <c r="E37" s="10">
        <v>14960</v>
      </c>
      <c r="F37" s="10"/>
      <c r="G37" s="10">
        <f t="shared" si="0"/>
        <v>14960</v>
      </c>
      <c r="H37" s="16">
        <f t="shared" si="1"/>
        <v>1.62</v>
      </c>
      <c r="I37" s="15">
        <f t="shared" si="2"/>
        <v>5.0000000000000001E-3</v>
      </c>
      <c r="J37" s="15">
        <f>ROUND(G37/23840-1,2)</f>
        <v>-0.37</v>
      </c>
    </row>
    <row r="38" spans="1:10" x14ac:dyDescent="0.25">
      <c r="A38" s="1" t="s">
        <v>16</v>
      </c>
      <c r="B38" s="1" t="s">
        <v>41</v>
      </c>
      <c r="C38" s="10"/>
      <c r="D38" s="10"/>
      <c r="E38" s="10">
        <v>580230</v>
      </c>
      <c r="F38" s="10">
        <v>1700</v>
      </c>
      <c r="G38" s="10">
        <f t="shared" si="0"/>
        <v>581930</v>
      </c>
      <c r="H38" s="16">
        <f t="shared" si="1"/>
        <v>62.97</v>
      </c>
      <c r="I38" s="15">
        <f t="shared" si="2"/>
        <v>0.19900000000000001</v>
      </c>
      <c r="J38" s="15">
        <f>ROUND(G38/504740-1,2)</f>
        <v>0.15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ROUND(G39/545-1,2)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ROUND(G40/460-1,2)</f>
        <v>-1</v>
      </c>
    </row>
    <row r="41" spans="1:10" x14ac:dyDescent="0.25">
      <c r="A41" s="1" t="s">
        <v>16</v>
      </c>
      <c r="B41" s="1" t="s">
        <v>243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ROUND(G41/836-1,2)</f>
        <v>-1</v>
      </c>
    </row>
    <row r="42" spans="1:10" x14ac:dyDescent="0.25">
      <c r="A42" s="1" t="s">
        <v>16</v>
      </c>
      <c r="B42" s="1" t="s">
        <v>96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ROUND(G42/200-1,2)</f>
        <v>-1</v>
      </c>
    </row>
    <row r="43" spans="1:10" x14ac:dyDescent="0.25">
      <c r="A43" s="1" t="s">
        <v>16</v>
      </c>
      <c r="B43" s="1" t="s">
        <v>161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16</v>
      </c>
      <c r="B44" s="1" t="s">
        <v>120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439530</v>
      </c>
      <c r="D45" s="10"/>
      <c r="E45" s="10"/>
      <c r="F45" s="10">
        <v>110</v>
      </c>
      <c r="G45" s="10">
        <f t="shared" si="0"/>
        <v>439640</v>
      </c>
      <c r="H45" s="16">
        <f t="shared" si="1"/>
        <v>47.57</v>
      </c>
      <c r="I45" s="15">
        <f t="shared" si="2"/>
        <v>0.15</v>
      </c>
      <c r="J45" s="15">
        <f>ROUND(G45/418220-1,2)</f>
        <v>0.05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53600</v>
      </c>
      <c r="G46" s="10">
        <f t="shared" si="0"/>
        <v>53600</v>
      </c>
      <c r="H46" s="16">
        <f t="shared" si="1"/>
        <v>5.8</v>
      </c>
      <c r="I46" s="15">
        <f t="shared" si="2"/>
        <v>1.7999999999999999E-2</v>
      </c>
      <c r="J46" s="15">
        <f>ROUND(G46/53920-1,2)</f>
        <v>-0.01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150940</v>
      </c>
      <c r="F47" s="10"/>
      <c r="G47" s="10">
        <f t="shared" si="0"/>
        <v>150940</v>
      </c>
      <c r="H47" s="16">
        <f t="shared" si="1"/>
        <v>16.329999999999998</v>
      </c>
      <c r="I47" s="15">
        <f t="shared" si="2"/>
        <v>5.1999999999999998E-2</v>
      </c>
      <c r="J47" s="15">
        <f>ROUND(G47/127620-1,2)</f>
        <v>0.18</v>
      </c>
    </row>
    <row r="48" spans="1:10" x14ac:dyDescent="0.25">
      <c r="A48" s="23" t="s">
        <v>12</v>
      </c>
      <c r="B48" s="23"/>
      <c r="C48" s="11">
        <f t="shared" ref="C48:H48" si="3">SUM(C8:C47)</f>
        <v>1672005</v>
      </c>
      <c r="D48" s="11">
        <f t="shared" si="3"/>
        <v>630</v>
      </c>
      <c r="E48" s="11">
        <f t="shared" si="3"/>
        <v>1195819</v>
      </c>
      <c r="F48" s="11">
        <f t="shared" si="3"/>
        <v>56466</v>
      </c>
      <c r="G48" s="11">
        <f t="shared" si="3"/>
        <v>2924920</v>
      </c>
      <c r="H48" s="14">
        <f t="shared" si="3"/>
        <v>316.51</v>
      </c>
      <c r="I48" s="17"/>
      <c r="J48" s="17"/>
    </row>
    <row r="49" spans="1:10" x14ac:dyDescent="0.25">
      <c r="A49" s="23" t="s">
        <v>14</v>
      </c>
      <c r="B49" s="23"/>
      <c r="C49" s="12">
        <f>ROUND(C48/G48,2)</f>
        <v>0.56999999999999995</v>
      </c>
      <c r="D49" s="12">
        <f>ROUND(D48/G48,2)</f>
        <v>0</v>
      </c>
      <c r="E49" s="12">
        <f>ROUND(E48/G48,2)</f>
        <v>0.41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53</v>
      </c>
      <c r="B54" s="23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1232475</v>
      </c>
      <c r="D55" s="10">
        <v>630</v>
      </c>
      <c r="E55" s="10">
        <v>1044879</v>
      </c>
      <c r="F55" s="10">
        <v>2660</v>
      </c>
      <c r="G55" s="10">
        <f>SUM(C55:F55)</f>
        <v>2280644</v>
      </c>
      <c r="H55" s="16">
        <f>ROUND(G55/9241,2)</f>
        <v>246.8</v>
      </c>
      <c r="I55" s="9"/>
      <c r="J55" s="9"/>
    </row>
    <row r="56" spans="1:10" x14ac:dyDescent="0.25">
      <c r="A56" s="22" t="s">
        <v>55</v>
      </c>
      <c r="B56" s="22"/>
      <c r="C56" s="10">
        <v>439530</v>
      </c>
      <c r="D56" s="10">
        <v>0</v>
      </c>
      <c r="E56" s="10">
        <v>150940</v>
      </c>
      <c r="F56" s="10">
        <v>53710</v>
      </c>
      <c r="G56" s="10">
        <f>SUM(C56:F56)</f>
        <v>644180</v>
      </c>
      <c r="H56" s="16">
        <f>ROUND(G56/9241,2)</f>
        <v>69.709999999999994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96</v>
      </c>
      <c r="G57" s="10">
        <f>SUM(C57:F57)</f>
        <v>96</v>
      </c>
      <c r="H57" s="16">
        <f>ROUND(G57/9241,2)</f>
        <v>0.01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57</v>
      </c>
      <c r="B62" s="23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ROUND(0.8333, 4)</f>
        <v>0.83330000000000004</v>
      </c>
      <c r="D63" s="15">
        <f>ROUND(0.8302, 4)</f>
        <v>0.83020000000000005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4" t="s">
        <v>64</v>
      </c>
      <c r="J63" s="24" t="s">
        <v>65</v>
      </c>
    </row>
    <row r="64" spans="1:10" x14ac:dyDescent="0.25">
      <c r="A64" s="22" t="s">
        <v>66</v>
      </c>
      <c r="B64" s="22"/>
      <c r="C64" s="15">
        <f>ROUND(0.8236, 4)</f>
        <v>0.8236</v>
      </c>
      <c r="D64" s="15">
        <f>ROUND(0.8199, 4)</f>
        <v>0.81989999999999996</v>
      </c>
      <c r="E64" s="15">
        <f>ROUND(0.7608, 4)</f>
        <v>0.76080000000000003</v>
      </c>
      <c r="F64" s="8"/>
      <c r="G64" s="14" t="s">
        <v>67</v>
      </c>
      <c r="H64" s="27"/>
      <c r="I64" s="25"/>
      <c r="J64" s="25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68</v>
      </c>
      <c r="B68" s="23"/>
      <c r="C68" s="14" t="s">
        <v>2</v>
      </c>
      <c r="D68" s="14" t="s">
        <v>244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47.57</v>
      </c>
      <c r="D69" s="16">
        <v>56.35</v>
      </c>
      <c r="E69" s="16">
        <v>89.58</v>
      </c>
      <c r="F69" s="16">
        <v>53.73</v>
      </c>
      <c r="G69" s="16">
        <f>12/9*C69</f>
        <v>63.426666666666662</v>
      </c>
      <c r="H69" s="8"/>
      <c r="I69" s="9"/>
      <c r="J69" s="9"/>
    </row>
    <row r="70" spans="1:10" x14ac:dyDescent="0.25">
      <c r="A70" s="22" t="s">
        <v>74</v>
      </c>
      <c r="B70" s="22"/>
      <c r="C70" s="16">
        <v>51.08</v>
      </c>
      <c r="D70" s="16">
        <v>64.930000000000007</v>
      </c>
      <c r="E70" s="16">
        <v>60.32</v>
      </c>
      <c r="F70" s="16">
        <v>61.62</v>
      </c>
      <c r="G70" s="16">
        <f>12/9*C70</f>
        <v>68.106666666666655</v>
      </c>
      <c r="H70" s="8"/>
      <c r="I70" s="9"/>
      <c r="J70" s="9"/>
    </row>
    <row r="71" spans="1:10" x14ac:dyDescent="0.25">
      <c r="A71" s="22" t="s">
        <v>75</v>
      </c>
      <c r="B71" s="22"/>
      <c r="C71" s="16">
        <v>246.8</v>
      </c>
      <c r="D71" s="16">
        <v>299.93</v>
      </c>
      <c r="E71" s="16">
        <v>282.8</v>
      </c>
      <c r="F71" s="16">
        <v>273.33</v>
      </c>
      <c r="G71" s="16">
        <f>12/9*C71</f>
        <v>329.06666666666666</v>
      </c>
      <c r="H71" s="8"/>
      <c r="I71" s="9"/>
      <c r="J71" s="9"/>
    </row>
    <row r="72" spans="1:10" x14ac:dyDescent="0.25">
      <c r="A72" s="22" t="s">
        <v>76</v>
      </c>
      <c r="B72" s="22"/>
      <c r="C72" s="16">
        <v>69.709999999999994</v>
      </c>
      <c r="D72" s="16">
        <v>79.97</v>
      </c>
      <c r="E72" s="16">
        <v>112.72</v>
      </c>
      <c r="F72" s="16">
        <v>76.52</v>
      </c>
      <c r="G72" s="16">
        <f>12/9*C72</f>
        <v>92.946666666666658</v>
      </c>
      <c r="H72" s="8"/>
      <c r="I72" s="9"/>
      <c r="J72" s="9"/>
    </row>
    <row r="75" spans="1:10" x14ac:dyDescent="0.25">
      <c r="A75" s="21" t="s">
        <v>60</v>
      </c>
      <c r="B75" s="28"/>
    </row>
    <row r="76" spans="1:10" x14ac:dyDescent="0.25">
      <c r="A76" s="3" t="s">
        <v>77</v>
      </c>
      <c r="B76" s="1" t="s">
        <v>245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7"/>
  <dimension ref="A2:J74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246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2340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68250</v>
      </c>
      <c r="D9" s="10"/>
      <c r="E9" s="10">
        <v>660</v>
      </c>
      <c r="F9" s="10">
        <v>80</v>
      </c>
      <c r="G9" s="10">
        <f t="shared" ref="G9:G40" si="0">SUM(C9:F9)</f>
        <v>68990</v>
      </c>
      <c r="H9" s="16">
        <f t="shared" ref="H9:H40" si="1">ROUND(G9/2340,2)</f>
        <v>29.48</v>
      </c>
      <c r="I9" s="15">
        <f t="shared" ref="I9:I40" si="2">ROUND(G9/$G$41,3)</f>
        <v>0.106</v>
      </c>
      <c r="J9" s="15">
        <f>ROUND(G9/65870-1,2)</f>
        <v>0.05</v>
      </c>
    </row>
    <row r="10" spans="1:10" x14ac:dyDescent="0.25">
      <c r="A10" s="1" t="s">
        <v>16</v>
      </c>
      <c r="B10" s="1" t="s">
        <v>20</v>
      </c>
      <c r="C10" s="10">
        <v>63335</v>
      </c>
      <c r="D10" s="10"/>
      <c r="E10" s="10"/>
      <c r="F10" s="10"/>
      <c r="G10" s="10">
        <f t="shared" si="0"/>
        <v>63335</v>
      </c>
      <c r="H10" s="16">
        <f t="shared" si="1"/>
        <v>27.07</v>
      </c>
      <c r="I10" s="15">
        <f t="shared" si="2"/>
        <v>9.8000000000000004E-2</v>
      </c>
      <c r="J10" s="15">
        <f>ROUND(G10/64510-1,2)</f>
        <v>-0.02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70</v>
      </c>
      <c r="F11" s="10"/>
      <c r="G11" s="10">
        <f t="shared" si="0"/>
        <v>70</v>
      </c>
      <c r="H11" s="16">
        <f t="shared" si="1"/>
        <v>0.03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23</v>
      </c>
      <c r="C12" s="10"/>
      <c r="D12" s="10"/>
      <c r="E12" s="10">
        <v>34050</v>
      </c>
      <c r="F12" s="10"/>
      <c r="G12" s="10">
        <f t="shared" si="0"/>
        <v>34050</v>
      </c>
      <c r="H12" s="16">
        <f t="shared" si="1"/>
        <v>14.55</v>
      </c>
      <c r="I12" s="15">
        <f t="shared" si="2"/>
        <v>5.2999999999999999E-2</v>
      </c>
      <c r="J12" s="15">
        <f>ROUND(G12/67790-1,2)</f>
        <v>-0.5</v>
      </c>
    </row>
    <row r="13" spans="1:10" x14ac:dyDescent="0.25">
      <c r="A13" s="1" t="s">
        <v>16</v>
      </c>
      <c r="B13" s="1" t="s">
        <v>24</v>
      </c>
      <c r="C13" s="10">
        <v>64780</v>
      </c>
      <c r="D13" s="10"/>
      <c r="E13" s="10">
        <v>16240</v>
      </c>
      <c r="F13" s="10">
        <v>60</v>
      </c>
      <c r="G13" s="10">
        <f t="shared" si="0"/>
        <v>81080</v>
      </c>
      <c r="H13" s="16">
        <f t="shared" si="1"/>
        <v>34.65</v>
      </c>
      <c r="I13" s="15">
        <f t="shared" si="2"/>
        <v>0.125</v>
      </c>
      <c r="J13" s="15">
        <f>ROUND(G13/78020-1,2)</f>
        <v>0.04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2560</v>
      </c>
      <c r="F14" s="10"/>
      <c r="G14" s="10">
        <f t="shared" si="0"/>
        <v>2560</v>
      </c>
      <c r="H14" s="16">
        <f t="shared" si="1"/>
        <v>1.0900000000000001</v>
      </c>
      <c r="I14" s="15">
        <f t="shared" si="2"/>
        <v>4.0000000000000001E-3</v>
      </c>
      <c r="J14" s="15">
        <f>ROUND(G14/2380-1,2)</f>
        <v>0.08</v>
      </c>
    </row>
    <row r="15" spans="1:10" x14ac:dyDescent="0.25">
      <c r="A15" s="1" t="s">
        <v>16</v>
      </c>
      <c r="B15" s="1" t="s">
        <v>26</v>
      </c>
      <c r="C15" s="10">
        <v>75000</v>
      </c>
      <c r="D15" s="10"/>
      <c r="E15" s="10"/>
      <c r="F15" s="10">
        <v>20</v>
      </c>
      <c r="G15" s="10">
        <f t="shared" si="0"/>
        <v>75020</v>
      </c>
      <c r="H15" s="16">
        <f t="shared" si="1"/>
        <v>32.06</v>
      </c>
      <c r="I15" s="15">
        <f t="shared" si="2"/>
        <v>0.11600000000000001</v>
      </c>
      <c r="J15" s="15">
        <f>ROUND(G15/93790-1,2)</f>
        <v>-0.2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1133</v>
      </c>
      <c r="F16" s="10"/>
      <c r="G16" s="10">
        <f t="shared" si="0"/>
        <v>1133</v>
      </c>
      <c r="H16" s="16">
        <f t="shared" si="1"/>
        <v>0.48</v>
      </c>
      <c r="I16" s="15">
        <f t="shared" si="2"/>
        <v>2E-3</v>
      </c>
      <c r="J16" s="15">
        <f>ROUND(G16/889-1,2)</f>
        <v>0.27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701</v>
      </c>
      <c r="F17" s="10"/>
      <c r="G17" s="10">
        <f t="shared" si="0"/>
        <v>701</v>
      </c>
      <c r="H17" s="16">
        <f t="shared" si="1"/>
        <v>0.3</v>
      </c>
      <c r="I17" s="15">
        <f t="shared" si="2"/>
        <v>1E-3</v>
      </c>
      <c r="J17" s="15">
        <f>ROUND(G17/440-1,2)</f>
        <v>0.59</v>
      </c>
    </row>
    <row r="18" spans="1:10" x14ac:dyDescent="0.25">
      <c r="A18" s="1" t="s">
        <v>16</v>
      </c>
      <c r="B18" s="1" t="s">
        <v>42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29</v>
      </c>
      <c r="C19" s="10"/>
      <c r="D19" s="10"/>
      <c r="E19" s="10">
        <v>770</v>
      </c>
      <c r="F19" s="10"/>
      <c r="G19" s="10">
        <f t="shared" si="0"/>
        <v>770</v>
      </c>
      <c r="H19" s="16">
        <f t="shared" si="1"/>
        <v>0.33</v>
      </c>
      <c r="I19" s="15">
        <f t="shared" si="2"/>
        <v>1E-3</v>
      </c>
      <c r="J19" s="15">
        <f>ROUND(G19/4550-1,2)</f>
        <v>-0.83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750</v>
      </c>
      <c r="F20" s="10"/>
      <c r="G20" s="10">
        <f t="shared" si="0"/>
        <v>750</v>
      </c>
      <c r="H20" s="16">
        <f t="shared" si="1"/>
        <v>0.32</v>
      </c>
      <c r="I20" s="15">
        <f t="shared" si="2"/>
        <v>1E-3</v>
      </c>
      <c r="J20" s="15">
        <f>ROUND(G20/860-1,2)</f>
        <v>-0.13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230</v>
      </c>
      <c r="F21" s="10"/>
      <c r="G21" s="10">
        <f t="shared" si="0"/>
        <v>230</v>
      </c>
      <c r="H21" s="16">
        <f t="shared" si="1"/>
        <v>0.1</v>
      </c>
      <c r="I21" s="15">
        <f t="shared" si="2"/>
        <v>0</v>
      </c>
      <c r="J21" s="15">
        <f>ROUND(G21/240-1,2)</f>
        <v>-0.04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985</v>
      </c>
      <c r="F22" s="10"/>
      <c r="G22" s="10">
        <f t="shared" si="0"/>
        <v>985</v>
      </c>
      <c r="H22" s="16">
        <f t="shared" si="1"/>
        <v>0.42</v>
      </c>
      <c r="I22" s="15">
        <f t="shared" si="2"/>
        <v>2E-3</v>
      </c>
      <c r="J22" s="15">
        <f>ROUND(G22/425-1,2)</f>
        <v>1.32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75</v>
      </c>
      <c r="F23" s="10"/>
      <c r="G23" s="10">
        <f t="shared" si="0"/>
        <v>75</v>
      </c>
      <c r="H23" s="16">
        <f t="shared" si="1"/>
        <v>0.03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4280</v>
      </c>
      <c r="F24" s="10"/>
      <c r="G24" s="10">
        <f t="shared" si="0"/>
        <v>4280</v>
      </c>
      <c r="H24" s="16">
        <f t="shared" si="1"/>
        <v>1.83</v>
      </c>
      <c r="I24" s="15">
        <f t="shared" si="2"/>
        <v>7.0000000000000001E-3</v>
      </c>
      <c r="J24" s="15">
        <f>ROUND(G24/5600-1,2)</f>
        <v>-0.24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29100</v>
      </c>
      <c r="F25" s="10"/>
      <c r="G25" s="10">
        <f t="shared" si="0"/>
        <v>29100</v>
      </c>
      <c r="H25" s="16">
        <f t="shared" si="1"/>
        <v>12.44</v>
      </c>
      <c r="I25" s="15">
        <f t="shared" si="2"/>
        <v>4.4999999999999998E-2</v>
      </c>
      <c r="J25" s="15">
        <f>ROUND(G25/47815-1,2)</f>
        <v>-0.39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4980</v>
      </c>
      <c r="F26" s="10"/>
      <c r="G26" s="10">
        <f t="shared" si="0"/>
        <v>4980</v>
      </c>
      <c r="H26" s="16">
        <f t="shared" si="1"/>
        <v>2.13</v>
      </c>
      <c r="I26" s="15">
        <f t="shared" si="2"/>
        <v>8.0000000000000002E-3</v>
      </c>
      <c r="J26" s="15">
        <f>ROUND(G26/4780-1,2)</f>
        <v>0.04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16670</v>
      </c>
      <c r="F27" s="10"/>
      <c r="G27" s="10">
        <f t="shared" si="0"/>
        <v>16670</v>
      </c>
      <c r="H27" s="16">
        <f t="shared" si="1"/>
        <v>7.12</v>
      </c>
      <c r="I27" s="15">
        <f t="shared" si="2"/>
        <v>2.5999999999999999E-2</v>
      </c>
      <c r="J27" s="15">
        <f>ROUND(G27/20130-1,2)</f>
        <v>-0.17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15720</v>
      </c>
      <c r="F28" s="10"/>
      <c r="G28" s="10">
        <f t="shared" si="0"/>
        <v>15720</v>
      </c>
      <c r="H28" s="16">
        <f t="shared" si="1"/>
        <v>6.72</v>
      </c>
      <c r="I28" s="15">
        <f t="shared" si="2"/>
        <v>2.4E-2</v>
      </c>
      <c r="J28" s="15">
        <f>ROUND(G28/8095-1,2)</f>
        <v>0.94</v>
      </c>
    </row>
    <row r="29" spans="1:10" x14ac:dyDescent="0.25">
      <c r="A29" s="1" t="s">
        <v>16</v>
      </c>
      <c r="B29" s="1" t="s">
        <v>18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ROUND(G29/1980-1,2)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ROUND(G30/1830-1,2)</f>
        <v>-1</v>
      </c>
    </row>
    <row r="31" spans="1:10" x14ac:dyDescent="0.25">
      <c r="A31" s="1" t="s">
        <v>16</v>
      </c>
      <c r="B31" s="1" t="s">
        <v>43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ROUND(G31/10390-1,2)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194030</v>
      </c>
      <c r="D36" s="10"/>
      <c r="E36" s="10"/>
      <c r="F36" s="10">
        <v>120</v>
      </c>
      <c r="G36" s="10">
        <f t="shared" si="0"/>
        <v>194150</v>
      </c>
      <c r="H36" s="16">
        <f t="shared" si="1"/>
        <v>82.97</v>
      </c>
      <c r="I36" s="15">
        <f t="shared" si="2"/>
        <v>0.3</v>
      </c>
      <c r="J36" s="15">
        <f>ROUND(G36/204350-1,2)</f>
        <v>-0.05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30980</v>
      </c>
      <c r="G37" s="10">
        <f t="shared" si="0"/>
        <v>30980</v>
      </c>
      <c r="H37" s="16">
        <f t="shared" si="1"/>
        <v>13.24</v>
      </c>
      <c r="I37" s="15">
        <f t="shared" si="2"/>
        <v>4.8000000000000001E-2</v>
      </c>
      <c r="J37" s="15">
        <f>ROUND(G37/23740-1,2)</f>
        <v>0.3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22295</v>
      </c>
      <c r="F38" s="10"/>
      <c r="G38" s="10">
        <f t="shared" si="0"/>
        <v>22295</v>
      </c>
      <c r="H38" s="16">
        <f t="shared" si="1"/>
        <v>9.5299999999999994</v>
      </c>
      <c r="I38" s="15">
        <f t="shared" si="2"/>
        <v>3.4000000000000002E-2</v>
      </c>
      <c r="J38" s="15">
        <f>ROUND(G38/19010-1,2)</f>
        <v>0.17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3" t="s">
        <v>12</v>
      </c>
      <c r="B41" s="23"/>
      <c r="C41" s="11">
        <f t="shared" ref="C41:H41" si="3">SUM(C8:C40)</f>
        <v>465395</v>
      </c>
      <c r="D41" s="11">
        <f t="shared" si="3"/>
        <v>0</v>
      </c>
      <c r="E41" s="11">
        <f t="shared" si="3"/>
        <v>151359</v>
      </c>
      <c r="F41" s="11">
        <f t="shared" si="3"/>
        <v>31260</v>
      </c>
      <c r="G41" s="11">
        <f t="shared" si="3"/>
        <v>648014</v>
      </c>
      <c r="H41" s="14">
        <f t="shared" si="3"/>
        <v>276.92999999999995</v>
      </c>
      <c r="I41" s="17"/>
      <c r="J41" s="17"/>
    </row>
    <row r="42" spans="1:10" x14ac:dyDescent="0.25">
      <c r="A42" s="23" t="s">
        <v>14</v>
      </c>
      <c r="B42" s="23"/>
      <c r="C42" s="12">
        <f>ROUND(C41/G41,2)</f>
        <v>0.72</v>
      </c>
      <c r="D42" s="12">
        <f>ROUND(D41/G41,2)</f>
        <v>0</v>
      </c>
      <c r="E42" s="12">
        <f>ROUND(E41/G41,2)</f>
        <v>0.23</v>
      </c>
      <c r="F42" s="12">
        <f>ROUND(F41/G41,2)</f>
        <v>0.05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53</v>
      </c>
      <c r="B47" s="23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271365</v>
      </c>
      <c r="D48" s="10">
        <v>0</v>
      </c>
      <c r="E48" s="10">
        <v>129064</v>
      </c>
      <c r="F48" s="10">
        <v>160</v>
      </c>
      <c r="G48" s="10">
        <f>SUM(C48:F48)</f>
        <v>400589</v>
      </c>
      <c r="H48" s="16">
        <f>ROUND(G48/2340,2)</f>
        <v>171.19</v>
      </c>
      <c r="I48" s="9"/>
      <c r="J48" s="9"/>
    </row>
    <row r="49" spans="1:10" x14ac:dyDescent="0.25">
      <c r="A49" s="22" t="s">
        <v>55</v>
      </c>
      <c r="B49" s="22"/>
      <c r="C49" s="10">
        <v>194030</v>
      </c>
      <c r="D49" s="10">
        <v>0</v>
      </c>
      <c r="E49" s="10">
        <v>22295</v>
      </c>
      <c r="F49" s="10">
        <v>31100</v>
      </c>
      <c r="G49" s="10">
        <f>SUM(C49:F49)</f>
        <v>247425</v>
      </c>
      <c r="H49" s="16">
        <f>ROUND(G49/2340,2)</f>
        <v>105.74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ROUND(G50/2340,2)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57</v>
      </c>
      <c r="B55" s="23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ROUND(0.6751, 4)</f>
        <v>0.67510000000000003</v>
      </c>
      <c r="D56" s="15">
        <f>ROUND(0.6617, 4)</f>
        <v>0.66169999999999995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4" t="s">
        <v>64</v>
      </c>
      <c r="J56" s="24" t="s">
        <v>65</v>
      </c>
    </row>
    <row r="57" spans="1:10" x14ac:dyDescent="0.25">
      <c r="A57" s="22" t="s">
        <v>66</v>
      </c>
      <c r="B57" s="22"/>
      <c r="C57" s="15">
        <f>ROUND(0.6334, 4)</f>
        <v>0.63339999999999996</v>
      </c>
      <c r="D57" s="15">
        <f>ROUND(0.6243, 4)</f>
        <v>0.62429999999999997</v>
      </c>
      <c r="E57" s="15">
        <f>ROUND(0.7608, 4)</f>
        <v>0.76080000000000003</v>
      </c>
      <c r="F57" s="8"/>
      <c r="G57" s="14" t="s">
        <v>67</v>
      </c>
      <c r="H57" s="27"/>
      <c r="I57" s="25"/>
      <c r="J57" s="25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68</v>
      </c>
      <c r="B61" s="23"/>
      <c r="C61" s="14" t="s">
        <v>2</v>
      </c>
      <c r="D61" s="14" t="s">
        <v>247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82.97</v>
      </c>
      <c r="D62" s="16">
        <v>103.95</v>
      </c>
      <c r="E62" s="16">
        <v>89.58</v>
      </c>
      <c r="F62" s="16">
        <v>53.73</v>
      </c>
      <c r="G62" s="16">
        <f>12/9*C62</f>
        <v>110.62666666666667</v>
      </c>
      <c r="H62" s="8"/>
      <c r="I62" s="9"/>
      <c r="J62" s="9"/>
    </row>
    <row r="63" spans="1:10" x14ac:dyDescent="0.25">
      <c r="A63" s="22" t="s">
        <v>74</v>
      </c>
      <c r="B63" s="22"/>
      <c r="C63" s="16">
        <v>32.06</v>
      </c>
      <c r="D63" s="16">
        <v>57.95</v>
      </c>
      <c r="E63" s="16">
        <v>60.32</v>
      </c>
      <c r="F63" s="16">
        <v>61.62</v>
      </c>
      <c r="G63" s="16">
        <f>12/9*C63</f>
        <v>42.74666666666667</v>
      </c>
      <c r="H63" s="8"/>
      <c r="I63" s="9"/>
      <c r="J63" s="9"/>
    </row>
    <row r="64" spans="1:10" x14ac:dyDescent="0.25">
      <c r="A64" s="22" t="s">
        <v>75</v>
      </c>
      <c r="B64" s="22"/>
      <c r="C64" s="16">
        <v>171.19</v>
      </c>
      <c r="D64" s="16">
        <v>242.98</v>
      </c>
      <c r="E64" s="16">
        <v>282.8</v>
      </c>
      <c r="F64" s="16">
        <v>273.33</v>
      </c>
      <c r="G64" s="16">
        <f>12/9*C64</f>
        <v>228.25333333333333</v>
      </c>
      <c r="H64" s="8"/>
      <c r="I64" s="9"/>
      <c r="J64" s="9"/>
    </row>
    <row r="65" spans="1:10" x14ac:dyDescent="0.25">
      <c r="A65" s="22" t="s">
        <v>76</v>
      </c>
      <c r="B65" s="22"/>
      <c r="C65" s="16">
        <v>105.74</v>
      </c>
      <c r="D65" s="16">
        <v>125.48</v>
      </c>
      <c r="E65" s="16">
        <v>112.72</v>
      </c>
      <c r="F65" s="16">
        <v>76.52</v>
      </c>
      <c r="G65" s="16">
        <f>12/9*C65</f>
        <v>140.98666666666665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8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248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8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1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249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5480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157</v>
      </c>
      <c r="F9" s="10"/>
      <c r="G9" s="10">
        <f t="shared" ref="G9:G42" si="0">SUM(C9:F9)</f>
        <v>157</v>
      </c>
      <c r="H9" s="16">
        <f t="shared" ref="H9:H42" si="1">ROUND(G9/5480,2)</f>
        <v>0.03</v>
      </c>
      <c r="I9" s="15">
        <f t="shared" ref="I9:I42" si="2">ROUND(G9/$G$43,3)</f>
        <v>0</v>
      </c>
      <c r="J9" s="15">
        <f>ROUND(G9/126-1,2)</f>
        <v>0.25</v>
      </c>
    </row>
    <row r="10" spans="1:10" x14ac:dyDescent="0.25">
      <c r="A10" s="1" t="s">
        <v>16</v>
      </c>
      <c r="B10" s="1" t="s">
        <v>19</v>
      </c>
      <c r="C10" s="10">
        <v>183850</v>
      </c>
      <c r="D10" s="10"/>
      <c r="E10" s="10">
        <v>1760</v>
      </c>
      <c r="F10" s="10">
        <v>910</v>
      </c>
      <c r="G10" s="10">
        <f t="shared" si="0"/>
        <v>186520</v>
      </c>
      <c r="H10" s="16">
        <f t="shared" si="1"/>
        <v>34.04</v>
      </c>
      <c r="I10" s="15">
        <f t="shared" si="2"/>
        <v>9.9000000000000005E-2</v>
      </c>
      <c r="J10" s="15">
        <f>ROUND(G10/163460-1,2)</f>
        <v>0.14000000000000001</v>
      </c>
    </row>
    <row r="11" spans="1:10" x14ac:dyDescent="0.25">
      <c r="A11" s="1" t="s">
        <v>16</v>
      </c>
      <c r="B11" s="1" t="s">
        <v>20</v>
      </c>
      <c r="C11" s="10">
        <v>169530</v>
      </c>
      <c r="D11" s="10"/>
      <c r="E11" s="10"/>
      <c r="F11" s="10"/>
      <c r="G11" s="10">
        <f t="shared" si="0"/>
        <v>169530</v>
      </c>
      <c r="H11" s="16">
        <f t="shared" si="1"/>
        <v>30.94</v>
      </c>
      <c r="I11" s="15">
        <f t="shared" si="2"/>
        <v>0.09</v>
      </c>
      <c r="J11" s="15">
        <f>ROUND(G11/172370-1,2)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158</v>
      </c>
      <c r="F12" s="10"/>
      <c r="G12" s="10">
        <f t="shared" si="0"/>
        <v>158</v>
      </c>
      <c r="H12" s="16">
        <f t="shared" si="1"/>
        <v>0.03</v>
      </c>
      <c r="I12" s="15">
        <f t="shared" si="2"/>
        <v>0</v>
      </c>
      <c r="J12" s="15">
        <f>ROUND(G12/253-1,2)</f>
        <v>-0.38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121</v>
      </c>
      <c r="F13" s="10"/>
      <c r="G13" s="10">
        <f t="shared" si="0"/>
        <v>121</v>
      </c>
      <c r="H13" s="16">
        <f t="shared" si="1"/>
        <v>0.02</v>
      </c>
      <c r="I13" s="15">
        <f t="shared" si="2"/>
        <v>0</v>
      </c>
      <c r="J13" s="15">
        <f>ROUND(G13/171-1,2)</f>
        <v>-0.28999999999999998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1400</v>
      </c>
      <c r="F14" s="10"/>
      <c r="G14" s="10">
        <f t="shared" si="0"/>
        <v>1400</v>
      </c>
      <c r="H14" s="16">
        <f t="shared" si="1"/>
        <v>0.26</v>
      </c>
      <c r="I14" s="15">
        <f t="shared" si="2"/>
        <v>1E-3</v>
      </c>
      <c r="J14" s="15">
        <f>ROUND(G14/1640-1,2)</f>
        <v>-0.15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36340</v>
      </c>
      <c r="F15" s="10"/>
      <c r="G15" s="10">
        <f t="shared" si="0"/>
        <v>36340</v>
      </c>
      <c r="H15" s="16">
        <f t="shared" si="1"/>
        <v>6.63</v>
      </c>
      <c r="I15" s="15">
        <f t="shared" si="2"/>
        <v>1.9E-2</v>
      </c>
      <c r="J15" s="15">
        <f>ROUND(G15/44940-1,2)</f>
        <v>-0.19</v>
      </c>
    </row>
    <row r="16" spans="1:10" x14ac:dyDescent="0.25">
      <c r="A16" s="1" t="s">
        <v>16</v>
      </c>
      <c r="B16" s="1" t="s">
        <v>24</v>
      </c>
      <c r="C16" s="10">
        <v>269150</v>
      </c>
      <c r="D16" s="10"/>
      <c r="E16" s="10">
        <v>15410</v>
      </c>
      <c r="F16" s="10">
        <v>390</v>
      </c>
      <c r="G16" s="10">
        <f t="shared" si="0"/>
        <v>284950</v>
      </c>
      <c r="H16" s="16">
        <f t="shared" si="1"/>
        <v>52</v>
      </c>
      <c r="I16" s="15">
        <f t="shared" si="2"/>
        <v>0.151</v>
      </c>
      <c r="J16" s="15">
        <f>ROUND(G16/276360-1,2)</f>
        <v>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5145</v>
      </c>
      <c r="F17" s="10"/>
      <c r="G17" s="10">
        <f t="shared" si="0"/>
        <v>5145</v>
      </c>
      <c r="H17" s="16">
        <f t="shared" si="1"/>
        <v>0.94</v>
      </c>
      <c r="I17" s="15">
        <f t="shared" si="2"/>
        <v>3.0000000000000001E-3</v>
      </c>
      <c r="J17" s="15">
        <f>ROUND(G17/6035-1,2)</f>
        <v>-0.15</v>
      </c>
    </row>
    <row r="18" spans="1:10" x14ac:dyDescent="0.25">
      <c r="A18" s="1" t="s">
        <v>16</v>
      </c>
      <c r="B18" s="1" t="s">
        <v>26</v>
      </c>
      <c r="C18" s="10">
        <v>313270</v>
      </c>
      <c r="D18" s="10"/>
      <c r="E18" s="10"/>
      <c r="F18" s="10">
        <v>1260</v>
      </c>
      <c r="G18" s="10">
        <f t="shared" si="0"/>
        <v>314530</v>
      </c>
      <c r="H18" s="16">
        <f t="shared" si="1"/>
        <v>57.4</v>
      </c>
      <c r="I18" s="15">
        <f t="shared" si="2"/>
        <v>0.16600000000000001</v>
      </c>
      <c r="J18" s="15">
        <f>ROUND(G18/293480-1,2)</f>
        <v>7.0000000000000007E-2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1629</v>
      </c>
      <c r="F19" s="10"/>
      <c r="G19" s="10">
        <f t="shared" si="0"/>
        <v>1629</v>
      </c>
      <c r="H19" s="16">
        <f t="shared" si="1"/>
        <v>0.3</v>
      </c>
      <c r="I19" s="15">
        <f t="shared" si="2"/>
        <v>1E-3</v>
      </c>
      <c r="J19" s="15">
        <f>ROUND(G19/802-1,2)</f>
        <v>1.03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906</v>
      </c>
      <c r="F20" s="10"/>
      <c r="G20" s="10">
        <f t="shared" si="0"/>
        <v>906</v>
      </c>
      <c r="H20" s="16">
        <f t="shared" si="1"/>
        <v>0.17</v>
      </c>
      <c r="I20" s="15">
        <f t="shared" si="2"/>
        <v>0</v>
      </c>
      <c r="J20" s="15">
        <f>ROUND(G20/517-1,2)</f>
        <v>0.75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134</v>
      </c>
      <c r="F21" s="10"/>
      <c r="G21" s="10">
        <f t="shared" si="0"/>
        <v>134</v>
      </c>
      <c r="H21" s="16">
        <f t="shared" si="1"/>
        <v>0.02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29</v>
      </c>
      <c r="C22" s="10"/>
      <c r="D22" s="10"/>
      <c r="E22" s="10">
        <v>2650</v>
      </c>
      <c r="F22" s="10"/>
      <c r="G22" s="10">
        <f t="shared" si="0"/>
        <v>2650</v>
      </c>
      <c r="H22" s="16">
        <f t="shared" si="1"/>
        <v>0.48</v>
      </c>
      <c r="I22" s="15">
        <f t="shared" si="2"/>
        <v>1E-3</v>
      </c>
      <c r="J22" s="15">
        <f>ROUND(G22/5840-1,2)</f>
        <v>-0.55000000000000004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1370</v>
      </c>
      <c r="F23" s="10"/>
      <c r="G23" s="10">
        <f t="shared" si="0"/>
        <v>1370</v>
      </c>
      <c r="H23" s="16">
        <f t="shared" si="1"/>
        <v>0.25</v>
      </c>
      <c r="I23" s="15">
        <f t="shared" si="2"/>
        <v>1E-3</v>
      </c>
      <c r="J23" s="15">
        <f>ROUND(G23/1490-1,2)</f>
        <v>-0.08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0.11</v>
      </c>
      <c r="I24" s="15">
        <f t="shared" si="2"/>
        <v>0</v>
      </c>
      <c r="J24" s="15">
        <f>ROUND(G24/560-1,2)</f>
        <v>7.0000000000000007E-2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1315</v>
      </c>
      <c r="F25" s="10"/>
      <c r="G25" s="10">
        <f t="shared" si="0"/>
        <v>1315</v>
      </c>
      <c r="H25" s="16">
        <f t="shared" si="1"/>
        <v>0.24</v>
      </c>
      <c r="I25" s="15">
        <f t="shared" si="2"/>
        <v>1E-3</v>
      </c>
      <c r="J25" s="15">
        <f>ROUND(G25/2235-1,2)</f>
        <v>-0.41</v>
      </c>
    </row>
    <row r="26" spans="1:10" x14ac:dyDescent="0.25">
      <c r="A26" s="1" t="s">
        <v>16</v>
      </c>
      <c r="B26" s="1" t="s">
        <v>33</v>
      </c>
      <c r="C26" s="10"/>
      <c r="D26" s="10">
        <v>286</v>
      </c>
      <c r="E26" s="10">
        <v>101</v>
      </c>
      <c r="F26" s="10"/>
      <c r="G26" s="10">
        <f t="shared" si="0"/>
        <v>387</v>
      </c>
      <c r="H26" s="16">
        <f t="shared" si="1"/>
        <v>7.0000000000000007E-2</v>
      </c>
      <c r="I26" s="15">
        <f t="shared" si="2"/>
        <v>0</v>
      </c>
      <c r="J26" s="15">
        <f>ROUND(G26/486-1,2)</f>
        <v>-0.2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240</v>
      </c>
      <c r="F27" s="10"/>
      <c r="G27" s="10">
        <f t="shared" si="0"/>
        <v>240</v>
      </c>
      <c r="H27" s="16">
        <f t="shared" si="1"/>
        <v>0.04</v>
      </c>
      <c r="I27" s="15">
        <f t="shared" si="2"/>
        <v>0</v>
      </c>
      <c r="J27" s="15">
        <f>ROUND(G27/690-1,2)</f>
        <v>-0.65</v>
      </c>
    </row>
    <row r="28" spans="1:10" x14ac:dyDescent="0.25">
      <c r="A28" s="1" t="s">
        <v>16</v>
      </c>
      <c r="B28" s="1" t="s">
        <v>35</v>
      </c>
      <c r="C28" s="10"/>
      <c r="D28" s="10">
        <v>220</v>
      </c>
      <c r="E28" s="10"/>
      <c r="F28" s="10"/>
      <c r="G28" s="10">
        <f t="shared" si="0"/>
        <v>220</v>
      </c>
      <c r="H28" s="16">
        <f t="shared" si="1"/>
        <v>0.04</v>
      </c>
      <c r="I28" s="15">
        <f t="shared" si="2"/>
        <v>0</v>
      </c>
      <c r="J28" s="15">
        <f>ROUND(G28/550-1,2)</f>
        <v>-0.6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7500</v>
      </c>
      <c r="F29" s="10"/>
      <c r="G29" s="10">
        <f t="shared" si="0"/>
        <v>7500</v>
      </c>
      <c r="H29" s="16">
        <f t="shared" si="1"/>
        <v>1.37</v>
      </c>
      <c r="I29" s="15">
        <f t="shared" si="2"/>
        <v>4.0000000000000001E-3</v>
      </c>
      <c r="J29" s="15">
        <f>ROUND(G29/10164-1,2)</f>
        <v>-0.26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5040</v>
      </c>
      <c r="F30" s="10"/>
      <c r="G30" s="10">
        <f t="shared" si="0"/>
        <v>5040</v>
      </c>
      <c r="H30" s="16">
        <f t="shared" si="1"/>
        <v>0.92</v>
      </c>
      <c r="I30" s="15">
        <f t="shared" si="2"/>
        <v>3.0000000000000001E-3</v>
      </c>
      <c r="J30" s="15">
        <f>ROUND(G30/6436-1,2)</f>
        <v>-0.22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75490</v>
      </c>
      <c r="F31" s="10"/>
      <c r="G31" s="10">
        <f t="shared" si="0"/>
        <v>75490</v>
      </c>
      <c r="H31" s="16">
        <f t="shared" si="1"/>
        <v>13.78</v>
      </c>
      <c r="I31" s="15">
        <f t="shared" si="2"/>
        <v>0.04</v>
      </c>
      <c r="J31" s="15">
        <f>ROUND(G31/72610-1,2)</f>
        <v>0.04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4140</v>
      </c>
      <c r="F32" s="10"/>
      <c r="G32" s="10">
        <f t="shared" si="0"/>
        <v>4140</v>
      </c>
      <c r="H32" s="16">
        <f t="shared" si="1"/>
        <v>0.76</v>
      </c>
      <c r="I32" s="15">
        <f t="shared" si="2"/>
        <v>2E-3</v>
      </c>
      <c r="J32" s="15">
        <f>ROUND(G32/6400-1,2)</f>
        <v>-0.35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13490</v>
      </c>
      <c r="F33" s="10"/>
      <c r="G33" s="10">
        <f t="shared" si="0"/>
        <v>13490</v>
      </c>
      <c r="H33" s="16">
        <f t="shared" si="1"/>
        <v>2.46</v>
      </c>
      <c r="I33" s="15">
        <f t="shared" si="2"/>
        <v>7.0000000000000001E-3</v>
      </c>
      <c r="J33" s="15">
        <f>ROUND(G33/16350-1,2)</f>
        <v>-0.17</v>
      </c>
    </row>
    <row r="34" spans="1:10" x14ac:dyDescent="0.25">
      <c r="A34" s="1" t="s">
        <v>16</v>
      </c>
      <c r="B34" s="1" t="s">
        <v>41</v>
      </c>
      <c r="C34" s="10">
        <v>7760</v>
      </c>
      <c r="D34" s="10">
        <v>320180</v>
      </c>
      <c r="E34" s="10">
        <v>67910</v>
      </c>
      <c r="F34" s="10">
        <v>2200</v>
      </c>
      <c r="G34" s="10">
        <f t="shared" si="0"/>
        <v>398050</v>
      </c>
      <c r="H34" s="16">
        <f t="shared" si="1"/>
        <v>72.64</v>
      </c>
      <c r="I34" s="15">
        <f t="shared" si="2"/>
        <v>0.21</v>
      </c>
      <c r="J34" s="15">
        <f>ROUND(G34/645460-1,2)</f>
        <v>-0.38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ROUND(G35/4140-1,2)</f>
        <v>-1</v>
      </c>
    </row>
    <row r="36" spans="1:10" x14ac:dyDescent="0.25">
      <c r="A36" s="1" t="s">
        <v>44</v>
      </c>
      <c r="B36" s="1" t="s">
        <v>45</v>
      </c>
      <c r="C36" s="10">
        <v>302150</v>
      </c>
      <c r="D36" s="10"/>
      <c r="E36" s="10"/>
      <c r="F36" s="10">
        <v>720</v>
      </c>
      <c r="G36" s="10">
        <f t="shared" si="0"/>
        <v>302870</v>
      </c>
      <c r="H36" s="16">
        <f t="shared" si="1"/>
        <v>55.27</v>
      </c>
      <c r="I36" s="15">
        <f t="shared" si="2"/>
        <v>0.16</v>
      </c>
      <c r="J36" s="15">
        <f>ROUND(G36/423520-1,2)</f>
        <v>-0.28000000000000003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19790</v>
      </c>
      <c r="G37" s="10">
        <f t="shared" si="0"/>
        <v>19790</v>
      </c>
      <c r="H37" s="16">
        <f t="shared" si="1"/>
        <v>3.61</v>
      </c>
      <c r="I37" s="15">
        <f t="shared" si="2"/>
        <v>0.01</v>
      </c>
      <c r="J37" s="15">
        <f>ROUND(G37/44180-1,2)</f>
        <v>-0.55000000000000004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57670</v>
      </c>
      <c r="F38" s="10"/>
      <c r="G38" s="10">
        <f t="shared" si="0"/>
        <v>57670</v>
      </c>
      <c r="H38" s="16">
        <f t="shared" si="1"/>
        <v>10.52</v>
      </c>
      <c r="I38" s="15">
        <f t="shared" si="2"/>
        <v>0.03</v>
      </c>
      <c r="J38" s="15">
        <f>ROUND(G38/46600-1,2)</f>
        <v>0.24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ROUND(G41/230-1,2)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3" t="s">
        <v>12</v>
      </c>
      <c r="B43" s="23"/>
      <c r="C43" s="11">
        <f t="shared" ref="C43:H43" si="3">SUM(C8:C42)</f>
        <v>1245710</v>
      </c>
      <c r="D43" s="11">
        <f t="shared" si="3"/>
        <v>320686</v>
      </c>
      <c r="E43" s="11">
        <f t="shared" si="3"/>
        <v>300676</v>
      </c>
      <c r="F43" s="11">
        <f t="shared" si="3"/>
        <v>25270</v>
      </c>
      <c r="G43" s="11">
        <f t="shared" si="3"/>
        <v>1892342</v>
      </c>
      <c r="H43" s="14">
        <f t="shared" si="3"/>
        <v>345.34</v>
      </c>
      <c r="I43" s="17"/>
      <c r="J43" s="17"/>
    </row>
    <row r="44" spans="1:10" x14ac:dyDescent="0.25">
      <c r="A44" s="23" t="s">
        <v>14</v>
      </c>
      <c r="B44" s="23"/>
      <c r="C44" s="12">
        <f>ROUND(C43/G43,2)</f>
        <v>0.66</v>
      </c>
      <c r="D44" s="12">
        <f>ROUND(D43/G43,2)</f>
        <v>0.17</v>
      </c>
      <c r="E44" s="12">
        <f>ROUND(E43/G43,2)</f>
        <v>0.16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3" t="s">
        <v>53</v>
      </c>
      <c r="B49" s="23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943560</v>
      </c>
      <c r="D50" s="10">
        <v>320686</v>
      </c>
      <c r="E50" s="10">
        <v>243006</v>
      </c>
      <c r="F50" s="10">
        <v>4760</v>
      </c>
      <c r="G50" s="10">
        <f>SUM(C50:F50)</f>
        <v>1512012</v>
      </c>
      <c r="H50" s="16">
        <f>ROUND(G50/5480,2)</f>
        <v>275.91000000000003</v>
      </c>
      <c r="I50" s="9"/>
      <c r="J50" s="9"/>
    </row>
    <row r="51" spans="1:10" x14ac:dyDescent="0.25">
      <c r="A51" s="22" t="s">
        <v>55</v>
      </c>
      <c r="B51" s="22"/>
      <c r="C51" s="10">
        <v>302150</v>
      </c>
      <c r="D51" s="10">
        <v>0</v>
      </c>
      <c r="E51" s="10">
        <v>57670</v>
      </c>
      <c r="F51" s="10">
        <v>20510</v>
      </c>
      <c r="G51" s="10">
        <f>SUM(C51:F51)</f>
        <v>380330</v>
      </c>
      <c r="H51" s="16">
        <f>ROUND(G51/5480,2)</f>
        <v>69.400000000000006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ROUND(G52/5480,2)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57</v>
      </c>
      <c r="B57" s="23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ROUND(0.8326, 4)</f>
        <v>0.83260000000000001</v>
      </c>
      <c r="D58" s="15">
        <f>ROUND(0.7944, 4)</f>
        <v>0.7944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4" t="s">
        <v>64</v>
      </c>
      <c r="J58" s="24" t="s">
        <v>65</v>
      </c>
    </row>
    <row r="59" spans="1:10" x14ac:dyDescent="0.25">
      <c r="A59" s="22" t="s">
        <v>66</v>
      </c>
      <c r="B59" s="22"/>
      <c r="C59" s="15">
        <f>ROUND(0.8196, 4)</f>
        <v>0.8196</v>
      </c>
      <c r="D59" s="15">
        <f>ROUND(0.7845, 4)</f>
        <v>0.78449999999999998</v>
      </c>
      <c r="E59" s="15">
        <f>ROUND(0.7608, 4)</f>
        <v>0.76080000000000003</v>
      </c>
      <c r="F59" s="8"/>
      <c r="G59" s="14" t="s">
        <v>67</v>
      </c>
      <c r="H59" s="27"/>
      <c r="I59" s="25"/>
      <c r="J59" s="25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68</v>
      </c>
      <c r="B63" s="23"/>
      <c r="C63" s="14" t="s">
        <v>2</v>
      </c>
      <c r="D63" s="14" t="s">
        <v>250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55.27</v>
      </c>
      <c r="D64" s="16">
        <v>94.4</v>
      </c>
      <c r="E64" s="16">
        <v>89.58</v>
      </c>
      <c r="F64" s="16">
        <v>53.73</v>
      </c>
      <c r="G64" s="16">
        <f>12/9*C64</f>
        <v>73.693333333333328</v>
      </c>
      <c r="H64" s="8"/>
      <c r="I64" s="9"/>
      <c r="J64" s="9"/>
    </row>
    <row r="65" spans="1:10" x14ac:dyDescent="0.25">
      <c r="A65" s="22" t="s">
        <v>74</v>
      </c>
      <c r="B65" s="22"/>
      <c r="C65" s="16">
        <v>57.4</v>
      </c>
      <c r="D65" s="16">
        <v>71.709999999999994</v>
      </c>
      <c r="E65" s="16">
        <v>60.32</v>
      </c>
      <c r="F65" s="16">
        <v>61.62</v>
      </c>
      <c r="G65" s="16">
        <f>12/9*C65</f>
        <v>76.533333333333331</v>
      </c>
      <c r="H65" s="8"/>
      <c r="I65" s="9"/>
      <c r="J65" s="9"/>
    </row>
    <row r="66" spans="1:10" x14ac:dyDescent="0.25">
      <c r="A66" s="22" t="s">
        <v>75</v>
      </c>
      <c r="B66" s="22"/>
      <c r="C66" s="16">
        <v>275.91000000000003</v>
      </c>
      <c r="D66" s="16">
        <v>376.96</v>
      </c>
      <c r="E66" s="16">
        <v>282.8</v>
      </c>
      <c r="F66" s="16">
        <v>273.33</v>
      </c>
      <c r="G66" s="16">
        <f>12/9*C66</f>
        <v>367.88</v>
      </c>
      <c r="H66" s="8"/>
      <c r="I66" s="9"/>
      <c r="J66" s="9"/>
    </row>
    <row r="67" spans="1:10" x14ac:dyDescent="0.25">
      <c r="A67" s="22" t="s">
        <v>76</v>
      </c>
      <c r="B67" s="22"/>
      <c r="C67" s="16">
        <v>69.400000000000006</v>
      </c>
      <c r="D67" s="16">
        <v>112.16</v>
      </c>
      <c r="E67" s="16">
        <v>112.72</v>
      </c>
      <c r="F67" s="16">
        <v>76.52</v>
      </c>
      <c r="G67" s="16">
        <f>12/9*C67</f>
        <v>92.533333333333331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8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251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9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4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252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6878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95</v>
      </c>
      <c r="F9" s="10"/>
      <c r="G9" s="10">
        <f t="shared" ref="G9:G47" si="0">SUM(C9:F9)</f>
        <v>95</v>
      </c>
      <c r="H9" s="16">
        <f t="shared" ref="H9:H47" si="1">ROUND(G9/6878,2)</f>
        <v>0.01</v>
      </c>
      <c r="I9" s="15">
        <f t="shared" ref="I9:I47" si="2">ROUND(G9/$G$48,3)</f>
        <v>0</v>
      </c>
      <c r="J9" s="15">
        <f>ROUND(G9/58-1,2)</f>
        <v>0.64</v>
      </c>
    </row>
    <row r="10" spans="1:10" x14ac:dyDescent="0.25">
      <c r="A10" s="1" t="s">
        <v>16</v>
      </c>
      <c r="B10" s="1" t="s">
        <v>19</v>
      </c>
      <c r="C10" s="10">
        <v>165090</v>
      </c>
      <c r="D10" s="10"/>
      <c r="E10" s="10">
        <v>2590</v>
      </c>
      <c r="F10" s="10">
        <v>660</v>
      </c>
      <c r="G10" s="10">
        <f t="shared" si="0"/>
        <v>168340</v>
      </c>
      <c r="H10" s="16">
        <f t="shared" si="1"/>
        <v>24.48</v>
      </c>
      <c r="I10" s="15">
        <f t="shared" si="2"/>
        <v>9.1999999999999998E-2</v>
      </c>
      <c r="J10" s="15">
        <f>ROUND(G10/162280-1,2)</f>
        <v>0.04</v>
      </c>
    </row>
    <row r="11" spans="1:10" x14ac:dyDescent="0.25">
      <c r="A11" s="1" t="s">
        <v>16</v>
      </c>
      <c r="B11" s="1" t="s">
        <v>20</v>
      </c>
      <c r="C11" s="10">
        <v>194870</v>
      </c>
      <c r="D11" s="10"/>
      <c r="E11" s="10"/>
      <c r="F11" s="10"/>
      <c r="G11" s="10">
        <f t="shared" si="0"/>
        <v>194870</v>
      </c>
      <c r="H11" s="16">
        <f t="shared" si="1"/>
        <v>28.33</v>
      </c>
      <c r="I11" s="15">
        <f t="shared" si="2"/>
        <v>0.106</v>
      </c>
      <c r="J11" s="15">
        <f>ROUND(G11/202130-1,2)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373</v>
      </c>
      <c r="F12" s="10"/>
      <c r="G12" s="10">
        <f t="shared" si="0"/>
        <v>373</v>
      </c>
      <c r="H12" s="16">
        <f t="shared" si="1"/>
        <v>0.05</v>
      </c>
      <c r="I12" s="15">
        <f t="shared" si="2"/>
        <v>0</v>
      </c>
      <c r="J12" s="15">
        <f>ROUND(G12/124-1,2)</f>
        <v>2.0099999999999998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361</v>
      </c>
      <c r="F13" s="10"/>
      <c r="G13" s="10">
        <f t="shared" si="0"/>
        <v>361</v>
      </c>
      <c r="H13" s="16">
        <f t="shared" si="1"/>
        <v>0.05</v>
      </c>
      <c r="I13" s="15">
        <f t="shared" si="2"/>
        <v>0</v>
      </c>
      <c r="J13" s="15">
        <f>ROUND(G13/205-1,2)</f>
        <v>0.76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2840</v>
      </c>
      <c r="F14" s="10">
        <v>800</v>
      </c>
      <c r="G14" s="10">
        <f t="shared" si="0"/>
        <v>3640</v>
      </c>
      <c r="H14" s="16">
        <f t="shared" si="1"/>
        <v>0.53</v>
      </c>
      <c r="I14" s="15">
        <f t="shared" si="2"/>
        <v>2E-3</v>
      </c>
      <c r="J14" s="15">
        <f>ROUND(G14/2800-1,2)</f>
        <v>0.3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95430</v>
      </c>
      <c r="F15" s="10"/>
      <c r="G15" s="10">
        <f t="shared" si="0"/>
        <v>95430</v>
      </c>
      <c r="H15" s="16">
        <f t="shared" si="1"/>
        <v>13.87</v>
      </c>
      <c r="I15" s="15">
        <f t="shared" si="2"/>
        <v>5.1999999999999998E-2</v>
      </c>
      <c r="J15" s="15">
        <f>ROUND(G15/67380-1,2)</f>
        <v>0.42</v>
      </c>
    </row>
    <row r="16" spans="1:10" x14ac:dyDescent="0.25">
      <c r="A16" s="1" t="s">
        <v>16</v>
      </c>
      <c r="B16" s="1" t="s">
        <v>24</v>
      </c>
      <c r="C16" s="10">
        <v>226010</v>
      </c>
      <c r="D16" s="10"/>
      <c r="E16" s="10">
        <v>20360</v>
      </c>
      <c r="F16" s="10">
        <v>1370</v>
      </c>
      <c r="G16" s="10">
        <f t="shared" si="0"/>
        <v>247740</v>
      </c>
      <c r="H16" s="16">
        <f t="shared" si="1"/>
        <v>36.020000000000003</v>
      </c>
      <c r="I16" s="15">
        <f t="shared" si="2"/>
        <v>0.13500000000000001</v>
      </c>
      <c r="J16" s="15">
        <f>ROUND(G16/262820-1,2)</f>
        <v>-0.06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10345</v>
      </c>
      <c r="F17" s="10"/>
      <c r="G17" s="10">
        <f t="shared" si="0"/>
        <v>10345</v>
      </c>
      <c r="H17" s="16">
        <f t="shared" si="1"/>
        <v>1.5</v>
      </c>
      <c r="I17" s="15">
        <f t="shared" si="2"/>
        <v>6.0000000000000001E-3</v>
      </c>
      <c r="J17" s="15">
        <f>ROUND(G17/5395-1,2)</f>
        <v>0.92</v>
      </c>
    </row>
    <row r="18" spans="1:10" x14ac:dyDescent="0.25">
      <c r="A18" s="1" t="s">
        <v>16</v>
      </c>
      <c r="B18" s="1" t="s">
        <v>26</v>
      </c>
      <c r="C18" s="10">
        <v>369790</v>
      </c>
      <c r="D18" s="10"/>
      <c r="E18" s="10"/>
      <c r="F18" s="10">
        <v>1270</v>
      </c>
      <c r="G18" s="10">
        <f t="shared" si="0"/>
        <v>371060</v>
      </c>
      <c r="H18" s="16">
        <f t="shared" si="1"/>
        <v>53.95</v>
      </c>
      <c r="I18" s="15">
        <f t="shared" si="2"/>
        <v>0.20200000000000001</v>
      </c>
      <c r="J18" s="15">
        <f>ROUND(G18/340380-1,2)</f>
        <v>0.09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1409</v>
      </c>
      <c r="F19" s="10"/>
      <c r="G19" s="10">
        <f t="shared" si="0"/>
        <v>1409</v>
      </c>
      <c r="H19" s="16">
        <f t="shared" si="1"/>
        <v>0.2</v>
      </c>
      <c r="I19" s="15">
        <f t="shared" si="2"/>
        <v>1E-3</v>
      </c>
      <c r="J19" s="15">
        <f>ROUND(G19/2149-1,2)</f>
        <v>-0.34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981</v>
      </c>
      <c r="F20" s="10"/>
      <c r="G20" s="10">
        <f t="shared" si="0"/>
        <v>981</v>
      </c>
      <c r="H20" s="16">
        <f t="shared" si="1"/>
        <v>0.14000000000000001</v>
      </c>
      <c r="I20" s="15">
        <f t="shared" si="2"/>
        <v>1E-3</v>
      </c>
      <c r="J20" s="15">
        <f>ROUND(G20/1124-1,2)</f>
        <v>-0.13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136</v>
      </c>
      <c r="F21" s="10"/>
      <c r="G21" s="10">
        <f t="shared" si="0"/>
        <v>136</v>
      </c>
      <c r="H21" s="16">
        <f t="shared" si="1"/>
        <v>0.02</v>
      </c>
      <c r="I21" s="15">
        <f t="shared" si="2"/>
        <v>0</v>
      </c>
      <c r="J21" s="15">
        <f>ROUND(G21/345-1,2)</f>
        <v>-0.61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4080</v>
      </c>
      <c r="F22" s="10"/>
      <c r="G22" s="10">
        <f t="shared" si="0"/>
        <v>4080</v>
      </c>
      <c r="H22" s="16">
        <f t="shared" si="1"/>
        <v>0.59</v>
      </c>
      <c r="I22" s="15">
        <f t="shared" si="2"/>
        <v>2E-3</v>
      </c>
      <c r="J22" s="15">
        <f>ROUND(G22/7380-1,2)</f>
        <v>-0.45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1520</v>
      </c>
      <c r="F23" s="10"/>
      <c r="G23" s="10">
        <f t="shared" si="0"/>
        <v>1520</v>
      </c>
      <c r="H23" s="16">
        <f t="shared" si="1"/>
        <v>0.22</v>
      </c>
      <c r="I23" s="15">
        <f t="shared" si="2"/>
        <v>1E-3</v>
      </c>
      <c r="J23" s="15">
        <f>ROUND(G23/1690-1,2)</f>
        <v>-0.1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3600</v>
      </c>
      <c r="F24" s="10"/>
      <c r="G24" s="10">
        <f t="shared" si="0"/>
        <v>3600</v>
      </c>
      <c r="H24" s="16">
        <f t="shared" si="1"/>
        <v>0.52</v>
      </c>
      <c r="I24" s="15">
        <f t="shared" si="2"/>
        <v>2E-3</v>
      </c>
      <c r="J24" s="15">
        <f>ROUND(G24/1605-1,2)</f>
        <v>1.24</v>
      </c>
    </row>
    <row r="25" spans="1:10" x14ac:dyDescent="0.25">
      <c r="A25" s="1" t="s">
        <v>16</v>
      </c>
      <c r="B25" s="1" t="s">
        <v>33</v>
      </c>
      <c r="C25" s="10"/>
      <c r="D25" s="10">
        <v>345</v>
      </c>
      <c r="E25" s="10">
        <v>214</v>
      </c>
      <c r="F25" s="10"/>
      <c r="G25" s="10">
        <f t="shared" si="0"/>
        <v>559</v>
      </c>
      <c r="H25" s="16">
        <f t="shared" si="1"/>
        <v>0.08</v>
      </c>
      <c r="I25" s="15">
        <f t="shared" si="2"/>
        <v>0</v>
      </c>
      <c r="J25" s="15">
        <f>ROUND(G25/628-1,2)</f>
        <v>-0.11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290</v>
      </c>
      <c r="F26" s="10"/>
      <c r="G26" s="10">
        <f t="shared" si="0"/>
        <v>290</v>
      </c>
      <c r="H26" s="16">
        <f t="shared" si="1"/>
        <v>0.04</v>
      </c>
      <c r="I26" s="15">
        <f t="shared" si="2"/>
        <v>0</v>
      </c>
      <c r="J26" s="15">
        <f>ROUND(G26/512-1,2)</f>
        <v>-0.43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6010</v>
      </c>
      <c r="F27" s="10"/>
      <c r="G27" s="10">
        <f t="shared" si="0"/>
        <v>6010</v>
      </c>
      <c r="H27" s="16">
        <f t="shared" si="1"/>
        <v>0.87</v>
      </c>
      <c r="I27" s="15">
        <f t="shared" si="2"/>
        <v>3.0000000000000001E-3</v>
      </c>
      <c r="J27" s="15">
        <f>ROUND(G27/5720-1,2)</f>
        <v>0.05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8475</v>
      </c>
      <c r="F28" s="10"/>
      <c r="G28" s="10">
        <f t="shared" si="0"/>
        <v>8475</v>
      </c>
      <c r="H28" s="16">
        <f t="shared" si="1"/>
        <v>1.23</v>
      </c>
      <c r="I28" s="15">
        <f t="shared" si="2"/>
        <v>5.0000000000000001E-3</v>
      </c>
      <c r="J28" s="15">
        <f>ROUND(G28/11903-1,2)</f>
        <v>-0.28999999999999998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110000</v>
      </c>
      <c r="F29" s="10"/>
      <c r="G29" s="10">
        <f t="shared" si="0"/>
        <v>110000</v>
      </c>
      <c r="H29" s="16">
        <f t="shared" si="1"/>
        <v>15.99</v>
      </c>
      <c r="I29" s="15">
        <f t="shared" si="2"/>
        <v>0.06</v>
      </c>
      <c r="J29" s="15">
        <f>ROUND(G29/85120-1,2)</f>
        <v>0.28999999999999998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9325</v>
      </c>
      <c r="F30" s="10"/>
      <c r="G30" s="10">
        <f t="shared" si="0"/>
        <v>9325</v>
      </c>
      <c r="H30" s="16">
        <f t="shared" si="1"/>
        <v>1.36</v>
      </c>
      <c r="I30" s="15">
        <f t="shared" si="2"/>
        <v>5.0000000000000001E-3</v>
      </c>
      <c r="J30" s="15">
        <f>ROUND(G30/12280-1,2)</f>
        <v>-0.24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31420</v>
      </c>
      <c r="F31" s="10"/>
      <c r="G31" s="10">
        <f t="shared" si="0"/>
        <v>31420</v>
      </c>
      <c r="H31" s="16">
        <f t="shared" si="1"/>
        <v>4.57</v>
      </c>
      <c r="I31" s="15">
        <f t="shared" si="2"/>
        <v>1.7000000000000001E-2</v>
      </c>
      <c r="J31" s="15">
        <f>ROUND(G31/27890-1,2)</f>
        <v>0.13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176580</v>
      </c>
      <c r="F32" s="10">
        <v>16700</v>
      </c>
      <c r="G32" s="10">
        <f t="shared" si="0"/>
        <v>193280</v>
      </c>
      <c r="H32" s="16">
        <f t="shared" si="1"/>
        <v>28.1</v>
      </c>
      <c r="I32" s="15">
        <f t="shared" si="2"/>
        <v>0.105</v>
      </c>
      <c r="J32" s="15">
        <f>ROUND(G32/110480-1,2)</f>
        <v>0.75</v>
      </c>
    </row>
    <row r="33" spans="1:10" x14ac:dyDescent="0.25">
      <c r="A33" s="1" t="s">
        <v>16</v>
      </c>
      <c r="B33" s="1" t="s">
        <v>243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ROUND(G35/3680-1,2)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ROUND(G36/368-1,2)</f>
        <v>-1</v>
      </c>
    </row>
    <row r="37" spans="1:10" x14ac:dyDescent="0.25">
      <c r="A37" s="1" t="s">
        <v>16</v>
      </c>
      <c r="B37" s="1" t="s">
        <v>34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ROUND(G37/550-1,2)</f>
        <v>-1</v>
      </c>
    </row>
    <row r="38" spans="1:10" x14ac:dyDescent="0.25">
      <c r="A38" s="1" t="s">
        <v>16</v>
      </c>
      <c r="B38" s="1" t="s">
        <v>129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120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265980</v>
      </c>
      <c r="D41" s="10"/>
      <c r="E41" s="10"/>
      <c r="F41" s="10">
        <v>180</v>
      </c>
      <c r="G41" s="10">
        <f t="shared" si="0"/>
        <v>266160</v>
      </c>
      <c r="H41" s="16">
        <f t="shared" si="1"/>
        <v>38.700000000000003</v>
      </c>
      <c r="I41" s="15">
        <f t="shared" si="2"/>
        <v>0.14499999999999999</v>
      </c>
      <c r="J41" s="15">
        <f>ROUND(G41/269880-1,2)</f>
        <v>-0.01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26255</v>
      </c>
      <c r="G42" s="10">
        <f t="shared" si="0"/>
        <v>26255</v>
      </c>
      <c r="H42" s="16">
        <f t="shared" si="1"/>
        <v>3.82</v>
      </c>
      <c r="I42" s="15">
        <f t="shared" si="2"/>
        <v>1.4E-2</v>
      </c>
      <c r="J42" s="15">
        <f>ROUND(G42/37595-1,2)</f>
        <v>-0.3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78220</v>
      </c>
      <c r="F43" s="10"/>
      <c r="G43" s="10">
        <f t="shared" si="0"/>
        <v>78220</v>
      </c>
      <c r="H43" s="16">
        <f t="shared" si="1"/>
        <v>11.37</v>
      </c>
      <c r="I43" s="15">
        <f t="shared" si="2"/>
        <v>4.2999999999999997E-2</v>
      </c>
      <c r="J43" s="15">
        <f>ROUND(G43/48870-1,2)</f>
        <v>0.6</v>
      </c>
    </row>
    <row r="44" spans="1:10" x14ac:dyDescent="0.25">
      <c r="A44" s="1" t="s">
        <v>48</v>
      </c>
      <c r="B44" s="1" t="s">
        <v>49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ROUND(G44/400-1,2)</f>
        <v>-1</v>
      </c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ROUND(G45/975-1,2)</f>
        <v>-1</v>
      </c>
    </row>
    <row r="46" spans="1:10" x14ac:dyDescent="0.25">
      <c r="A46" s="1" t="s">
        <v>48</v>
      </c>
      <c r="B46" s="1" t="s">
        <v>51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ROUND(G46/36-1,2)</f>
        <v>-1</v>
      </c>
    </row>
    <row r="47" spans="1:10" x14ac:dyDescent="0.25">
      <c r="A47" s="1" t="s">
        <v>48</v>
      </c>
      <c r="B47" s="1" t="s">
        <v>86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>
        <f>ROUND(G47/70-1,2)</f>
        <v>-1</v>
      </c>
    </row>
    <row r="48" spans="1:10" x14ac:dyDescent="0.25">
      <c r="A48" s="23" t="s">
        <v>12</v>
      </c>
      <c r="B48" s="23"/>
      <c r="C48" s="11">
        <f t="shared" ref="C48:H48" si="3">SUM(C8:C47)</f>
        <v>1221740</v>
      </c>
      <c r="D48" s="11">
        <f t="shared" si="3"/>
        <v>345</v>
      </c>
      <c r="E48" s="11">
        <f t="shared" si="3"/>
        <v>564654</v>
      </c>
      <c r="F48" s="11">
        <f t="shared" si="3"/>
        <v>47235</v>
      </c>
      <c r="G48" s="11">
        <f t="shared" si="3"/>
        <v>1833974</v>
      </c>
      <c r="H48" s="14">
        <f t="shared" si="3"/>
        <v>266.61</v>
      </c>
      <c r="I48" s="17"/>
      <c r="J48" s="17"/>
    </row>
    <row r="49" spans="1:10" x14ac:dyDescent="0.25">
      <c r="A49" s="23" t="s">
        <v>14</v>
      </c>
      <c r="B49" s="23"/>
      <c r="C49" s="12">
        <f>ROUND(C48/G48,2)</f>
        <v>0.67</v>
      </c>
      <c r="D49" s="12">
        <f>ROUND(D48/G48,2)</f>
        <v>0</v>
      </c>
      <c r="E49" s="12">
        <f>ROUND(E48/G48,2)</f>
        <v>0.31</v>
      </c>
      <c r="F49" s="12">
        <f>ROUND(F48/G48,2)</f>
        <v>0.03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53</v>
      </c>
      <c r="B54" s="23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955760</v>
      </c>
      <c r="D55" s="10">
        <v>345</v>
      </c>
      <c r="E55" s="10">
        <v>486434</v>
      </c>
      <c r="F55" s="10">
        <v>20800</v>
      </c>
      <c r="G55" s="10">
        <f>SUM(C55:F55)</f>
        <v>1463339</v>
      </c>
      <c r="H55" s="16">
        <f>ROUND(G55/6878,2)</f>
        <v>212.76</v>
      </c>
      <c r="I55" s="9"/>
      <c r="J55" s="9"/>
    </row>
    <row r="56" spans="1:10" x14ac:dyDescent="0.25">
      <c r="A56" s="22" t="s">
        <v>55</v>
      </c>
      <c r="B56" s="22"/>
      <c r="C56" s="10">
        <v>265980</v>
      </c>
      <c r="D56" s="10">
        <v>0</v>
      </c>
      <c r="E56" s="10">
        <v>78220</v>
      </c>
      <c r="F56" s="10">
        <v>26435</v>
      </c>
      <c r="G56" s="10">
        <f>SUM(C56:F56)</f>
        <v>370635</v>
      </c>
      <c r="H56" s="16">
        <f>ROUND(G56/6878,2)</f>
        <v>53.89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ROUND(G57/6878,2)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57</v>
      </c>
      <c r="B62" s="23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ROUND(0.8408, 4)</f>
        <v>0.84079999999999999</v>
      </c>
      <c r="D63" s="15">
        <f>ROUND(0.8276, 4)</f>
        <v>0.8276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4" t="s">
        <v>64</v>
      </c>
      <c r="J63" s="24" t="s">
        <v>65</v>
      </c>
    </row>
    <row r="64" spans="1:10" x14ac:dyDescent="0.25">
      <c r="A64" s="22" t="s">
        <v>66</v>
      </c>
      <c r="B64" s="22"/>
      <c r="C64" s="15">
        <f>ROUND(0.8284, 4)</f>
        <v>0.82840000000000003</v>
      </c>
      <c r="D64" s="15">
        <f>ROUND(0.8145, 4)</f>
        <v>0.8145</v>
      </c>
      <c r="E64" s="15">
        <f>ROUND(0.7608, 4)</f>
        <v>0.76080000000000003</v>
      </c>
      <c r="F64" s="8"/>
      <c r="G64" s="14" t="s">
        <v>67</v>
      </c>
      <c r="H64" s="27"/>
      <c r="I64" s="25"/>
      <c r="J64" s="25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68</v>
      </c>
      <c r="B68" s="23"/>
      <c r="C68" s="14" t="s">
        <v>2</v>
      </c>
      <c r="D68" s="14" t="s">
        <v>253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38.700000000000003</v>
      </c>
      <c r="D69" s="16">
        <v>49.66</v>
      </c>
      <c r="E69" s="16">
        <v>89.58</v>
      </c>
      <c r="F69" s="16">
        <v>53.73</v>
      </c>
      <c r="G69" s="16">
        <f>12/9*C69</f>
        <v>51.6</v>
      </c>
      <c r="H69" s="8"/>
      <c r="I69" s="9"/>
      <c r="J69" s="9"/>
    </row>
    <row r="70" spans="1:10" x14ac:dyDescent="0.25">
      <c r="A70" s="22" t="s">
        <v>74</v>
      </c>
      <c r="B70" s="22"/>
      <c r="C70" s="16">
        <v>53.95</v>
      </c>
      <c r="D70" s="16">
        <v>63.33</v>
      </c>
      <c r="E70" s="16">
        <v>60.32</v>
      </c>
      <c r="F70" s="16">
        <v>61.62</v>
      </c>
      <c r="G70" s="16">
        <f>12/9*C70</f>
        <v>71.933333333333337</v>
      </c>
      <c r="H70" s="8"/>
      <c r="I70" s="9"/>
      <c r="J70" s="9"/>
    </row>
    <row r="71" spans="1:10" x14ac:dyDescent="0.25">
      <c r="A71" s="22" t="s">
        <v>75</v>
      </c>
      <c r="B71" s="22"/>
      <c r="C71" s="16">
        <v>232.49</v>
      </c>
      <c r="D71" s="16">
        <v>247.65</v>
      </c>
      <c r="E71" s="16">
        <v>282.8</v>
      </c>
      <c r="F71" s="16">
        <v>273.33</v>
      </c>
      <c r="G71" s="16">
        <f>12/9*C71</f>
        <v>309.98666666666668</v>
      </c>
      <c r="H71" s="8"/>
      <c r="I71" s="9"/>
      <c r="J71" s="9"/>
    </row>
    <row r="72" spans="1:10" x14ac:dyDescent="0.25">
      <c r="A72" s="22" t="s">
        <v>76</v>
      </c>
      <c r="B72" s="22"/>
      <c r="C72" s="16">
        <v>53.89</v>
      </c>
      <c r="D72" s="16">
        <v>63.92</v>
      </c>
      <c r="E72" s="16">
        <v>112.72</v>
      </c>
      <c r="F72" s="16">
        <v>76.52</v>
      </c>
      <c r="G72" s="16">
        <f>12/9*C72</f>
        <v>71.853333333333325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1" t="s">
        <v>60</v>
      </c>
      <c r="B75" s="28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254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71</v>
      </c>
      <c r="B78" s="1" t="s">
        <v>80</v>
      </c>
      <c r="C78" s="8"/>
      <c r="D78" s="8"/>
      <c r="E78" s="8"/>
      <c r="F78" s="8"/>
      <c r="G78" s="8"/>
      <c r="H78" s="8"/>
      <c r="I78" s="9"/>
      <c r="J78" s="9"/>
    </row>
    <row r="79" spans="1:10" x14ac:dyDescent="0.25">
      <c r="A79" s="3" t="s">
        <v>72</v>
      </c>
      <c r="B79" s="1" t="s">
        <v>81</v>
      </c>
      <c r="C79" s="8"/>
      <c r="D79" s="8"/>
      <c r="E79" s="8"/>
      <c r="F79" s="8"/>
      <c r="G79" s="8"/>
      <c r="H79" s="8"/>
      <c r="I79" s="9"/>
      <c r="J79" s="9"/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50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5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255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3536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600</v>
      </c>
      <c r="G9" s="10">
        <f t="shared" ref="G9:G47" si="0">SUM(C9:F9)</f>
        <v>600</v>
      </c>
      <c r="H9" s="16">
        <f t="shared" ref="H9:H47" si="1">ROUND(G9/3536,2)</f>
        <v>0.17</v>
      </c>
      <c r="I9" s="15">
        <f t="shared" ref="I9:I47" si="2">ROUND(G9/$G$48,3)</f>
        <v>1E-3</v>
      </c>
      <c r="J9" s="15">
        <f>ROUND(G9/775-1,2)</f>
        <v>-0.23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ROUND(G10/18-1,2)</f>
        <v>-1</v>
      </c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79</v>
      </c>
      <c r="F14" s="10"/>
      <c r="G14" s="10">
        <f t="shared" si="0"/>
        <v>79</v>
      </c>
      <c r="H14" s="16">
        <f t="shared" si="1"/>
        <v>0.02</v>
      </c>
      <c r="I14" s="15">
        <f t="shared" si="2"/>
        <v>0</v>
      </c>
      <c r="J14" s="15">
        <f>ROUND(G14/66-1,2)</f>
        <v>0.2</v>
      </c>
    </row>
    <row r="15" spans="1:10" x14ac:dyDescent="0.25">
      <c r="A15" s="1" t="s">
        <v>16</v>
      </c>
      <c r="B15" s="1" t="s">
        <v>19</v>
      </c>
      <c r="C15" s="10">
        <v>91770</v>
      </c>
      <c r="D15" s="10"/>
      <c r="E15" s="10">
        <v>910</v>
      </c>
      <c r="F15" s="10">
        <v>20</v>
      </c>
      <c r="G15" s="10">
        <f t="shared" si="0"/>
        <v>92700</v>
      </c>
      <c r="H15" s="16">
        <f t="shared" si="1"/>
        <v>26.22</v>
      </c>
      <c r="I15" s="15">
        <f t="shared" si="2"/>
        <v>8.4000000000000005E-2</v>
      </c>
      <c r="J15" s="15">
        <f>ROUND(G15/93510-1,2)</f>
        <v>-0.01</v>
      </c>
    </row>
    <row r="16" spans="1:10" x14ac:dyDescent="0.25">
      <c r="A16" s="1" t="s">
        <v>16</v>
      </c>
      <c r="B16" s="1" t="s">
        <v>20</v>
      </c>
      <c r="C16" s="10">
        <v>127290</v>
      </c>
      <c r="D16" s="10"/>
      <c r="E16" s="10"/>
      <c r="F16" s="10"/>
      <c r="G16" s="10">
        <f t="shared" si="0"/>
        <v>127290</v>
      </c>
      <c r="H16" s="16">
        <f t="shared" si="1"/>
        <v>36</v>
      </c>
      <c r="I16" s="15">
        <f t="shared" si="2"/>
        <v>0.115</v>
      </c>
      <c r="J16" s="15">
        <f>ROUND(G16/122150-1,2)</f>
        <v>0.04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161</v>
      </c>
      <c r="F17" s="10"/>
      <c r="G17" s="10">
        <f t="shared" si="0"/>
        <v>161</v>
      </c>
      <c r="H17" s="16">
        <f t="shared" si="1"/>
        <v>0.05</v>
      </c>
      <c r="I17" s="15">
        <f t="shared" si="2"/>
        <v>0</v>
      </c>
      <c r="J17" s="15">
        <f>ROUND(G17/159-1,2)</f>
        <v>0.01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288</v>
      </c>
      <c r="F18" s="10"/>
      <c r="G18" s="10">
        <f t="shared" si="0"/>
        <v>288</v>
      </c>
      <c r="H18" s="16">
        <f t="shared" si="1"/>
        <v>0.08</v>
      </c>
      <c r="I18" s="15">
        <f t="shared" si="2"/>
        <v>0</v>
      </c>
      <c r="J18" s="15">
        <f>ROUND(G18/239-1,2)</f>
        <v>0.21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1900</v>
      </c>
      <c r="F19" s="10"/>
      <c r="G19" s="10">
        <f t="shared" si="0"/>
        <v>1900</v>
      </c>
      <c r="H19" s="16">
        <f t="shared" si="1"/>
        <v>0.54</v>
      </c>
      <c r="I19" s="15">
        <f t="shared" si="2"/>
        <v>2E-3</v>
      </c>
      <c r="J19" s="15">
        <f>ROUND(G19/700-1,2)</f>
        <v>1.71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69</v>
      </c>
      <c r="G20" s="10">
        <f t="shared" si="0"/>
        <v>69</v>
      </c>
      <c r="H20" s="16">
        <f t="shared" si="1"/>
        <v>0.02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251</v>
      </c>
      <c r="G21" s="10">
        <f t="shared" si="0"/>
        <v>251</v>
      </c>
      <c r="H21" s="16">
        <f t="shared" si="1"/>
        <v>7.0000000000000007E-2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245</v>
      </c>
      <c r="G22" s="10">
        <f t="shared" si="0"/>
        <v>245</v>
      </c>
      <c r="H22" s="16">
        <f t="shared" si="1"/>
        <v>7.0000000000000007E-2</v>
      </c>
      <c r="I22" s="15">
        <f t="shared" si="2"/>
        <v>0</v>
      </c>
      <c r="J22" s="15">
        <f>ROUND(G22/90-1,2)</f>
        <v>1.72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35260</v>
      </c>
      <c r="F23" s="10"/>
      <c r="G23" s="10">
        <f t="shared" si="0"/>
        <v>35260</v>
      </c>
      <c r="H23" s="16">
        <f t="shared" si="1"/>
        <v>9.9700000000000006</v>
      </c>
      <c r="I23" s="15">
        <f t="shared" si="2"/>
        <v>3.2000000000000001E-2</v>
      </c>
      <c r="J23" s="15">
        <f>ROUND(G23/24100-1,2)</f>
        <v>0.46</v>
      </c>
    </row>
    <row r="24" spans="1:10" x14ac:dyDescent="0.25">
      <c r="A24" s="1" t="s">
        <v>16</v>
      </c>
      <c r="B24" s="1" t="s">
        <v>24</v>
      </c>
      <c r="C24" s="10">
        <v>187200</v>
      </c>
      <c r="D24" s="10"/>
      <c r="E24" s="10">
        <v>6980</v>
      </c>
      <c r="F24" s="10">
        <v>1660</v>
      </c>
      <c r="G24" s="10">
        <f t="shared" si="0"/>
        <v>195840</v>
      </c>
      <c r="H24" s="16">
        <f t="shared" si="1"/>
        <v>55.38</v>
      </c>
      <c r="I24" s="15">
        <f t="shared" si="2"/>
        <v>0.17799999999999999</v>
      </c>
      <c r="J24" s="15">
        <f>ROUND(G24/198240-1,2)</f>
        <v>-0.01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2080</v>
      </c>
      <c r="F25" s="10"/>
      <c r="G25" s="10">
        <f t="shared" si="0"/>
        <v>2080</v>
      </c>
      <c r="H25" s="16">
        <f t="shared" si="1"/>
        <v>0.59</v>
      </c>
      <c r="I25" s="15">
        <f t="shared" si="2"/>
        <v>2E-3</v>
      </c>
      <c r="J25" s="15"/>
    </row>
    <row r="26" spans="1:10" x14ac:dyDescent="0.25">
      <c r="A26" s="1" t="s">
        <v>16</v>
      </c>
      <c r="B26" s="1" t="s">
        <v>26</v>
      </c>
      <c r="C26" s="10">
        <v>198435</v>
      </c>
      <c r="D26" s="10"/>
      <c r="E26" s="10"/>
      <c r="F26" s="10">
        <v>705</v>
      </c>
      <c r="G26" s="10">
        <f t="shared" si="0"/>
        <v>199140</v>
      </c>
      <c r="H26" s="16">
        <f t="shared" si="1"/>
        <v>56.32</v>
      </c>
      <c r="I26" s="15">
        <f t="shared" si="2"/>
        <v>0.18099999999999999</v>
      </c>
      <c r="J26" s="15">
        <f>ROUND(G26/201150-1,2)</f>
        <v>-0.01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919</v>
      </c>
      <c r="F27" s="10"/>
      <c r="G27" s="10">
        <f t="shared" si="0"/>
        <v>919</v>
      </c>
      <c r="H27" s="16">
        <f t="shared" si="1"/>
        <v>0.26</v>
      </c>
      <c r="I27" s="15">
        <f t="shared" si="2"/>
        <v>1E-3</v>
      </c>
      <c r="J27" s="15">
        <f>ROUND(G27/811-1,2)</f>
        <v>0.13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381</v>
      </c>
      <c r="F28" s="10"/>
      <c r="G28" s="10">
        <f t="shared" si="0"/>
        <v>381</v>
      </c>
      <c r="H28" s="16">
        <f t="shared" si="1"/>
        <v>0.11</v>
      </c>
      <c r="I28" s="15">
        <f t="shared" si="2"/>
        <v>0</v>
      </c>
      <c r="J28" s="15">
        <f>ROUND(G28/322-1,2)</f>
        <v>0.18</v>
      </c>
    </row>
    <row r="29" spans="1:10" x14ac:dyDescent="0.25">
      <c r="A29" s="1" t="s">
        <v>16</v>
      </c>
      <c r="B29" s="1" t="s">
        <v>42</v>
      </c>
      <c r="C29" s="10"/>
      <c r="D29" s="10"/>
      <c r="E29" s="10">
        <v>198</v>
      </c>
      <c r="F29" s="10"/>
      <c r="G29" s="10">
        <f t="shared" si="0"/>
        <v>198</v>
      </c>
      <c r="H29" s="16">
        <f t="shared" si="1"/>
        <v>0.06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29</v>
      </c>
      <c r="C30" s="10"/>
      <c r="D30" s="10"/>
      <c r="E30" s="10">
        <v>1290</v>
      </c>
      <c r="F30" s="10"/>
      <c r="G30" s="10">
        <f t="shared" si="0"/>
        <v>1290</v>
      </c>
      <c r="H30" s="16">
        <f t="shared" si="1"/>
        <v>0.36</v>
      </c>
      <c r="I30" s="15">
        <f t="shared" si="2"/>
        <v>1E-3</v>
      </c>
      <c r="J30" s="15">
        <f>ROUND(G30/1970-1,2)</f>
        <v>-0.35</v>
      </c>
    </row>
    <row r="31" spans="1:10" x14ac:dyDescent="0.25">
      <c r="A31" s="1" t="s">
        <v>16</v>
      </c>
      <c r="B31" s="1" t="s">
        <v>30</v>
      </c>
      <c r="C31" s="10"/>
      <c r="D31" s="10"/>
      <c r="E31" s="10">
        <v>970</v>
      </c>
      <c r="F31" s="10"/>
      <c r="G31" s="10">
        <f t="shared" si="0"/>
        <v>970</v>
      </c>
      <c r="H31" s="16">
        <f t="shared" si="1"/>
        <v>0.27</v>
      </c>
      <c r="I31" s="15">
        <f t="shared" si="2"/>
        <v>1E-3</v>
      </c>
      <c r="J31" s="15">
        <f>ROUND(G31/890-1,2)</f>
        <v>0.09</v>
      </c>
    </row>
    <row r="32" spans="1:10" x14ac:dyDescent="0.25">
      <c r="A32" s="1" t="s">
        <v>16</v>
      </c>
      <c r="B32" s="1" t="s">
        <v>31</v>
      </c>
      <c r="C32" s="10"/>
      <c r="D32" s="10"/>
      <c r="E32" s="10">
        <v>360</v>
      </c>
      <c r="F32" s="10"/>
      <c r="G32" s="10">
        <f t="shared" si="0"/>
        <v>360</v>
      </c>
      <c r="H32" s="16">
        <f t="shared" si="1"/>
        <v>0.1</v>
      </c>
      <c r="I32" s="15">
        <f t="shared" si="2"/>
        <v>0</v>
      </c>
      <c r="J32" s="15">
        <f>ROUND(G32/350-1,2)</f>
        <v>0.03</v>
      </c>
    </row>
    <row r="33" spans="1:10" x14ac:dyDescent="0.25">
      <c r="A33" s="1" t="s">
        <v>16</v>
      </c>
      <c r="B33" s="1" t="s">
        <v>32</v>
      </c>
      <c r="C33" s="10"/>
      <c r="D33" s="10"/>
      <c r="E33" s="10">
        <v>1720</v>
      </c>
      <c r="F33" s="10"/>
      <c r="G33" s="10">
        <f t="shared" si="0"/>
        <v>1720</v>
      </c>
      <c r="H33" s="16">
        <f t="shared" si="1"/>
        <v>0.49</v>
      </c>
      <c r="I33" s="15">
        <f t="shared" si="2"/>
        <v>2E-3</v>
      </c>
      <c r="J33" s="15">
        <f>ROUND(G33/1145-1,2)</f>
        <v>0.5</v>
      </c>
    </row>
    <row r="34" spans="1:10" x14ac:dyDescent="0.25">
      <c r="A34" s="1" t="s">
        <v>16</v>
      </c>
      <c r="B34" s="1" t="s">
        <v>33</v>
      </c>
      <c r="C34" s="10"/>
      <c r="D34" s="10">
        <v>230</v>
      </c>
      <c r="E34" s="10">
        <v>75</v>
      </c>
      <c r="F34" s="10"/>
      <c r="G34" s="10">
        <f t="shared" si="0"/>
        <v>305</v>
      </c>
      <c r="H34" s="16">
        <f t="shared" si="1"/>
        <v>0.09</v>
      </c>
      <c r="I34" s="15">
        <f t="shared" si="2"/>
        <v>0</v>
      </c>
      <c r="J34" s="15">
        <f>ROUND(G34/360-1,2)</f>
        <v>-0.15</v>
      </c>
    </row>
    <row r="35" spans="1:10" x14ac:dyDescent="0.25">
      <c r="A35" s="1" t="s">
        <v>16</v>
      </c>
      <c r="B35" s="1" t="s">
        <v>35</v>
      </c>
      <c r="C35" s="10"/>
      <c r="D35" s="10">
        <v>300</v>
      </c>
      <c r="E35" s="10"/>
      <c r="F35" s="10"/>
      <c r="G35" s="10">
        <f t="shared" si="0"/>
        <v>300</v>
      </c>
      <c r="H35" s="16">
        <f t="shared" si="1"/>
        <v>0.08</v>
      </c>
      <c r="I35" s="15">
        <f t="shared" si="2"/>
        <v>0</v>
      </c>
      <c r="J35" s="15">
        <f>ROUND(G35/730-1,2)</f>
        <v>-0.59</v>
      </c>
    </row>
    <row r="36" spans="1:10" x14ac:dyDescent="0.25">
      <c r="A36" s="1" t="s">
        <v>16</v>
      </c>
      <c r="B36" s="1" t="s">
        <v>37</v>
      </c>
      <c r="C36" s="10"/>
      <c r="D36" s="10"/>
      <c r="E36" s="10">
        <v>2150</v>
      </c>
      <c r="F36" s="10"/>
      <c r="G36" s="10">
        <f t="shared" si="0"/>
        <v>2150</v>
      </c>
      <c r="H36" s="16">
        <f t="shared" si="1"/>
        <v>0.61</v>
      </c>
      <c r="I36" s="15">
        <f t="shared" si="2"/>
        <v>2E-3</v>
      </c>
      <c r="J36" s="15">
        <f>ROUND(G36/3800-1,2)</f>
        <v>-0.43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51510</v>
      </c>
      <c r="F37" s="10"/>
      <c r="G37" s="10">
        <f t="shared" si="0"/>
        <v>51510</v>
      </c>
      <c r="H37" s="16">
        <f t="shared" si="1"/>
        <v>14.57</v>
      </c>
      <c r="I37" s="15">
        <f t="shared" si="2"/>
        <v>4.7E-2</v>
      </c>
      <c r="J37" s="15">
        <f>ROUND(G37/44080-1,2)</f>
        <v>0.17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3705</v>
      </c>
      <c r="F38" s="10"/>
      <c r="G38" s="10">
        <f t="shared" si="0"/>
        <v>3705</v>
      </c>
      <c r="H38" s="16">
        <f t="shared" si="1"/>
        <v>1.05</v>
      </c>
      <c r="I38" s="15">
        <f t="shared" si="2"/>
        <v>3.0000000000000001E-3</v>
      </c>
      <c r="J38" s="15">
        <f>ROUND(G38/2775-1,2)</f>
        <v>0.34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13450</v>
      </c>
      <c r="F39" s="10"/>
      <c r="G39" s="10">
        <f t="shared" si="0"/>
        <v>13450</v>
      </c>
      <c r="H39" s="16">
        <f t="shared" si="1"/>
        <v>3.8</v>
      </c>
      <c r="I39" s="15">
        <f t="shared" si="2"/>
        <v>1.2E-2</v>
      </c>
      <c r="J39" s="15">
        <f>ROUND(G39/12440-1,2)</f>
        <v>0.08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89820</v>
      </c>
      <c r="F40" s="10">
        <v>3860</v>
      </c>
      <c r="G40" s="10">
        <f t="shared" si="0"/>
        <v>93680</v>
      </c>
      <c r="H40" s="16">
        <f t="shared" si="1"/>
        <v>26.49</v>
      </c>
      <c r="I40" s="15">
        <f t="shared" si="2"/>
        <v>8.5000000000000006E-2</v>
      </c>
      <c r="J40" s="15">
        <f>ROUND(G40/72790-1,2)</f>
        <v>0.28999999999999998</v>
      </c>
    </row>
    <row r="41" spans="1:10" x14ac:dyDescent="0.25">
      <c r="A41" s="1" t="s">
        <v>16</v>
      </c>
      <c r="B41" s="1" t="s">
        <v>34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ROUND(G41/910-1,2)</f>
        <v>-1</v>
      </c>
    </row>
    <row r="42" spans="1:10" x14ac:dyDescent="0.25">
      <c r="A42" s="1" t="s">
        <v>16</v>
      </c>
      <c r="B42" s="1" t="s">
        <v>36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ROUND(G42/1800-1,2)</f>
        <v>-1</v>
      </c>
    </row>
    <row r="43" spans="1:10" x14ac:dyDescent="0.25">
      <c r="A43" s="1" t="s">
        <v>16</v>
      </c>
      <c r="B43" s="1" t="s">
        <v>43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ROUND(G43/6530-1,2)</f>
        <v>-1</v>
      </c>
    </row>
    <row r="44" spans="1:10" x14ac:dyDescent="0.25">
      <c r="A44" s="1" t="s">
        <v>16</v>
      </c>
      <c r="B44" s="1" t="s">
        <v>145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222420</v>
      </c>
      <c r="D45" s="10"/>
      <c r="E45" s="10"/>
      <c r="F45" s="10">
        <v>280</v>
      </c>
      <c r="G45" s="10">
        <f t="shared" si="0"/>
        <v>222700</v>
      </c>
      <c r="H45" s="16">
        <f t="shared" si="1"/>
        <v>62.98</v>
      </c>
      <c r="I45" s="15">
        <f t="shared" si="2"/>
        <v>0.20200000000000001</v>
      </c>
      <c r="J45" s="15">
        <f>ROUND(G45/226920-1,2)</f>
        <v>-0.02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15680</v>
      </c>
      <c r="G46" s="10">
        <f t="shared" si="0"/>
        <v>15680</v>
      </c>
      <c r="H46" s="16">
        <f t="shared" si="1"/>
        <v>4.43</v>
      </c>
      <c r="I46" s="15">
        <f t="shared" si="2"/>
        <v>1.4E-2</v>
      </c>
      <c r="J46" s="15">
        <f>ROUND(G46/21260-1,2)</f>
        <v>-0.26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37480</v>
      </c>
      <c r="F47" s="10"/>
      <c r="G47" s="10">
        <f t="shared" si="0"/>
        <v>37480</v>
      </c>
      <c r="H47" s="16">
        <f t="shared" si="1"/>
        <v>10.6</v>
      </c>
      <c r="I47" s="15">
        <f t="shared" si="2"/>
        <v>3.4000000000000002E-2</v>
      </c>
      <c r="J47" s="15">
        <f>ROUND(G47/32380-1,2)</f>
        <v>0.16</v>
      </c>
    </row>
    <row r="48" spans="1:10" x14ac:dyDescent="0.25">
      <c r="A48" s="23" t="s">
        <v>12</v>
      </c>
      <c r="B48" s="23"/>
      <c r="C48" s="11">
        <f t="shared" ref="C48:H48" si="3">SUM(C8:C47)</f>
        <v>827115</v>
      </c>
      <c r="D48" s="11">
        <f t="shared" si="3"/>
        <v>530</v>
      </c>
      <c r="E48" s="11">
        <f t="shared" si="3"/>
        <v>251686</v>
      </c>
      <c r="F48" s="11">
        <f t="shared" si="3"/>
        <v>23370</v>
      </c>
      <c r="G48" s="11">
        <f t="shared" si="3"/>
        <v>1102701</v>
      </c>
      <c r="H48" s="14">
        <f t="shared" si="3"/>
        <v>311.85000000000014</v>
      </c>
      <c r="I48" s="17"/>
      <c r="J48" s="17"/>
    </row>
    <row r="49" spans="1:10" x14ac:dyDescent="0.25">
      <c r="A49" s="23" t="s">
        <v>14</v>
      </c>
      <c r="B49" s="23"/>
      <c r="C49" s="12">
        <f>ROUND(C48/G48,2)</f>
        <v>0.75</v>
      </c>
      <c r="D49" s="12">
        <f>ROUND(D48/G48,2)</f>
        <v>0</v>
      </c>
      <c r="E49" s="12">
        <f>ROUND(E48/G48,2)</f>
        <v>0.23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53</v>
      </c>
      <c r="B54" s="23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604695</v>
      </c>
      <c r="D55" s="10">
        <v>530</v>
      </c>
      <c r="E55" s="10">
        <v>214206</v>
      </c>
      <c r="F55" s="10">
        <v>6810</v>
      </c>
      <c r="G55" s="10">
        <f>SUM(C55:F55)</f>
        <v>826241</v>
      </c>
      <c r="H55" s="16">
        <f>ROUND(G55/3536,2)</f>
        <v>233.67</v>
      </c>
      <c r="I55" s="9"/>
      <c r="J55" s="9"/>
    </row>
    <row r="56" spans="1:10" x14ac:dyDescent="0.25">
      <c r="A56" s="22" t="s">
        <v>55</v>
      </c>
      <c r="B56" s="22"/>
      <c r="C56" s="10">
        <v>222420</v>
      </c>
      <c r="D56" s="10">
        <v>0</v>
      </c>
      <c r="E56" s="10">
        <v>37480</v>
      </c>
      <c r="F56" s="10">
        <v>15960</v>
      </c>
      <c r="G56" s="10">
        <f>SUM(C56:F56)</f>
        <v>275860</v>
      </c>
      <c r="H56" s="16">
        <f>ROUND(G56/3536,2)</f>
        <v>78.010000000000005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600</v>
      </c>
      <c r="G57" s="10">
        <f>SUM(C57:F57)</f>
        <v>600</v>
      </c>
      <c r="H57" s="16">
        <f>ROUND(G57/3536,2)</f>
        <v>0.17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57</v>
      </c>
      <c r="B62" s="23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ROUND(0.7856, 4)</f>
        <v>0.78559999999999997</v>
      </c>
      <c r="D63" s="15">
        <f>ROUND(0.7769, 4)</f>
        <v>0.77690000000000003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4" t="s">
        <v>64</v>
      </c>
      <c r="J63" s="24" t="s">
        <v>65</v>
      </c>
    </row>
    <row r="64" spans="1:10" x14ac:dyDescent="0.25">
      <c r="A64" s="22" t="s">
        <v>66</v>
      </c>
      <c r="B64" s="22"/>
      <c r="C64" s="15">
        <f>ROUND(0.7744, 4)</f>
        <v>0.77439999999999998</v>
      </c>
      <c r="D64" s="15">
        <f>ROUND(0.7651, 4)</f>
        <v>0.7651</v>
      </c>
      <c r="E64" s="15">
        <f>ROUND(0.7608, 4)</f>
        <v>0.76080000000000003</v>
      </c>
      <c r="F64" s="8"/>
      <c r="G64" s="14" t="s">
        <v>67</v>
      </c>
      <c r="H64" s="27"/>
      <c r="I64" s="25"/>
      <c r="J64" s="25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68</v>
      </c>
      <c r="B68" s="23"/>
      <c r="C68" s="14" t="s">
        <v>2</v>
      </c>
      <c r="D68" s="14" t="s">
        <v>256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62.98</v>
      </c>
      <c r="D69" s="16">
        <v>77.09</v>
      </c>
      <c r="E69" s="16">
        <v>89.58</v>
      </c>
      <c r="F69" s="16">
        <v>53.73</v>
      </c>
      <c r="G69" s="16">
        <f>12/9*C69</f>
        <v>83.973333333333329</v>
      </c>
      <c r="H69" s="8"/>
      <c r="I69" s="9"/>
      <c r="J69" s="9"/>
    </row>
    <row r="70" spans="1:10" x14ac:dyDescent="0.25">
      <c r="A70" s="22" t="s">
        <v>74</v>
      </c>
      <c r="B70" s="22"/>
      <c r="C70" s="16">
        <v>56.32</v>
      </c>
      <c r="D70" s="16">
        <v>71.67</v>
      </c>
      <c r="E70" s="16">
        <v>60.32</v>
      </c>
      <c r="F70" s="16">
        <v>61.62</v>
      </c>
      <c r="G70" s="16">
        <f>12/9*C70</f>
        <v>75.093333333333334</v>
      </c>
      <c r="H70" s="8"/>
      <c r="I70" s="9"/>
      <c r="J70" s="9"/>
    </row>
    <row r="71" spans="1:10" x14ac:dyDescent="0.25">
      <c r="A71" s="22" t="s">
        <v>75</v>
      </c>
      <c r="B71" s="22"/>
      <c r="C71" s="16">
        <v>233.67</v>
      </c>
      <c r="D71" s="16">
        <v>304.37</v>
      </c>
      <c r="E71" s="16">
        <v>282.8</v>
      </c>
      <c r="F71" s="16">
        <v>273.33</v>
      </c>
      <c r="G71" s="16">
        <f>12/9*C71</f>
        <v>311.55999999999995</v>
      </c>
      <c r="H71" s="8"/>
      <c r="I71" s="9"/>
      <c r="J71" s="9"/>
    </row>
    <row r="72" spans="1:10" x14ac:dyDescent="0.25">
      <c r="A72" s="22" t="s">
        <v>76</v>
      </c>
      <c r="B72" s="22"/>
      <c r="C72" s="1">
        <v>78.010000000000005</v>
      </c>
      <c r="D72" s="1">
        <v>99.31</v>
      </c>
      <c r="E72" s="1">
        <v>112.72</v>
      </c>
      <c r="F72" s="1">
        <v>76.52</v>
      </c>
      <c r="G72" s="1">
        <f>12/9*C72</f>
        <v>104.01333333333334</v>
      </c>
    </row>
    <row r="75" spans="1:10" x14ac:dyDescent="0.25">
      <c r="A75" s="21" t="s">
        <v>60</v>
      </c>
      <c r="B75" s="28"/>
    </row>
    <row r="76" spans="1:10" x14ac:dyDescent="0.25">
      <c r="A76" s="3" t="s">
        <v>77</v>
      </c>
      <c r="B76" s="1" t="s">
        <v>257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51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9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825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</v>
      </c>
      <c r="F9" s="10"/>
      <c r="G9" s="10">
        <f t="shared" ref="G9:G39" si="0">SUM(C9:F9)</f>
        <v>18</v>
      </c>
      <c r="H9" s="16">
        <f t="shared" ref="H9:H39" si="1">ROUND(G9/825,2)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21235</v>
      </c>
      <c r="D10" s="10"/>
      <c r="E10" s="10">
        <v>2375</v>
      </c>
      <c r="F10" s="10">
        <v>105</v>
      </c>
      <c r="G10" s="10">
        <f t="shared" si="0"/>
        <v>23715</v>
      </c>
      <c r="H10" s="16">
        <f t="shared" si="1"/>
        <v>28.75</v>
      </c>
      <c r="I10" s="15">
        <f t="shared" si="2"/>
        <v>8.1000000000000003E-2</v>
      </c>
      <c r="J10" s="15">
        <f>ROUND(G10/22253.46-1,2)</f>
        <v>7.0000000000000007E-2</v>
      </c>
    </row>
    <row r="11" spans="1:10" x14ac:dyDescent="0.25">
      <c r="A11" s="1" t="s">
        <v>16</v>
      </c>
      <c r="B11" s="1" t="s">
        <v>20</v>
      </c>
      <c r="C11" s="10">
        <v>32945</v>
      </c>
      <c r="D11" s="10"/>
      <c r="E11" s="10"/>
      <c r="F11" s="10"/>
      <c r="G11" s="10">
        <f t="shared" si="0"/>
        <v>32945</v>
      </c>
      <c r="H11" s="16">
        <f t="shared" si="1"/>
        <v>39.93</v>
      </c>
      <c r="I11" s="15">
        <f t="shared" si="2"/>
        <v>0.113</v>
      </c>
      <c r="J11" s="15">
        <f>ROUND(G11/36340-1,2)</f>
        <v>-0.09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36</v>
      </c>
      <c r="F12" s="10"/>
      <c r="G12" s="10">
        <f t="shared" si="0"/>
        <v>36</v>
      </c>
      <c r="H12" s="16">
        <f t="shared" si="1"/>
        <v>0.04</v>
      </c>
      <c r="I12" s="15">
        <f t="shared" si="2"/>
        <v>0</v>
      </c>
      <c r="J12" s="15">
        <f>ROUND(G12/38.75-1,2)</f>
        <v>-7.0000000000000007E-2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300</v>
      </c>
      <c r="F13" s="10"/>
      <c r="G13" s="10">
        <f t="shared" si="0"/>
        <v>300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35818</v>
      </c>
      <c r="F14" s="10"/>
      <c r="G14" s="10">
        <f t="shared" si="0"/>
        <v>35818</v>
      </c>
      <c r="H14" s="16">
        <f t="shared" si="1"/>
        <v>43.42</v>
      </c>
      <c r="I14" s="15">
        <f t="shared" si="2"/>
        <v>0.123</v>
      </c>
      <c r="J14" s="15">
        <f>ROUND(G14/8840.82-1,2)</f>
        <v>3.05</v>
      </c>
    </row>
    <row r="15" spans="1:10" x14ac:dyDescent="0.25">
      <c r="A15" s="1" t="s">
        <v>16</v>
      </c>
      <c r="B15" s="1" t="s">
        <v>24</v>
      </c>
      <c r="C15" s="10">
        <v>29230</v>
      </c>
      <c r="D15" s="10"/>
      <c r="E15" s="10">
        <v>6544</v>
      </c>
      <c r="F15" s="10">
        <v>40</v>
      </c>
      <c r="G15" s="10">
        <f t="shared" si="0"/>
        <v>35814</v>
      </c>
      <c r="H15" s="16">
        <f t="shared" si="1"/>
        <v>43.41</v>
      </c>
      <c r="I15" s="15">
        <f t="shared" si="2"/>
        <v>0.123</v>
      </c>
      <c r="J15" s="15">
        <f>ROUND(G15/30452.94-1,2)</f>
        <v>0.18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1483</v>
      </c>
      <c r="F16" s="10"/>
      <c r="G16" s="10">
        <f t="shared" si="0"/>
        <v>1483</v>
      </c>
      <c r="H16" s="16">
        <f t="shared" si="1"/>
        <v>1.8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33880</v>
      </c>
      <c r="D17" s="10"/>
      <c r="E17" s="10"/>
      <c r="F17" s="10">
        <v>240</v>
      </c>
      <c r="G17" s="10">
        <f t="shared" si="0"/>
        <v>34120</v>
      </c>
      <c r="H17" s="16">
        <f t="shared" si="1"/>
        <v>41.36</v>
      </c>
      <c r="I17" s="15">
        <f t="shared" si="2"/>
        <v>0.11700000000000001</v>
      </c>
      <c r="J17" s="15">
        <f>ROUND(G17/30840-1,2)</f>
        <v>0.11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340</v>
      </c>
      <c r="F18" s="10"/>
      <c r="G18" s="10">
        <f t="shared" si="0"/>
        <v>340</v>
      </c>
      <c r="H18" s="16">
        <f t="shared" si="1"/>
        <v>0.41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183</v>
      </c>
      <c r="F19" s="10"/>
      <c r="G19" s="10">
        <f t="shared" si="0"/>
        <v>183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852</v>
      </c>
      <c r="F20" s="10"/>
      <c r="G20" s="10">
        <f t="shared" si="0"/>
        <v>852</v>
      </c>
      <c r="H20" s="16">
        <f t="shared" si="1"/>
        <v>1.03</v>
      </c>
      <c r="I20" s="15">
        <f t="shared" si="2"/>
        <v>3.0000000000000001E-3</v>
      </c>
      <c r="J20" s="15">
        <f>ROUND(G20/202.5-1,2)</f>
        <v>3.21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171</v>
      </c>
      <c r="F21" s="10"/>
      <c r="G21" s="10">
        <f t="shared" si="0"/>
        <v>171</v>
      </c>
      <c r="H21" s="16">
        <f t="shared" si="1"/>
        <v>0.21</v>
      </c>
      <c r="I21" s="15">
        <f t="shared" si="2"/>
        <v>1E-3</v>
      </c>
      <c r="J21" s="15">
        <f>ROUND(G21/61.55-1,2)</f>
        <v>1.78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400</v>
      </c>
      <c r="F22" s="10"/>
      <c r="G22" s="10">
        <f t="shared" si="0"/>
        <v>400</v>
      </c>
      <c r="H22" s="16">
        <f t="shared" si="1"/>
        <v>0.48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102</v>
      </c>
      <c r="F23" s="10"/>
      <c r="G23" s="10">
        <f t="shared" si="0"/>
        <v>102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120</v>
      </c>
      <c r="F24" s="10"/>
      <c r="G24" s="10">
        <f t="shared" si="0"/>
        <v>120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1307</v>
      </c>
      <c r="F25" s="10"/>
      <c r="G25" s="10">
        <f t="shared" si="0"/>
        <v>1307</v>
      </c>
      <c r="H25" s="16">
        <f t="shared" si="1"/>
        <v>1.58</v>
      </c>
      <c r="I25" s="15">
        <f t="shared" si="2"/>
        <v>4.0000000000000001E-3</v>
      </c>
      <c r="J25" s="15">
        <f>ROUND(G25/70.97-1,2)</f>
        <v>17.420000000000002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1091</v>
      </c>
      <c r="F26" s="10"/>
      <c r="G26" s="10">
        <f t="shared" si="0"/>
        <v>1091</v>
      </c>
      <c r="H26" s="16">
        <f t="shared" si="1"/>
        <v>1.32</v>
      </c>
      <c r="I26" s="15">
        <f t="shared" si="2"/>
        <v>4.0000000000000001E-3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24285</v>
      </c>
      <c r="F27" s="10"/>
      <c r="G27" s="10">
        <f t="shared" si="0"/>
        <v>24285</v>
      </c>
      <c r="H27" s="16">
        <f t="shared" si="1"/>
        <v>29.44</v>
      </c>
      <c r="I27" s="15">
        <f t="shared" si="2"/>
        <v>8.3000000000000004E-2</v>
      </c>
      <c r="J27" s="15">
        <f>ROUND(G27/9172.73-1,2)</f>
        <v>1.65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8637</v>
      </c>
      <c r="F28" s="10"/>
      <c r="G28" s="10">
        <f t="shared" si="0"/>
        <v>8637</v>
      </c>
      <c r="H28" s="16">
        <f t="shared" si="1"/>
        <v>10.47</v>
      </c>
      <c r="I28" s="15">
        <f t="shared" si="2"/>
        <v>0.03</v>
      </c>
      <c r="J28" s="15">
        <f>ROUND(G28/4348.57-1,2)</f>
        <v>0.99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3971</v>
      </c>
      <c r="F29" s="10"/>
      <c r="G29" s="10">
        <f t="shared" si="0"/>
        <v>3971</v>
      </c>
      <c r="H29" s="16">
        <f t="shared" si="1"/>
        <v>4.8099999999999996</v>
      </c>
      <c r="I29" s="15">
        <f t="shared" si="2"/>
        <v>1.4E-2</v>
      </c>
      <c r="J29" s="15">
        <f>ROUND(G29/974.29-1,2)</f>
        <v>3.08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ROUND(G30/340.21-1,2)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72200</v>
      </c>
      <c r="D36" s="10"/>
      <c r="E36" s="10"/>
      <c r="F36" s="10">
        <v>280</v>
      </c>
      <c r="G36" s="10">
        <f t="shared" si="0"/>
        <v>72480</v>
      </c>
      <c r="H36" s="16">
        <f t="shared" si="1"/>
        <v>87.85</v>
      </c>
      <c r="I36" s="15">
        <f t="shared" si="2"/>
        <v>0.249</v>
      </c>
      <c r="J36" s="15">
        <f>ROUND(G36/75610-1,2)</f>
        <v>-0.04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13001</v>
      </c>
      <c r="F37" s="10"/>
      <c r="G37" s="10">
        <f t="shared" si="0"/>
        <v>13001</v>
      </c>
      <c r="H37" s="16">
        <f t="shared" si="1"/>
        <v>15.76</v>
      </c>
      <c r="I37" s="15">
        <f t="shared" si="2"/>
        <v>4.4999999999999998E-2</v>
      </c>
      <c r="J37" s="15">
        <f>ROUND(G37/6217.94-1,2)</f>
        <v>1.0900000000000001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189490</v>
      </c>
      <c r="D40" s="11">
        <f t="shared" si="3"/>
        <v>0</v>
      </c>
      <c r="E40" s="11">
        <f t="shared" si="3"/>
        <v>101034</v>
      </c>
      <c r="F40" s="11">
        <f t="shared" si="3"/>
        <v>665</v>
      </c>
      <c r="G40" s="11">
        <f t="shared" si="3"/>
        <v>291189</v>
      </c>
      <c r="H40" s="14">
        <f t="shared" si="3"/>
        <v>352.94000000000005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0.65</v>
      </c>
      <c r="D41" s="12">
        <f>ROUND(D40/G40,2)</f>
        <v>0</v>
      </c>
      <c r="E41" s="12">
        <f>ROUND(E40/G40,2)</f>
        <v>0.35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117290</v>
      </c>
      <c r="D47" s="10">
        <v>0</v>
      </c>
      <c r="E47" s="10">
        <v>88033</v>
      </c>
      <c r="F47" s="10">
        <v>385</v>
      </c>
      <c r="G47" s="10">
        <f>SUM(C47:F47)</f>
        <v>205708</v>
      </c>
      <c r="H47" s="16">
        <f>ROUND(G47/825,2)</f>
        <v>249.34</v>
      </c>
      <c r="I47" s="9"/>
      <c r="J47" s="9"/>
    </row>
    <row r="48" spans="1:10" x14ac:dyDescent="0.25">
      <c r="A48" s="22" t="s">
        <v>55</v>
      </c>
      <c r="B48" s="22"/>
      <c r="C48" s="10">
        <v>72200</v>
      </c>
      <c r="D48" s="10">
        <v>0</v>
      </c>
      <c r="E48" s="10">
        <v>13001</v>
      </c>
      <c r="F48" s="10">
        <v>280</v>
      </c>
      <c r="G48" s="10">
        <f>SUM(C48:F48)</f>
        <v>85481</v>
      </c>
      <c r="H48" s="16">
        <f>ROUND(G48/825,2)</f>
        <v>103.61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ROUND(G49/825,2)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ROUND(0.7145, 4)</f>
        <v>0.71450000000000002</v>
      </c>
      <c r="D55" s="15">
        <f>ROUND(0.6227, 4)</f>
        <v>0.62270000000000003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ROUND(0.68, 4)</f>
        <v>0.68</v>
      </c>
      <c r="D56" s="15">
        <f>ROUND(0.5833, 4)</f>
        <v>0.58330000000000004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259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87.85</v>
      </c>
      <c r="D61" s="16">
        <v>96.94</v>
      </c>
      <c r="E61" s="16">
        <v>89.58</v>
      </c>
      <c r="F61" s="16">
        <v>53.73</v>
      </c>
      <c r="G61" s="16">
        <f>12/9*C61</f>
        <v>117.13333333333333</v>
      </c>
      <c r="H61" s="8"/>
      <c r="I61" s="9"/>
      <c r="J61" s="9"/>
    </row>
    <row r="62" spans="1:10" x14ac:dyDescent="0.25">
      <c r="A62" s="22" t="s">
        <v>74</v>
      </c>
      <c r="B62" s="22"/>
      <c r="C62" s="16">
        <v>41.36</v>
      </c>
      <c r="D62" s="16">
        <v>47.9</v>
      </c>
      <c r="E62" s="16">
        <v>60.32</v>
      </c>
      <c r="F62" s="16">
        <v>61.62</v>
      </c>
      <c r="G62" s="16">
        <f>12/9*C62</f>
        <v>55.146666666666661</v>
      </c>
      <c r="H62" s="8"/>
      <c r="I62" s="9"/>
      <c r="J62" s="9"/>
    </row>
    <row r="63" spans="1:10" x14ac:dyDescent="0.25">
      <c r="A63" s="22" t="s">
        <v>75</v>
      </c>
      <c r="B63" s="22"/>
      <c r="C63" s="16">
        <v>249.34</v>
      </c>
      <c r="D63" s="16">
        <v>254.07</v>
      </c>
      <c r="E63" s="16">
        <v>282.8</v>
      </c>
      <c r="F63" s="16">
        <v>273.33</v>
      </c>
      <c r="G63" s="16">
        <f>12/9*C63</f>
        <v>332.45333333333332</v>
      </c>
      <c r="H63" s="8"/>
      <c r="I63" s="9"/>
      <c r="J63" s="9"/>
    </row>
    <row r="64" spans="1:10" x14ac:dyDescent="0.25">
      <c r="A64" s="22" t="s">
        <v>76</v>
      </c>
      <c r="B64" s="22"/>
      <c r="C64" s="16">
        <v>103.61</v>
      </c>
      <c r="D64" s="16">
        <v>113.07</v>
      </c>
      <c r="E64" s="16">
        <v>112.72</v>
      </c>
      <c r="F64" s="16">
        <v>76.52</v>
      </c>
      <c r="G64" s="16">
        <f>12/9*C64</f>
        <v>138.14666666666665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260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2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261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3916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200</v>
      </c>
      <c r="G9" s="10">
        <f t="shared" ref="G9:G43" si="0">SUM(C9:F9)</f>
        <v>200</v>
      </c>
      <c r="H9" s="16">
        <f t="shared" ref="H9:H43" si="1">ROUND(G9/3916,2)</f>
        <v>0.05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60</v>
      </c>
      <c r="F12" s="10"/>
      <c r="G12" s="10">
        <f t="shared" si="0"/>
        <v>60</v>
      </c>
      <c r="H12" s="16">
        <f t="shared" si="1"/>
        <v>0.02</v>
      </c>
      <c r="I12" s="15">
        <f t="shared" si="2"/>
        <v>0</v>
      </c>
      <c r="J12" s="15">
        <f>ROUND(G12/55-1,2)</f>
        <v>0.09</v>
      </c>
    </row>
    <row r="13" spans="1:10" x14ac:dyDescent="0.25">
      <c r="A13" s="1" t="s">
        <v>16</v>
      </c>
      <c r="B13" s="1" t="s">
        <v>19</v>
      </c>
      <c r="C13" s="10">
        <v>98230</v>
      </c>
      <c r="D13" s="10"/>
      <c r="E13" s="10">
        <v>6220</v>
      </c>
      <c r="F13" s="10">
        <v>60</v>
      </c>
      <c r="G13" s="10">
        <f t="shared" si="0"/>
        <v>104510</v>
      </c>
      <c r="H13" s="16">
        <f t="shared" si="1"/>
        <v>26.69</v>
      </c>
      <c r="I13" s="15">
        <f t="shared" si="2"/>
        <v>0.106</v>
      </c>
      <c r="J13" s="15">
        <f>ROUND(G13/96400-1,2)</f>
        <v>0.08</v>
      </c>
    </row>
    <row r="14" spans="1:10" x14ac:dyDescent="0.25">
      <c r="A14" s="1" t="s">
        <v>16</v>
      </c>
      <c r="B14" s="1" t="s">
        <v>20</v>
      </c>
      <c r="C14" s="10">
        <v>125660</v>
      </c>
      <c r="D14" s="10"/>
      <c r="E14" s="10"/>
      <c r="F14" s="10"/>
      <c r="G14" s="10">
        <f t="shared" si="0"/>
        <v>125660</v>
      </c>
      <c r="H14" s="16">
        <f t="shared" si="1"/>
        <v>32.090000000000003</v>
      </c>
      <c r="I14" s="15">
        <f t="shared" si="2"/>
        <v>0.127</v>
      </c>
      <c r="J14" s="15">
        <f>ROUND(G14/112330-1,2)</f>
        <v>0.12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202</v>
      </c>
      <c r="F15" s="10"/>
      <c r="G15" s="10">
        <f t="shared" si="0"/>
        <v>202</v>
      </c>
      <c r="H15" s="16">
        <f t="shared" si="1"/>
        <v>0.05</v>
      </c>
      <c r="I15" s="15">
        <f t="shared" si="2"/>
        <v>0</v>
      </c>
      <c r="J15" s="15">
        <f>ROUND(G15/208-1,2)</f>
        <v>-0.03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297</v>
      </c>
      <c r="F16" s="10"/>
      <c r="G16" s="10">
        <f t="shared" si="0"/>
        <v>297</v>
      </c>
      <c r="H16" s="16">
        <f t="shared" si="1"/>
        <v>0.08</v>
      </c>
      <c r="I16" s="15">
        <f t="shared" si="2"/>
        <v>0</v>
      </c>
      <c r="J16" s="15">
        <f>ROUND(G16/271-1,2)</f>
        <v>0.1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2400</v>
      </c>
      <c r="F17" s="10"/>
      <c r="G17" s="10">
        <f t="shared" si="0"/>
        <v>2400</v>
      </c>
      <c r="H17" s="16">
        <f t="shared" si="1"/>
        <v>0.61</v>
      </c>
      <c r="I17" s="15">
        <f t="shared" si="2"/>
        <v>2E-3</v>
      </c>
      <c r="J17" s="15">
        <f>ROUND(G17/2900-1,2)</f>
        <v>-0.17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142</v>
      </c>
      <c r="G18" s="10">
        <f t="shared" si="0"/>
        <v>142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55820</v>
      </c>
      <c r="F19" s="10"/>
      <c r="G19" s="10">
        <f t="shared" si="0"/>
        <v>55820</v>
      </c>
      <c r="H19" s="16">
        <f t="shared" si="1"/>
        <v>14.25</v>
      </c>
      <c r="I19" s="15">
        <f t="shared" si="2"/>
        <v>5.6000000000000001E-2</v>
      </c>
      <c r="J19" s="15">
        <f>ROUND(G19/54140-1,2)</f>
        <v>0.03</v>
      </c>
    </row>
    <row r="20" spans="1:10" x14ac:dyDescent="0.25">
      <c r="A20" s="1" t="s">
        <v>16</v>
      </c>
      <c r="B20" s="1" t="s">
        <v>24</v>
      </c>
      <c r="C20" s="10">
        <v>126000</v>
      </c>
      <c r="D20" s="10"/>
      <c r="E20" s="10">
        <v>18380</v>
      </c>
      <c r="F20" s="10">
        <v>150</v>
      </c>
      <c r="G20" s="10">
        <f t="shared" si="0"/>
        <v>144530</v>
      </c>
      <c r="H20" s="16">
        <f t="shared" si="1"/>
        <v>36.909999999999997</v>
      </c>
      <c r="I20" s="15">
        <f t="shared" si="2"/>
        <v>0.14599999999999999</v>
      </c>
      <c r="J20" s="15">
        <f>ROUND(G20/137300-1,2)</f>
        <v>0.05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4765</v>
      </c>
      <c r="F21" s="10"/>
      <c r="G21" s="10">
        <f t="shared" si="0"/>
        <v>4765</v>
      </c>
      <c r="H21" s="16">
        <f t="shared" si="1"/>
        <v>1.22</v>
      </c>
      <c r="I21" s="15">
        <f t="shared" si="2"/>
        <v>5.0000000000000001E-3</v>
      </c>
      <c r="J21" s="15">
        <f>ROUND(G21/2090-1,2)</f>
        <v>1.28</v>
      </c>
    </row>
    <row r="22" spans="1:10" x14ac:dyDescent="0.25">
      <c r="A22" s="1" t="s">
        <v>16</v>
      </c>
      <c r="B22" s="1" t="s">
        <v>26</v>
      </c>
      <c r="C22" s="10">
        <v>97520</v>
      </c>
      <c r="D22" s="10"/>
      <c r="E22" s="10"/>
      <c r="F22" s="10">
        <v>100</v>
      </c>
      <c r="G22" s="10">
        <f t="shared" si="0"/>
        <v>97620</v>
      </c>
      <c r="H22" s="16">
        <f t="shared" si="1"/>
        <v>24.93</v>
      </c>
      <c r="I22" s="15">
        <f t="shared" si="2"/>
        <v>9.9000000000000005E-2</v>
      </c>
      <c r="J22" s="15">
        <f>ROUND(G22/99580-1,2)</f>
        <v>-0.02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1493</v>
      </c>
      <c r="F23" s="10"/>
      <c r="G23" s="10">
        <f t="shared" si="0"/>
        <v>1493</v>
      </c>
      <c r="H23" s="16">
        <f t="shared" si="1"/>
        <v>0.38</v>
      </c>
      <c r="I23" s="15">
        <f t="shared" si="2"/>
        <v>2E-3</v>
      </c>
      <c r="J23" s="15">
        <f>ROUND(G23/1148-1,2)</f>
        <v>0.3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958</v>
      </c>
      <c r="F24" s="10"/>
      <c r="G24" s="10">
        <f t="shared" si="0"/>
        <v>958</v>
      </c>
      <c r="H24" s="16">
        <f t="shared" si="1"/>
        <v>0.24</v>
      </c>
      <c r="I24" s="15">
        <f t="shared" si="2"/>
        <v>1E-3</v>
      </c>
      <c r="J24" s="15">
        <f>ROUND(G24/645-1,2)</f>
        <v>0.49</v>
      </c>
    </row>
    <row r="25" spans="1:10" x14ac:dyDescent="0.25">
      <c r="A25" s="1" t="s">
        <v>16</v>
      </c>
      <c r="B25" s="1" t="s">
        <v>29</v>
      </c>
      <c r="C25" s="10"/>
      <c r="D25" s="10"/>
      <c r="E25" s="10">
        <v>3090</v>
      </c>
      <c r="F25" s="10"/>
      <c r="G25" s="10">
        <f t="shared" si="0"/>
        <v>3090</v>
      </c>
      <c r="H25" s="16">
        <f t="shared" si="1"/>
        <v>0.79</v>
      </c>
      <c r="I25" s="15">
        <f t="shared" si="2"/>
        <v>3.0000000000000001E-3</v>
      </c>
      <c r="J25" s="15">
        <f>ROUND(G25/4390-1,2)</f>
        <v>-0.3</v>
      </c>
    </row>
    <row r="26" spans="1:10" x14ac:dyDescent="0.25">
      <c r="A26" s="1" t="s">
        <v>16</v>
      </c>
      <c r="B26" s="1" t="s">
        <v>30</v>
      </c>
      <c r="C26" s="10"/>
      <c r="D26" s="10"/>
      <c r="E26" s="10">
        <v>1080</v>
      </c>
      <c r="F26" s="10"/>
      <c r="G26" s="10">
        <f t="shared" si="0"/>
        <v>1080</v>
      </c>
      <c r="H26" s="16">
        <f t="shared" si="1"/>
        <v>0.28000000000000003</v>
      </c>
      <c r="I26" s="15">
        <f t="shared" si="2"/>
        <v>1E-3</v>
      </c>
      <c r="J26" s="15">
        <f>ROUND(G26/1030-1,2)</f>
        <v>0.05</v>
      </c>
    </row>
    <row r="27" spans="1:10" x14ac:dyDescent="0.25">
      <c r="A27" s="1" t="s">
        <v>16</v>
      </c>
      <c r="B27" s="1" t="s">
        <v>31</v>
      </c>
      <c r="C27" s="10"/>
      <c r="D27" s="10"/>
      <c r="E27" s="10">
        <v>610</v>
      </c>
      <c r="F27" s="10"/>
      <c r="G27" s="10">
        <f t="shared" si="0"/>
        <v>610</v>
      </c>
      <c r="H27" s="16">
        <f t="shared" si="1"/>
        <v>0.16</v>
      </c>
      <c r="I27" s="15">
        <f t="shared" si="2"/>
        <v>1E-3</v>
      </c>
      <c r="J27" s="15">
        <f>ROUND(G27/650-1,2)</f>
        <v>-0.06</v>
      </c>
    </row>
    <row r="28" spans="1:10" x14ac:dyDescent="0.25">
      <c r="A28" s="1" t="s">
        <v>16</v>
      </c>
      <c r="B28" s="1" t="s">
        <v>32</v>
      </c>
      <c r="C28" s="10"/>
      <c r="D28" s="10"/>
      <c r="E28" s="10">
        <v>2125</v>
      </c>
      <c r="F28" s="10"/>
      <c r="G28" s="10">
        <f t="shared" si="0"/>
        <v>2125</v>
      </c>
      <c r="H28" s="16">
        <f t="shared" si="1"/>
        <v>0.54</v>
      </c>
      <c r="I28" s="15">
        <f t="shared" si="2"/>
        <v>2E-3</v>
      </c>
      <c r="J28" s="15">
        <f>ROUND(G28/795-1,2)</f>
        <v>1.67</v>
      </c>
    </row>
    <row r="29" spans="1:10" x14ac:dyDescent="0.25">
      <c r="A29" s="1" t="s">
        <v>16</v>
      </c>
      <c r="B29" s="1" t="s">
        <v>33</v>
      </c>
      <c r="C29" s="10"/>
      <c r="D29" s="10">
        <v>249</v>
      </c>
      <c r="E29" s="10">
        <v>171</v>
      </c>
      <c r="F29" s="10"/>
      <c r="G29" s="10">
        <f t="shared" si="0"/>
        <v>420</v>
      </c>
      <c r="H29" s="16">
        <f t="shared" si="1"/>
        <v>0.11</v>
      </c>
      <c r="I29" s="15">
        <f t="shared" si="2"/>
        <v>0</v>
      </c>
      <c r="J29" s="15">
        <f>ROUND(G29/307-1,2)</f>
        <v>0.37</v>
      </c>
    </row>
    <row r="30" spans="1:10" x14ac:dyDescent="0.25">
      <c r="A30" s="1" t="s">
        <v>16</v>
      </c>
      <c r="B30" s="1" t="s">
        <v>35</v>
      </c>
      <c r="C30" s="10"/>
      <c r="D30" s="10"/>
      <c r="E30" s="10">
        <v>240</v>
      </c>
      <c r="F30" s="10"/>
      <c r="G30" s="10">
        <f t="shared" si="0"/>
        <v>240</v>
      </c>
      <c r="H30" s="16">
        <f t="shared" si="1"/>
        <v>0.06</v>
      </c>
      <c r="I30" s="15">
        <f t="shared" si="2"/>
        <v>0</v>
      </c>
      <c r="J30" s="15">
        <f>ROUND(G30/336-1,2)</f>
        <v>-0.28999999999999998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1020</v>
      </c>
      <c r="F31" s="10"/>
      <c r="G31" s="10">
        <f t="shared" si="0"/>
        <v>1020</v>
      </c>
      <c r="H31" s="16">
        <f t="shared" si="1"/>
        <v>0.26</v>
      </c>
      <c r="I31" s="15">
        <f t="shared" si="2"/>
        <v>1E-3</v>
      </c>
      <c r="J31" s="15">
        <f>ROUND(G31/330-1,2)</f>
        <v>2.09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5380</v>
      </c>
      <c r="F32" s="10"/>
      <c r="G32" s="10">
        <f t="shared" si="0"/>
        <v>5380</v>
      </c>
      <c r="H32" s="16">
        <f t="shared" si="1"/>
        <v>1.37</v>
      </c>
      <c r="I32" s="15">
        <f t="shared" si="2"/>
        <v>5.0000000000000001E-3</v>
      </c>
      <c r="J32" s="15">
        <f>ROUND(G32/3370-1,2)</f>
        <v>0.6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5313</v>
      </c>
      <c r="F33" s="10"/>
      <c r="G33" s="10">
        <f t="shared" si="0"/>
        <v>5313</v>
      </c>
      <c r="H33" s="16">
        <f t="shared" si="1"/>
        <v>1.36</v>
      </c>
      <c r="I33" s="15">
        <f t="shared" si="2"/>
        <v>5.0000000000000001E-3</v>
      </c>
      <c r="J33" s="15">
        <f>ROUND(G33/10287-1,2)</f>
        <v>-0.48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86875</v>
      </c>
      <c r="F34" s="10"/>
      <c r="G34" s="10">
        <f t="shared" si="0"/>
        <v>86875</v>
      </c>
      <c r="H34" s="16">
        <f t="shared" si="1"/>
        <v>22.18</v>
      </c>
      <c r="I34" s="15">
        <f t="shared" si="2"/>
        <v>8.7999999999999995E-2</v>
      </c>
      <c r="J34" s="15">
        <f>ROUND(G34/54430-1,2)</f>
        <v>0.6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5130</v>
      </c>
      <c r="F35" s="10"/>
      <c r="G35" s="10">
        <f t="shared" si="0"/>
        <v>5130</v>
      </c>
      <c r="H35" s="16">
        <f t="shared" si="1"/>
        <v>1.31</v>
      </c>
      <c r="I35" s="15">
        <f t="shared" si="2"/>
        <v>5.0000000000000001E-3</v>
      </c>
      <c r="J35" s="15">
        <f>ROUND(G35/5190-1,2)</f>
        <v>-0.01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18310</v>
      </c>
      <c r="F36" s="10"/>
      <c r="G36" s="10">
        <f t="shared" si="0"/>
        <v>18310</v>
      </c>
      <c r="H36" s="16">
        <f t="shared" si="1"/>
        <v>4.68</v>
      </c>
      <c r="I36" s="15">
        <f t="shared" si="2"/>
        <v>1.9E-2</v>
      </c>
      <c r="J36" s="15">
        <f>ROUND(G36/12770-1,2)</f>
        <v>0.43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94870</v>
      </c>
      <c r="F37" s="10"/>
      <c r="G37" s="10">
        <f t="shared" si="0"/>
        <v>94870</v>
      </c>
      <c r="H37" s="16">
        <f t="shared" si="1"/>
        <v>24.23</v>
      </c>
      <c r="I37" s="15">
        <f t="shared" si="2"/>
        <v>9.6000000000000002E-2</v>
      </c>
      <c r="J37" s="15">
        <f>ROUND(G37/69820-1,2)</f>
        <v>0.36</v>
      </c>
    </row>
    <row r="38" spans="1:10" x14ac:dyDescent="0.25">
      <c r="A38" s="1" t="s">
        <v>16</v>
      </c>
      <c r="B38" s="1" t="s">
        <v>36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ROUND(G38/1675-1,2)</f>
        <v>-1</v>
      </c>
    </row>
    <row r="39" spans="1:10" x14ac:dyDescent="0.25">
      <c r="A39" s="1" t="s">
        <v>16</v>
      </c>
      <c r="B39" s="1" t="s">
        <v>262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42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ROUND(G40/110-1,2)</f>
        <v>-1</v>
      </c>
    </row>
    <row r="41" spans="1:10" x14ac:dyDescent="0.25">
      <c r="A41" s="1" t="s">
        <v>44</v>
      </c>
      <c r="B41" s="1" t="s">
        <v>45</v>
      </c>
      <c r="C41" s="10">
        <v>140520</v>
      </c>
      <c r="D41" s="10"/>
      <c r="E41" s="10"/>
      <c r="F41" s="10">
        <v>950</v>
      </c>
      <c r="G41" s="10">
        <f t="shared" si="0"/>
        <v>141470</v>
      </c>
      <c r="H41" s="16">
        <f t="shared" si="1"/>
        <v>36.130000000000003</v>
      </c>
      <c r="I41" s="15">
        <f t="shared" si="2"/>
        <v>0.14299999999999999</v>
      </c>
      <c r="J41" s="15">
        <f>ROUND(G41/150910-1,2)</f>
        <v>-0.06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26780</v>
      </c>
      <c r="G42" s="10">
        <f t="shared" si="0"/>
        <v>26780</v>
      </c>
      <c r="H42" s="16">
        <f t="shared" si="1"/>
        <v>6.84</v>
      </c>
      <c r="I42" s="15">
        <f t="shared" si="2"/>
        <v>2.7E-2</v>
      </c>
      <c r="J42" s="15">
        <f>ROUND(G42/24820-1,2)</f>
        <v>0.08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58070</v>
      </c>
      <c r="F43" s="10"/>
      <c r="G43" s="10">
        <f t="shared" si="0"/>
        <v>58070</v>
      </c>
      <c r="H43" s="16">
        <f t="shared" si="1"/>
        <v>14.83</v>
      </c>
      <c r="I43" s="15">
        <f t="shared" si="2"/>
        <v>5.8999999999999997E-2</v>
      </c>
      <c r="J43" s="15">
        <f>ROUND(G43/37030-1,2)</f>
        <v>0.56999999999999995</v>
      </c>
    </row>
    <row r="44" spans="1:10" x14ac:dyDescent="0.25">
      <c r="A44" s="23" t="s">
        <v>12</v>
      </c>
      <c r="B44" s="23"/>
      <c r="C44" s="11">
        <f t="shared" ref="C44:H44" si="3">SUM(C8:C43)</f>
        <v>587930</v>
      </c>
      <c r="D44" s="11">
        <f t="shared" si="3"/>
        <v>249</v>
      </c>
      <c r="E44" s="11">
        <f t="shared" si="3"/>
        <v>372879</v>
      </c>
      <c r="F44" s="11">
        <f t="shared" si="3"/>
        <v>28382</v>
      </c>
      <c r="G44" s="11">
        <f t="shared" si="3"/>
        <v>989440</v>
      </c>
      <c r="H44" s="14">
        <f t="shared" si="3"/>
        <v>252.69000000000003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0.59</v>
      </c>
      <c r="D45" s="12">
        <f>ROUND(D44/G44,2)</f>
        <v>0</v>
      </c>
      <c r="E45" s="12">
        <f>ROUND(E44/G44,2)</f>
        <v>0.38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447410</v>
      </c>
      <c r="D51" s="10">
        <v>249</v>
      </c>
      <c r="E51" s="10">
        <v>314809</v>
      </c>
      <c r="F51" s="10">
        <v>452</v>
      </c>
      <c r="G51" s="10">
        <f>SUM(C51:F51)</f>
        <v>762920</v>
      </c>
      <c r="H51" s="16">
        <f>ROUND(G51/3916,2)</f>
        <v>194.82</v>
      </c>
      <c r="I51" s="9"/>
      <c r="J51" s="9"/>
    </row>
    <row r="52" spans="1:10" x14ac:dyDescent="0.25">
      <c r="A52" s="22" t="s">
        <v>55</v>
      </c>
      <c r="B52" s="22"/>
      <c r="C52" s="10">
        <v>140520</v>
      </c>
      <c r="D52" s="10">
        <v>0</v>
      </c>
      <c r="E52" s="10">
        <v>58070</v>
      </c>
      <c r="F52" s="10">
        <v>27730</v>
      </c>
      <c r="G52" s="10">
        <f>SUM(C52:F52)</f>
        <v>226320</v>
      </c>
      <c r="H52" s="16">
        <f>ROUND(G52/3916,2)</f>
        <v>57.79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200</v>
      </c>
      <c r="G53" s="10">
        <f>SUM(C53:F53)</f>
        <v>200</v>
      </c>
      <c r="H53" s="16">
        <f>ROUND(G53/3916,2)</f>
        <v>0.05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ROUND(0.8382, 4)</f>
        <v>0.83819999999999995</v>
      </c>
      <c r="D59" s="15">
        <f>ROUND(0.8082, 4)</f>
        <v>0.80820000000000003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ROUND(0.8238, 4)</f>
        <v>0.82379999999999998</v>
      </c>
      <c r="D60" s="15">
        <f>ROUND(0.7937, 4)</f>
        <v>0.79369999999999996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263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36.130000000000003</v>
      </c>
      <c r="D65" s="16">
        <v>48.43</v>
      </c>
      <c r="E65" s="16">
        <v>89.58</v>
      </c>
      <c r="F65" s="16">
        <v>53.73</v>
      </c>
      <c r="G65" s="16">
        <f>12/9*C65</f>
        <v>48.173333333333332</v>
      </c>
      <c r="H65" s="8"/>
      <c r="I65" s="9"/>
      <c r="J65" s="9"/>
    </row>
    <row r="66" spans="1:10" x14ac:dyDescent="0.25">
      <c r="A66" s="22" t="s">
        <v>74</v>
      </c>
      <c r="B66" s="22"/>
      <c r="C66" s="16">
        <v>24.93</v>
      </c>
      <c r="D66" s="16">
        <v>31.6</v>
      </c>
      <c r="E66" s="16">
        <v>60.32</v>
      </c>
      <c r="F66" s="16">
        <v>61.62</v>
      </c>
      <c r="G66" s="16">
        <f>12/9*C66</f>
        <v>33.239999999999995</v>
      </c>
      <c r="H66" s="8"/>
      <c r="I66" s="9"/>
      <c r="J66" s="9"/>
    </row>
    <row r="67" spans="1:10" x14ac:dyDescent="0.25">
      <c r="A67" s="22" t="s">
        <v>75</v>
      </c>
      <c r="B67" s="22"/>
      <c r="C67" s="16">
        <v>194.82</v>
      </c>
      <c r="D67" s="16">
        <v>217.92</v>
      </c>
      <c r="E67" s="16">
        <v>282.8</v>
      </c>
      <c r="F67" s="16">
        <v>273.33</v>
      </c>
      <c r="G67" s="16">
        <f>12/9*C67</f>
        <v>259.76</v>
      </c>
      <c r="H67" s="8"/>
      <c r="I67" s="9"/>
      <c r="J67" s="9"/>
    </row>
    <row r="68" spans="1:10" x14ac:dyDescent="0.25">
      <c r="A68" s="22" t="s">
        <v>76</v>
      </c>
      <c r="B68" s="22"/>
      <c r="C68" s="16">
        <v>57.79</v>
      </c>
      <c r="D68" s="16">
        <v>70.78</v>
      </c>
      <c r="E68" s="16">
        <v>112.72</v>
      </c>
      <c r="F68" s="16">
        <v>76.52</v>
      </c>
      <c r="G68" s="16">
        <f>12/9*C68</f>
        <v>77.053333333333327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1" t="s">
        <v>60</v>
      </c>
      <c r="B71" s="28"/>
    </row>
    <row r="72" spans="1:10" x14ac:dyDescent="0.25">
      <c r="A72" s="3" t="s">
        <v>77</v>
      </c>
      <c r="B72" s="1" t="s">
        <v>264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3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265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254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</v>
      </c>
      <c r="F9" s="10"/>
      <c r="G9" s="10">
        <f t="shared" ref="G9:G37" si="0">SUM(C9:F9)</f>
        <v>5</v>
      </c>
      <c r="H9" s="16">
        <f t="shared" ref="H9:H37" si="1">ROUND(G9/254,2)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7740</v>
      </c>
      <c r="D10" s="10"/>
      <c r="E10" s="10">
        <v>1016</v>
      </c>
      <c r="F10" s="10"/>
      <c r="G10" s="10">
        <f t="shared" si="0"/>
        <v>8756</v>
      </c>
      <c r="H10" s="16">
        <f t="shared" si="1"/>
        <v>34.47</v>
      </c>
      <c r="I10" s="15">
        <f t="shared" si="2"/>
        <v>0.10199999999999999</v>
      </c>
      <c r="J10" s="15">
        <f>ROUND(G10/6425.13-1,2)</f>
        <v>0.36</v>
      </c>
    </row>
    <row r="11" spans="1:10" x14ac:dyDescent="0.25">
      <c r="A11" s="1" t="s">
        <v>16</v>
      </c>
      <c r="B11" s="1" t="s">
        <v>20</v>
      </c>
      <c r="C11" s="10">
        <v>10850</v>
      </c>
      <c r="D11" s="10"/>
      <c r="E11" s="10"/>
      <c r="F11" s="10"/>
      <c r="G11" s="10">
        <f t="shared" si="0"/>
        <v>10850</v>
      </c>
      <c r="H11" s="16">
        <f t="shared" si="1"/>
        <v>42.72</v>
      </c>
      <c r="I11" s="15">
        <f t="shared" si="2"/>
        <v>0.127</v>
      </c>
      <c r="J11" s="15">
        <f>ROUND(G11/9390-1,2)</f>
        <v>0.16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</v>
      </c>
      <c r="F12" s="10"/>
      <c r="G12" s="10">
        <f t="shared" si="0"/>
        <v>18</v>
      </c>
      <c r="H12" s="16">
        <f t="shared" si="1"/>
        <v>7.0000000000000007E-2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282</v>
      </c>
      <c r="F13" s="10"/>
      <c r="G13" s="10">
        <f t="shared" si="0"/>
        <v>282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5642</v>
      </c>
      <c r="F14" s="10"/>
      <c r="G14" s="10">
        <f t="shared" si="0"/>
        <v>5642</v>
      </c>
      <c r="H14" s="16">
        <f t="shared" si="1"/>
        <v>22.21</v>
      </c>
      <c r="I14" s="15">
        <f t="shared" si="2"/>
        <v>6.6000000000000003E-2</v>
      </c>
      <c r="J14" s="15">
        <f>ROUND(G14/2949.76-1,2)</f>
        <v>0.91</v>
      </c>
    </row>
    <row r="15" spans="1:10" x14ac:dyDescent="0.25">
      <c r="A15" s="1" t="s">
        <v>16</v>
      </c>
      <c r="B15" s="1" t="s">
        <v>24</v>
      </c>
      <c r="C15" s="10">
        <v>7260</v>
      </c>
      <c r="D15" s="10"/>
      <c r="E15" s="10">
        <v>2271</v>
      </c>
      <c r="F15" s="10"/>
      <c r="G15" s="10">
        <f t="shared" si="0"/>
        <v>9531</v>
      </c>
      <c r="H15" s="16">
        <f t="shared" si="1"/>
        <v>37.520000000000003</v>
      </c>
      <c r="I15" s="15">
        <f t="shared" si="2"/>
        <v>0.111</v>
      </c>
      <c r="J15" s="15">
        <f>ROUND(G15/9194.76-1,2)</f>
        <v>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412</v>
      </c>
      <c r="F16" s="10"/>
      <c r="G16" s="10">
        <f t="shared" si="0"/>
        <v>412</v>
      </c>
      <c r="H16" s="16">
        <f t="shared" si="1"/>
        <v>1.62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11620</v>
      </c>
      <c r="D17" s="10"/>
      <c r="E17" s="10"/>
      <c r="F17" s="10"/>
      <c r="G17" s="10">
        <f t="shared" si="0"/>
        <v>11620</v>
      </c>
      <c r="H17" s="16">
        <f t="shared" si="1"/>
        <v>45.75</v>
      </c>
      <c r="I17" s="15">
        <f t="shared" si="2"/>
        <v>0.13600000000000001</v>
      </c>
      <c r="J17" s="15">
        <f>ROUND(G17/9920-1,2)</f>
        <v>0.17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66</v>
      </c>
      <c r="F18" s="10"/>
      <c r="G18" s="10">
        <f t="shared" si="0"/>
        <v>66</v>
      </c>
      <c r="H18" s="16">
        <f t="shared" si="1"/>
        <v>0.26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40</v>
      </c>
      <c r="F19" s="10"/>
      <c r="G19" s="10">
        <f t="shared" si="0"/>
        <v>40</v>
      </c>
      <c r="H19" s="16">
        <f t="shared" si="1"/>
        <v>0.16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8</v>
      </c>
      <c r="F20" s="10"/>
      <c r="G20" s="10">
        <f t="shared" si="0"/>
        <v>8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194</v>
      </c>
      <c r="F21" s="10"/>
      <c r="G21" s="10">
        <f t="shared" si="0"/>
        <v>194</v>
      </c>
      <c r="H21" s="16">
        <f t="shared" si="1"/>
        <v>0.76</v>
      </c>
      <c r="I21" s="15">
        <f t="shared" si="2"/>
        <v>2E-3</v>
      </c>
      <c r="J21" s="15">
        <f>ROUND(G21/425-1,2)</f>
        <v>-0.54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45</v>
      </c>
      <c r="F22" s="10"/>
      <c r="G22" s="10">
        <f t="shared" si="0"/>
        <v>45</v>
      </c>
      <c r="H22" s="16">
        <f t="shared" si="1"/>
        <v>0.18</v>
      </c>
      <c r="I22" s="15">
        <f t="shared" si="2"/>
        <v>1E-3</v>
      </c>
      <c r="J22" s="15">
        <f>ROUND(G22/26.83-1,2)</f>
        <v>0.68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22</v>
      </c>
      <c r="F23" s="10"/>
      <c r="G23" s="10">
        <f t="shared" si="0"/>
        <v>22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123</v>
      </c>
      <c r="F24" s="10"/>
      <c r="G24" s="10">
        <f t="shared" si="0"/>
        <v>123</v>
      </c>
      <c r="H24" s="16">
        <f t="shared" si="1"/>
        <v>0.48</v>
      </c>
      <c r="I24" s="15">
        <f t="shared" si="2"/>
        <v>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22</v>
      </c>
      <c r="F25" s="10"/>
      <c r="G25" s="10">
        <f t="shared" si="0"/>
        <v>22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43</v>
      </c>
      <c r="C26" s="10"/>
      <c r="D26" s="10"/>
      <c r="E26" s="10">
        <v>344</v>
      </c>
      <c r="F26" s="10"/>
      <c r="G26" s="10">
        <f t="shared" si="0"/>
        <v>344</v>
      </c>
      <c r="H26" s="16">
        <f t="shared" si="1"/>
        <v>1.35</v>
      </c>
      <c r="I26" s="15">
        <f t="shared" si="2"/>
        <v>4.0000000000000001E-3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348</v>
      </c>
      <c r="F27" s="10"/>
      <c r="G27" s="10">
        <f t="shared" si="0"/>
        <v>348</v>
      </c>
      <c r="H27" s="16">
        <f t="shared" si="1"/>
        <v>1.37</v>
      </c>
      <c r="I27" s="15">
        <f t="shared" si="2"/>
        <v>4.0000000000000001E-3</v>
      </c>
      <c r="J27" s="15">
        <f>ROUND(G27/58.02-1,2)</f>
        <v>5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5626</v>
      </c>
      <c r="F28" s="10"/>
      <c r="G28" s="10">
        <f t="shared" si="0"/>
        <v>5626</v>
      </c>
      <c r="H28" s="16">
        <f t="shared" si="1"/>
        <v>22.15</v>
      </c>
      <c r="I28" s="15">
        <f t="shared" si="2"/>
        <v>6.6000000000000003E-2</v>
      </c>
      <c r="J28" s="15">
        <f>ROUND(G28/3846.28-1,2)</f>
        <v>0.46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2102</v>
      </c>
      <c r="F29" s="10"/>
      <c r="G29" s="10">
        <f t="shared" si="0"/>
        <v>2102</v>
      </c>
      <c r="H29" s="16">
        <f t="shared" si="1"/>
        <v>8.2799999999999994</v>
      </c>
      <c r="I29" s="15">
        <f t="shared" si="2"/>
        <v>2.5000000000000001E-2</v>
      </c>
      <c r="J29" s="15">
        <f>ROUND(G29/1368.72-1,2)</f>
        <v>0.54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4018</v>
      </c>
      <c r="F30" s="10"/>
      <c r="G30" s="10">
        <f t="shared" si="0"/>
        <v>4018</v>
      </c>
      <c r="H30" s="16">
        <f t="shared" si="1"/>
        <v>15.82</v>
      </c>
      <c r="I30" s="15">
        <f t="shared" si="2"/>
        <v>4.7E-2</v>
      </c>
      <c r="J30" s="15">
        <f>ROUND(G30/235.95-1,2)</f>
        <v>16.03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22020</v>
      </c>
      <c r="D34" s="10"/>
      <c r="E34" s="10"/>
      <c r="F34" s="10"/>
      <c r="G34" s="10">
        <f t="shared" si="0"/>
        <v>22020</v>
      </c>
      <c r="H34" s="16">
        <f t="shared" si="1"/>
        <v>86.69</v>
      </c>
      <c r="I34" s="15">
        <f t="shared" si="2"/>
        <v>0.25700000000000001</v>
      </c>
      <c r="J34" s="15">
        <f>ROUND(G34/19100-1,2)</f>
        <v>0.15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3444</v>
      </c>
      <c r="F35" s="10"/>
      <c r="G35" s="10">
        <f t="shared" si="0"/>
        <v>3444</v>
      </c>
      <c r="H35" s="16">
        <f t="shared" si="1"/>
        <v>13.56</v>
      </c>
      <c r="I35" s="15">
        <f t="shared" si="2"/>
        <v>0.04</v>
      </c>
      <c r="J35" s="15">
        <f>ROUND(G35/2038.72-1,2)</f>
        <v>0.69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59490</v>
      </c>
      <c r="D38" s="11">
        <f t="shared" si="3"/>
        <v>0</v>
      </c>
      <c r="E38" s="11">
        <f t="shared" si="3"/>
        <v>26048</v>
      </c>
      <c r="F38" s="11">
        <f t="shared" si="3"/>
        <v>0</v>
      </c>
      <c r="G38" s="11">
        <f t="shared" si="3"/>
        <v>85538</v>
      </c>
      <c r="H38" s="14">
        <f t="shared" si="3"/>
        <v>336.76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0.7</v>
      </c>
      <c r="D39" s="12">
        <f>ROUND(D38/G38,2)</f>
        <v>0</v>
      </c>
      <c r="E39" s="12">
        <f>ROUND(E38/G38,2)</f>
        <v>0.3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37470</v>
      </c>
      <c r="D45" s="10">
        <v>0</v>
      </c>
      <c r="E45" s="10">
        <v>22604</v>
      </c>
      <c r="F45" s="10">
        <v>0</v>
      </c>
      <c r="G45" s="10">
        <f>SUM(C45:F45)</f>
        <v>60074</v>
      </c>
      <c r="H45" s="16">
        <f>ROUND(G45/254,2)</f>
        <v>236.51</v>
      </c>
      <c r="I45" s="9"/>
      <c r="J45" s="9"/>
    </row>
    <row r="46" spans="1:10" x14ac:dyDescent="0.25">
      <c r="A46" s="22" t="s">
        <v>55</v>
      </c>
      <c r="B46" s="22"/>
      <c r="C46" s="10">
        <v>22020</v>
      </c>
      <c r="D46" s="10">
        <v>0</v>
      </c>
      <c r="E46" s="10">
        <v>3444</v>
      </c>
      <c r="F46" s="10">
        <v>0</v>
      </c>
      <c r="G46" s="10">
        <f>SUM(C46:F46)</f>
        <v>25464</v>
      </c>
      <c r="H46" s="16">
        <f>ROUND(G46/254,2)</f>
        <v>100.25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ROUND(G47/254,2)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ROUND(0.721, 4)</f>
        <v>0.72099999999999997</v>
      </c>
      <c r="D53" s="15">
        <f>ROUND(0.6531, 4)</f>
        <v>0.65310000000000001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ROUND(0.6801, 4)</f>
        <v>0.68010000000000004</v>
      </c>
      <c r="D54" s="15">
        <f>ROUND(0.6157, 4)</f>
        <v>0.61570000000000003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266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86.69</v>
      </c>
      <c r="D59" s="16">
        <v>108.24</v>
      </c>
      <c r="E59" s="16">
        <v>89.58</v>
      </c>
      <c r="F59" s="16">
        <v>53.73</v>
      </c>
      <c r="G59" s="16">
        <f>12/9*C59</f>
        <v>115.58666666666666</v>
      </c>
      <c r="H59" s="8"/>
      <c r="I59" s="9"/>
      <c r="J59" s="9"/>
    </row>
    <row r="60" spans="1:10" x14ac:dyDescent="0.25">
      <c r="A60" s="22" t="s">
        <v>74</v>
      </c>
      <c r="B60" s="22"/>
      <c r="C60" s="16">
        <v>45.75</v>
      </c>
      <c r="D60" s="16">
        <v>69.7</v>
      </c>
      <c r="E60" s="16">
        <v>60.32</v>
      </c>
      <c r="F60" s="16">
        <v>61.62</v>
      </c>
      <c r="G60" s="16">
        <f>12/9*C60</f>
        <v>61</v>
      </c>
      <c r="H60" s="8"/>
      <c r="I60" s="9"/>
      <c r="J60" s="9"/>
    </row>
    <row r="61" spans="1:10" x14ac:dyDescent="0.25">
      <c r="A61" s="22" t="s">
        <v>75</v>
      </c>
      <c r="B61" s="22"/>
      <c r="C61" s="16">
        <v>236.51</v>
      </c>
      <c r="D61" s="16">
        <v>276.64999999999998</v>
      </c>
      <c r="E61" s="16">
        <v>282.8</v>
      </c>
      <c r="F61" s="16">
        <v>273.33</v>
      </c>
      <c r="G61" s="16">
        <f>12/9*C61</f>
        <v>315.34666666666664</v>
      </c>
      <c r="H61" s="8"/>
      <c r="I61" s="9"/>
      <c r="J61" s="9"/>
    </row>
    <row r="62" spans="1:10" x14ac:dyDescent="0.25">
      <c r="A62" s="22" t="s">
        <v>76</v>
      </c>
      <c r="B62" s="22"/>
      <c r="C62" s="16">
        <v>100.25</v>
      </c>
      <c r="D62" s="16">
        <v>123.21</v>
      </c>
      <c r="E62" s="16">
        <v>112.72</v>
      </c>
      <c r="F62" s="16">
        <v>76.52</v>
      </c>
      <c r="G62" s="16">
        <f>12/9*C62</f>
        <v>133.66666666666666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267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4"/>
  <dimension ref="A2:J71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268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2820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94</v>
      </c>
      <c r="F9" s="10"/>
      <c r="G9" s="10">
        <f t="shared" ref="G9:G38" si="0">SUM(C9:F9)</f>
        <v>94</v>
      </c>
      <c r="H9" s="16">
        <f t="shared" ref="H9:H38" si="1">ROUND(G9/2820,2)</f>
        <v>0.03</v>
      </c>
      <c r="I9" s="15">
        <f t="shared" ref="I9:I38" si="2">ROUND(G9/$G$39,3)</f>
        <v>0</v>
      </c>
      <c r="J9" s="15">
        <f>ROUND(G9/20-1,2)</f>
        <v>3.7</v>
      </c>
    </row>
    <row r="10" spans="1:10" x14ac:dyDescent="0.25">
      <c r="A10" s="1" t="s">
        <v>16</v>
      </c>
      <c r="B10" s="1" t="s">
        <v>19</v>
      </c>
      <c r="C10" s="10">
        <v>64330</v>
      </c>
      <c r="D10" s="10"/>
      <c r="E10" s="10"/>
      <c r="F10" s="10"/>
      <c r="G10" s="10">
        <f t="shared" si="0"/>
        <v>64330</v>
      </c>
      <c r="H10" s="16">
        <f t="shared" si="1"/>
        <v>22.81</v>
      </c>
      <c r="I10" s="15">
        <f t="shared" si="2"/>
        <v>7.4999999999999997E-2</v>
      </c>
      <c r="J10" s="15">
        <f>ROUND(G10/62440-1,2)</f>
        <v>0.03</v>
      </c>
    </row>
    <row r="11" spans="1:10" x14ac:dyDescent="0.25">
      <c r="A11" s="1" t="s">
        <v>16</v>
      </c>
      <c r="B11" s="1" t="s">
        <v>20</v>
      </c>
      <c r="C11" s="10">
        <v>84960</v>
      </c>
      <c r="D11" s="10"/>
      <c r="E11" s="10"/>
      <c r="F11" s="10"/>
      <c r="G11" s="10">
        <f t="shared" si="0"/>
        <v>84960</v>
      </c>
      <c r="H11" s="16">
        <f t="shared" si="1"/>
        <v>30.13</v>
      </c>
      <c r="I11" s="15">
        <f t="shared" si="2"/>
        <v>9.9000000000000005E-2</v>
      </c>
      <c r="J11" s="15">
        <f>ROUND(G11/85480-1,2)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12</v>
      </c>
      <c r="F12" s="10"/>
      <c r="G12" s="10">
        <f t="shared" si="0"/>
        <v>12</v>
      </c>
      <c r="H12" s="16">
        <f t="shared" si="1"/>
        <v>0</v>
      </c>
      <c r="I12" s="15">
        <f t="shared" si="2"/>
        <v>0</v>
      </c>
      <c r="J12" s="15">
        <f>ROUND(G12/24-1,2)</f>
        <v>-0.5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120</v>
      </c>
      <c r="F13" s="10"/>
      <c r="G13" s="10">
        <f t="shared" si="0"/>
        <v>120</v>
      </c>
      <c r="H13" s="16">
        <f t="shared" si="1"/>
        <v>0.04</v>
      </c>
      <c r="I13" s="15">
        <f t="shared" si="2"/>
        <v>0</v>
      </c>
      <c r="J13" s="15">
        <f>ROUND(G13/135-1,2)</f>
        <v>-0.11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0.32</v>
      </c>
      <c r="I14" s="15">
        <f t="shared" si="2"/>
        <v>1E-3</v>
      </c>
      <c r="J14" s="15">
        <f>ROUND(G14/800-1,2)</f>
        <v>0.13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48420</v>
      </c>
      <c r="F15" s="10"/>
      <c r="G15" s="10">
        <f t="shared" si="0"/>
        <v>48420</v>
      </c>
      <c r="H15" s="16">
        <f t="shared" si="1"/>
        <v>17.170000000000002</v>
      </c>
      <c r="I15" s="15">
        <f t="shared" si="2"/>
        <v>5.7000000000000002E-2</v>
      </c>
      <c r="J15" s="15">
        <f>ROUND(G15/48410-1,2)</f>
        <v>0</v>
      </c>
    </row>
    <row r="16" spans="1:10" x14ac:dyDescent="0.25">
      <c r="A16" s="1" t="s">
        <v>16</v>
      </c>
      <c r="B16" s="1" t="s">
        <v>24</v>
      </c>
      <c r="C16" s="10">
        <v>87950</v>
      </c>
      <c r="D16" s="10"/>
      <c r="E16" s="10"/>
      <c r="F16" s="10"/>
      <c r="G16" s="10">
        <f t="shared" si="0"/>
        <v>87950</v>
      </c>
      <c r="H16" s="16">
        <f t="shared" si="1"/>
        <v>31.19</v>
      </c>
      <c r="I16" s="15">
        <f t="shared" si="2"/>
        <v>0.10299999999999999</v>
      </c>
      <c r="J16" s="15">
        <f>ROUND(G16/85330-1,2)</f>
        <v>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4175</v>
      </c>
      <c r="F17" s="10"/>
      <c r="G17" s="10">
        <f t="shared" si="0"/>
        <v>4175</v>
      </c>
      <c r="H17" s="16">
        <f t="shared" si="1"/>
        <v>1.48</v>
      </c>
      <c r="I17" s="15">
        <f t="shared" si="2"/>
        <v>5.0000000000000001E-3</v>
      </c>
      <c r="J17" s="15">
        <f>ROUND(G17/3415-1,2)</f>
        <v>0.22</v>
      </c>
    </row>
    <row r="18" spans="1:10" x14ac:dyDescent="0.25">
      <c r="A18" s="1" t="s">
        <v>16</v>
      </c>
      <c r="B18" s="1" t="s">
        <v>26</v>
      </c>
      <c r="C18" s="10">
        <v>156300</v>
      </c>
      <c r="D18" s="10"/>
      <c r="E18" s="10"/>
      <c r="F18" s="10">
        <v>1360</v>
      </c>
      <c r="G18" s="10">
        <f t="shared" si="0"/>
        <v>157660</v>
      </c>
      <c r="H18" s="16">
        <f t="shared" si="1"/>
        <v>55.91</v>
      </c>
      <c r="I18" s="15">
        <f t="shared" si="2"/>
        <v>0.184</v>
      </c>
      <c r="J18" s="15">
        <f>ROUND(G18/159440-1,2)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214</v>
      </c>
      <c r="F19" s="10"/>
      <c r="G19" s="10">
        <f t="shared" si="0"/>
        <v>214</v>
      </c>
      <c r="H19" s="16">
        <f t="shared" si="1"/>
        <v>0.08</v>
      </c>
      <c r="I19" s="15">
        <f t="shared" si="2"/>
        <v>0</v>
      </c>
      <c r="J19" s="15">
        <f>ROUND(G19/555-1,2)</f>
        <v>-0.61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76</v>
      </c>
      <c r="F20" s="10"/>
      <c r="G20" s="10">
        <f t="shared" si="0"/>
        <v>76</v>
      </c>
      <c r="H20" s="16">
        <f t="shared" si="1"/>
        <v>0.03</v>
      </c>
      <c r="I20" s="15">
        <f t="shared" si="2"/>
        <v>0</v>
      </c>
      <c r="J20" s="15">
        <f>ROUND(G20/219-1,2)</f>
        <v>-0.65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4400</v>
      </c>
      <c r="F21" s="10"/>
      <c r="G21" s="10">
        <f t="shared" si="0"/>
        <v>4400</v>
      </c>
      <c r="H21" s="16">
        <f t="shared" si="1"/>
        <v>1.56</v>
      </c>
      <c r="I21" s="15">
        <f t="shared" si="2"/>
        <v>5.0000000000000001E-3</v>
      </c>
      <c r="J21" s="15">
        <f>ROUND(G21/4050-1,2)</f>
        <v>0.09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580</v>
      </c>
      <c r="F22" s="10"/>
      <c r="G22" s="10">
        <f t="shared" si="0"/>
        <v>580</v>
      </c>
      <c r="H22" s="16">
        <f t="shared" si="1"/>
        <v>0.21</v>
      </c>
      <c r="I22" s="15">
        <f t="shared" si="2"/>
        <v>1E-3</v>
      </c>
      <c r="J22" s="15">
        <f>ROUND(G22/630-1,2)</f>
        <v>-0.08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1165</v>
      </c>
      <c r="F23" s="10"/>
      <c r="G23" s="10">
        <f t="shared" si="0"/>
        <v>1165</v>
      </c>
      <c r="H23" s="16">
        <f t="shared" si="1"/>
        <v>0.41</v>
      </c>
      <c r="I23" s="15">
        <f t="shared" si="2"/>
        <v>1E-3</v>
      </c>
      <c r="J23" s="15">
        <f>ROUND(G23/1465-1,2)</f>
        <v>-0.2</v>
      </c>
    </row>
    <row r="24" spans="1:10" x14ac:dyDescent="0.25">
      <c r="A24" s="1" t="s">
        <v>16</v>
      </c>
      <c r="B24" s="1" t="s">
        <v>33</v>
      </c>
      <c r="C24" s="10"/>
      <c r="D24" s="10">
        <v>96</v>
      </c>
      <c r="E24" s="10">
        <v>52</v>
      </c>
      <c r="F24" s="10"/>
      <c r="G24" s="10">
        <f t="shared" si="0"/>
        <v>148</v>
      </c>
      <c r="H24" s="16">
        <f t="shared" si="1"/>
        <v>0.05</v>
      </c>
      <c r="I24" s="15">
        <f t="shared" si="2"/>
        <v>0</v>
      </c>
      <c r="J24" s="15">
        <f>ROUND(G24/158-1,2)</f>
        <v>-0.06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585</v>
      </c>
      <c r="F25" s="10"/>
      <c r="G25" s="10">
        <f t="shared" si="0"/>
        <v>585</v>
      </c>
      <c r="H25" s="16">
        <f t="shared" si="1"/>
        <v>0.21</v>
      </c>
      <c r="I25" s="15">
        <f t="shared" si="2"/>
        <v>1E-3</v>
      </c>
      <c r="J25" s="15">
        <f>ROUND(G25/705-1,2)</f>
        <v>-0.17</v>
      </c>
    </row>
    <row r="26" spans="1:10" x14ac:dyDescent="0.25">
      <c r="A26" s="1" t="s">
        <v>16</v>
      </c>
      <c r="B26" s="1" t="s">
        <v>35</v>
      </c>
      <c r="C26" s="10"/>
      <c r="D26" s="10">
        <v>50</v>
      </c>
      <c r="E26" s="10"/>
      <c r="F26" s="10"/>
      <c r="G26" s="10">
        <f t="shared" si="0"/>
        <v>50</v>
      </c>
      <c r="H26" s="16">
        <f t="shared" si="1"/>
        <v>0.02</v>
      </c>
      <c r="I26" s="15">
        <f t="shared" si="2"/>
        <v>0</v>
      </c>
      <c r="J26" s="15">
        <f>ROUND(G26/210-1,2)</f>
        <v>-0.76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1100</v>
      </c>
      <c r="F27" s="10"/>
      <c r="G27" s="10">
        <f t="shared" si="0"/>
        <v>1100</v>
      </c>
      <c r="H27" s="16">
        <f t="shared" si="1"/>
        <v>0.39</v>
      </c>
      <c r="I27" s="15">
        <f t="shared" si="2"/>
        <v>1E-3</v>
      </c>
      <c r="J27" s="15">
        <f>ROUND(G27/2630-1,2)</f>
        <v>-0.57999999999999996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4540</v>
      </c>
      <c r="F28" s="10"/>
      <c r="G28" s="10">
        <f t="shared" si="0"/>
        <v>4540</v>
      </c>
      <c r="H28" s="16">
        <f t="shared" si="1"/>
        <v>1.61</v>
      </c>
      <c r="I28" s="15">
        <f t="shared" si="2"/>
        <v>5.0000000000000001E-3</v>
      </c>
      <c r="J28" s="15">
        <f>ROUND(G28/8558-1,2)</f>
        <v>-0.47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2960</v>
      </c>
      <c r="F29" s="10"/>
      <c r="G29" s="10">
        <f t="shared" si="0"/>
        <v>2960</v>
      </c>
      <c r="H29" s="16">
        <f t="shared" si="1"/>
        <v>1.05</v>
      </c>
      <c r="I29" s="15">
        <f t="shared" si="2"/>
        <v>3.0000000000000001E-3</v>
      </c>
      <c r="J29" s="15">
        <f>ROUND(G29/1800-1,2)</f>
        <v>0.64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63570</v>
      </c>
      <c r="F30" s="10"/>
      <c r="G30" s="10">
        <f t="shared" si="0"/>
        <v>63570</v>
      </c>
      <c r="H30" s="16">
        <f t="shared" si="1"/>
        <v>22.54</v>
      </c>
      <c r="I30" s="15">
        <f t="shared" si="2"/>
        <v>7.3999999999999996E-2</v>
      </c>
      <c r="J30" s="15">
        <f>ROUND(G30/58130-1,2)</f>
        <v>0.09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23840</v>
      </c>
      <c r="F31" s="10"/>
      <c r="G31" s="10">
        <f t="shared" si="0"/>
        <v>23840</v>
      </c>
      <c r="H31" s="16">
        <f t="shared" si="1"/>
        <v>8.4499999999999993</v>
      </c>
      <c r="I31" s="15">
        <f t="shared" si="2"/>
        <v>2.8000000000000001E-2</v>
      </c>
      <c r="J31" s="15">
        <f>ROUND(G31/18260-1,2)</f>
        <v>0.31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72470</v>
      </c>
      <c r="F32" s="10"/>
      <c r="G32" s="10">
        <f t="shared" si="0"/>
        <v>72470</v>
      </c>
      <c r="H32" s="16">
        <f t="shared" si="1"/>
        <v>25.7</v>
      </c>
      <c r="I32" s="15">
        <f t="shared" si="2"/>
        <v>8.5000000000000006E-2</v>
      </c>
      <c r="J32" s="15">
        <f>ROUND(G32/69380-1,2)</f>
        <v>0.04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44</v>
      </c>
      <c r="B34" s="1" t="s">
        <v>45</v>
      </c>
      <c r="C34" s="10">
        <v>172300</v>
      </c>
      <c r="D34" s="10"/>
      <c r="E34" s="10"/>
      <c r="F34" s="10"/>
      <c r="G34" s="10">
        <f t="shared" si="0"/>
        <v>172300</v>
      </c>
      <c r="H34" s="16">
        <f t="shared" si="1"/>
        <v>61.1</v>
      </c>
      <c r="I34" s="15">
        <f t="shared" si="2"/>
        <v>0.20100000000000001</v>
      </c>
      <c r="J34" s="15">
        <f>ROUND(G34/162900-1,2)</f>
        <v>0.06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58470</v>
      </c>
      <c r="F35" s="10"/>
      <c r="G35" s="10">
        <f t="shared" si="0"/>
        <v>58470</v>
      </c>
      <c r="H35" s="16">
        <f t="shared" si="1"/>
        <v>20.73</v>
      </c>
      <c r="I35" s="15">
        <f t="shared" si="2"/>
        <v>6.8000000000000005E-2</v>
      </c>
      <c r="J35" s="15">
        <f>ROUND(G35/55280-1,2)</f>
        <v>0.06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159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565840</v>
      </c>
      <c r="D39" s="11">
        <f t="shared" si="3"/>
        <v>146</v>
      </c>
      <c r="E39" s="11">
        <f t="shared" si="3"/>
        <v>287743</v>
      </c>
      <c r="F39" s="11">
        <f t="shared" si="3"/>
        <v>1360</v>
      </c>
      <c r="G39" s="11">
        <f t="shared" si="3"/>
        <v>855089</v>
      </c>
      <c r="H39" s="14">
        <f t="shared" si="3"/>
        <v>303.22000000000003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0.66</v>
      </c>
      <c r="D40" s="12">
        <f>ROUND(D39/G39,2)</f>
        <v>0</v>
      </c>
      <c r="E40" s="12">
        <f>ROUND(E39/G39,2)</f>
        <v>0.34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393540</v>
      </c>
      <c r="D46" s="10">
        <v>146</v>
      </c>
      <c r="E46" s="10">
        <v>229273</v>
      </c>
      <c r="F46" s="10">
        <v>1360</v>
      </c>
      <c r="G46" s="10">
        <f>SUM(C46:F46)</f>
        <v>624319</v>
      </c>
      <c r="H46" s="16">
        <f>ROUND(G46/2820,2)</f>
        <v>221.39</v>
      </c>
      <c r="I46" s="9"/>
      <c r="J46" s="9"/>
    </row>
    <row r="47" spans="1:10" x14ac:dyDescent="0.25">
      <c r="A47" s="22" t="s">
        <v>55</v>
      </c>
      <c r="B47" s="22"/>
      <c r="C47" s="10">
        <v>172300</v>
      </c>
      <c r="D47" s="10">
        <v>0</v>
      </c>
      <c r="E47" s="10">
        <v>58470</v>
      </c>
      <c r="F47" s="10">
        <v>0</v>
      </c>
      <c r="G47" s="10">
        <f>SUM(C47:F47)</f>
        <v>230770</v>
      </c>
      <c r="H47" s="16">
        <f>ROUND(G47/2820,2)</f>
        <v>81.83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ROUND(G48/2820,2)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ROUND(0.7854, 4)</f>
        <v>0.78539999999999999</v>
      </c>
      <c r="D54" s="15">
        <f>ROUND(0.782, 4)</f>
        <v>0.78200000000000003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ROUND(0.7751, 4)</f>
        <v>0.77510000000000001</v>
      </c>
      <c r="D55" s="15">
        <f>ROUND(0.7714, 4)</f>
        <v>0.77139999999999997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269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61.1</v>
      </c>
      <c r="D60" s="16">
        <v>73.03</v>
      </c>
      <c r="E60" s="16">
        <v>89.58</v>
      </c>
      <c r="F60" s="16">
        <v>53.73</v>
      </c>
      <c r="G60" s="16">
        <f>12/9*C60</f>
        <v>81.466666666666669</v>
      </c>
      <c r="H60" s="8"/>
      <c r="I60" s="9"/>
      <c r="J60" s="9"/>
    </row>
    <row r="61" spans="1:10" x14ac:dyDescent="0.25">
      <c r="A61" s="22" t="s">
        <v>74</v>
      </c>
      <c r="B61" s="22"/>
      <c r="C61" s="16">
        <v>55.91</v>
      </c>
      <c r="D61" s="16">
        <v>71.650000000000006</v>
      </c>
      <c r="E61" s="16">
        <v>60.32</v>
      </c>
      <c r="F61" s="16">
        <v>61.62</v>
      </c>
      <c r="G61" s="16">
        <f>12/9*C61</f>
        <v>74.546666666666653</v>
      </c>
      <c r="H61" s="8"/>
      <c r="I61" s="9"/>
      <c r="J61" s="9"/>
    </row>
    <row r="62" spans="1:10" x14ac:dyDescent="0.25">
      <c r="A62" s="22" t="s">
        <v>75</v>
      </c>
      <c r="B62" s="22"/>
      <c r="C62" s="16">
        <v>221.39</v>
      </c>
      <c r="D62" s="16">
        <v>261.52999999999997</v>
      </c>
      <c r="E62" s="16">
        <v>282.8</v>
      </c>
      <c r="F62" s="16">
        <v>273.33</v>
      </c>
      <c r="G62" s="16">
        <f>12/9*C62</f>
        <v>295.18666666666661</v>
      </c>
      <c r="H62" s="8"/>
      <c r="I62" s="9"/>
      <c r="J62" s="9"/>
    </row>
    <row r="63" spans="1:10" x14ac:dyDescent="0.25">
      <c r="A63" s="22" t="s">
        <v>76</v>
      </c>
      <c r="B63" s="22"/>
      <c r="C63" s="16">
        <v>81.83</v>
      </c>
      <c r="D63" s="16">
        <v>97.38</v>
      </c>
      <c r="E63" s="16">
        <v>112.72</v>
      </c>
      <c r="F63" s="16">
        <v>76.52</v>
      </c>
      <c r="G63" s="16">
        <f>12/9*C63</f>
        <v>109.10666666666665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270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5"/>
  <dimension ref="A2:J71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509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39" si="0">SUM(C9:F9)</f>
        <v>11</v>
      </c>
      <c r="H9" s="16">
        <f t="shared" ref="H9:H39" si="1">ROUND(G9/509,2)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16950</v>
      </c>
      <c r="D10" s="10"/>
      <c r="E10" s="10">
        <v>1756</v>
      </c>
      <c r="F10" s="10"/>
      <c r="G10" s="10">
        <f t="shared" si="0"/>
        <v>18706</v>
      </c>
      <c r="H10" s="16">
        <f t="shared" si="1"/>
        <v>36.75</v>
      </c>
      <c r="I10" s="15">
        <f t="shared" si="2"/>
        <v>8.2000000000000003E-2</v>
      </c>
      <c r="J10" s="15">
        <f>ROUND(G10/18269.26-1,2)</f>
        <v>0.02</v>
      </c>
    </row>
    <row r="11" spans="1:10" x14ac:dyDescent="0.25">
      <c r="A11" s="1" t="s">
        <v>16</v>
      </c>
      <c r="B11" s="1" t="s">
        <v>20</v>
      </c>
      <c r="C11" s="10">
        <v>26010</v>
      </c>
      <c r="D11" s="10"/>
      <c r="E11" s="10"/>
      <c r="F11" s="10"/>
      <c r="G11" s="10">
        <f t="shared" si="0"/>
        <v>26010</v>
      </c>
      <c r="H11" s="16">
        <f t="shared" si="1"/>
        <v>51.1</v>
      </c>
      <c r="I11" s="15">
        <f t="shared" si="2"/>
        <v>0.113</v>
      </c>
      <c r="J11" s="15">
        <f>ROUND(G11/25375-1,2)</f>
        <v>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49</v>
      </c>
      <c r="F12" s="10"/>
      <c r="G12" s="10">
        <f t="shared" si="0"/>
        <v>49</v>
      </c>
      <c r="H12" s="16">
        <f t="shared" si="1"/>
        <v>0.1</v>
      </c>
      <c r="I12" s="15">
        <f t="shared" si="2"/>
        <v>0</v>
      </c>
      <c r="J12" s="15">
        <f>ROUND(G12/26.35-1,2)</f>
        <v>0.86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365</v>
      </c>
      <c r="F13" s="10"/>
      <c r="G13" s="10">
        <f t="shared" si="0"/>
        <v>365</v>
      </c>
      <c r="H13" s="16">
        <f t="shared" si="1"/>
        <v>0.72</v>
      </c>
      <c r="I13" s="15">
        <f t="shared" si="2"/>
        <v>2E-3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16587</v>
      </c>
      <c r="F14" s="10"/>
      <c r="G14" s="10">
        <f t="shared" si="0"/>
        <v>16587</v>
      </c>
      <c r="H14" s="16">
        <f t="shared" si="1"/>
        <v>32.590000000000003</v>
      </c>
      <c r="I14" s="15">
        <f t="shared" si="2"/>
        <v>7.1999999999999995E-2</v>
      </c>
      <c r="J14" s="15">
        <f>ROUND(G14/8129.05-1,2)</f>
        <v>1.04</v>
      </c>
    </row>
    <row r="15" spans="1:10" x14ac:dyDescent="0.25">
      <c r="A15" s="1" t="s">
        <v>16</v>
      </c>
      <c r="B15" s="1" t="s">
        <v>24</v>
      </c>
      <c r="C15" s="10">
        <v>21610</v>
      </c>
      <c r="D15" s="10"/>
      <c r="E15" s="10">
        <v>5630</v>
      </c>
      <c r="F15" s="10"/>
      <c r="G15" s="10">
        <f t="shared" si="0"/>
        <v>27240</v>
      </c>
      <c r="H15" s="16">
        <f t="shared" si="1"/>
        <v>53.52</v>
      </c>
      <c r="I15" s="15">
        <f t="shared" si="2"/>
        <v>0.11899999999999999</v>
      </c>
      <c r="J15" s="15">
        <f>ROUND(G15/24691.26-1,2)</f>
        <v>0.1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1627</v>
      </c>
      <c r="F16" s="10"/>
      <c r="G16" s="10">
        <f t="shared" si="0"/>
        <v>1627</v>
      </c>
      <c r="H16" s="16">
        <f t="shared" si="1"/>
        <v>3.2</v>
      </c>
      <c r="I16" s="15">
        <f t="shared" si="2"/>
        <v>7.0000000000000001E-3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13110</v>
      </c>
      <c r="D17" s="10"/>
      <c r="E17" s="10"/>
      <c r="F17" s="10"/>
      <c r="G17" s="10">
        <f t="shared" si="0"/>
        <v>13110</v>
      </c>
      <c r="H17" s="16">
        <f t="shared" si="1"/>
        <v>25.76</v>
      </c>
      <c r="I17" s="15">
        <f t="shared" si="2"/>
        <v>5.7000000000000002E-2</v>
      </c>
      <c r="J17" s="15">
        <f>ROUND(G17/19000-1,2)</f>
        <v>-0.31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176</v>
      </c>
      <c r="F18" s="10"/>
      <c r="G18" s="10">
        <f t="shared" si="0"/>
        <v>176</v>
      </c>
      <c r="H18" s="16">
        <f t="shared" si="1"/>
        <v>0.35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94</v>
      </c>
      <c r="F19" s="10"/>
      <c r="G19" s="10">
        <f t="shared" si="0"/>
        <v>94</v>
      </c>
      <c r="H19" s="16">
        <f t="shared" si="1"/>
        <v>0.18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27</v>
      </c>
      <c r="F20" s="10"/>
      <c r="G20" s="10">
        <f t="shared" si="0"/>
        <v>27</v>
      </c>
      <c r="H20" s="16">
        <f t="shared" si="1"/>
        <v>0.05</v>
      </c>
      <c r="I20" s="15">
        <f t="shared" si="2"/>
        <v>0</v>
      </c>
      <c r="J20" s="15">
        <f>ROUND(G20/12.25-1,2)</f>
        <v>1.2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329</v>
      </c>
      <c r="F21" s="10"/>
      <c r="G21" s="10">
        <f t="shared" si="0"/>
        <v>329</v>
      </c>
      <c r="H21" s="16">
        <f t="shared" si="1"/>
        <v>0.65</v>
      </c>
      <c r="I21" s="15">
        <f t="shared" si="2"/>
        <v>1E-3</v>
      </c>
      <c r="J21" s="15">
        <f>ROUND(G21/331.98-1,2)</f>
        <v>-0.01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95</v>
      </c>
      <c r="F22" s="10"/>
      <c r="G22" s="10">
        <f t="shared" si="0"/>
        <v>95</v>
      </c>
      <c r="H22" s="16">
        <f t="shared" si="1"/>
        <v>0.19</v>
      </c>
      <c r="I22" s="15">
        <f t="shared" si="2"/>
        <v>0</v>
      </c>
      <c r="J22" s="15">
        <f>ROUND(G22/9.23-1,2)</f>
        <v>9.2899999999999991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434</v>
      </c>
      <c r="F23" s="10"/>
      <c r="G23" s="10">
        <f t="shared" si="0"/>
        <v>434</v>
      </c>
      <c r="H23" s="16">
        <f t="shared" si="1"/>
        <v>0.85</v>
      </c>
      <c r="I23" s="15">
        <f t="shared" si="2"/>
        <v>2E-3</v>
      </c>
      <c r="J23" s="15">
        <f>ROUND(G23/154.02-1,2)</f>
        <v>1.82</v>
      </c>
    </row>
    <row r="24" spans="1:10" x14ac:dyDescent="0.25">
      <c r="A24" s="1" t="s">
        <v>16</v>
      </c>
      <c r="B24" s="1" t="s">
        <v>33</v>
      </c>
      <c r="C24" s="10"/>
      <c r="D24" s="10"/>
      <c r="E24" s="10">
        <v>37</v>
      </c>
      <c r="F24" s="10"/>
      <c r="G24" s="10">
        <f t="shared" si="0"/>
        <v>37</v>
      </c>
      <c r="H24" s="16">
        <f t="shared" si="1"/>
        <v>7.0000000000000007E-2</v>
      </c>
      <c r="I24" s="15">
        <f t="shared" si="2"/>
        <v>0</v>
      </c>
      <c r="J24" s="15">
        <f>ROUND(G24/21.82-1,2)</f>
        <v>0.7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55</v>
      </c>
      <c r="F25" s="10"/>
      <c r="G25" s="10">
        <f t="shared" si="0"/>
        <v>55</v>
      </c>
      <c r="H25" s="16">
        <f t="shared" si="1"/>
        <v>0.11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35</v>
      </c>
      <c r="C26" s="10"/>
      <c r="D26" s="10"/>
      <c r="E26" s="10">
        <v>82</v>
      </c>
      <c r="F26" s="10"/>
      <c r="G26" s="10">
        <f t="shared" si="0"/>
        <v>82</v>
      </c>
      <c r="H26" s="16">
        <f t="shared" si="1"/>
        <v>0.16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1022</v>
      </c>
      <c r="F27" s="10"/>
      <c r="G27" s="10">
        <f t="shared" si="0"/>
        <v>1022</v>
      </c>
      <c r="H27" s="16">
        <f t="shared" si="1"/>
        <v>2.0099999999999998</v>
      </c>
      <c r="I27" s="15">
        <f t="shared" si="2"/>
        <v>4.0000000000000001E-3</v>
      </c>
      <c r="J27" s="15">
        <f>ROUND(G27/315.38-1,2)</f>
        <v>2.2400000000000002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574</v>
      </c>
      <c r="F28" s="10"/>
      <c r="G28" s="10">
        <f t="shared" si="0"/>
        <v>574</v>
      </c>
      <c r="H28" s="16">
        <f t="shared" si="1"/>
        <v>1.1299999999999999</v>
      </c>
      <c r="I28" s="15">
        <f t="shared" si="2"/>
        <v>3.0000000000000001E-3</v>
      </c>
      <c r="J28" s="15"/>
    </row>
    <row r="29" spans="1:10" x14ac:dyDescent="0.25">
      <c r="A29" s="1" t="s">
        <v>16</v>
      </c>
      <c r="B29" s="1" t="s">
        <v>38</v>
      </c>
      <c r="C29" s="10"/>
      <c r="D29" s="10"/>
      <c r="E29" s="10">
        <v>14443</v>
      </c>
      <c r="F29" s="10"/>
      <c r="G29" s="10">
        <f t="shared" si="0"/>
        <v>14443</v>
      </c>
      <c r="H29" s="16">
        <f t="shared" si="1"/>
        <v>28.38</v>
      </c>
      <c r="I29" s="15">
        <f t="shared" si="2"/>
        <v>6.3E-2</v>
      </c>
      <c r="J29" s="15">
        <f>ROUND(G29/6878.4-1,2)</f>
        <v>1.1000000000000001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1211</v>
      </c>
      <c r="F30" s="10"/>
      <c r="G30" s="10">
        <f t="shared" si="0"/>
        <v>1211</v>
      </c>
      <c r="H30" s="16">
        <f t="shared" si="1"/>
        <v>2.38</v>
      </c>
      <c r="I30" s="15">
        <f t="shared" si="2"/>
        <v>5.0000000000000001E-3</v>
      </c>
      <c r="J30" s="15">
        <f>ROUND(G30/383.53-1,2)</f>
        <v>2.16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3721</v>
      </c>
      <c r="F31" s="10"/>
      <c r="G31" s="10">
        <f t="shared" si="0"/>
        <v>3721</v>
      </c>
      <c r="H31" s="16">
        <f t="shared" si="1"/>
        <v>7.31</v>
      </c>
      <c r="I31" s="15">
        <f t="shared" si="2"/>
        <v>1.6E-2</v>
      </c>
      <c r="J31" s="15">
        <f>ROUND(G31/1575.16-1,2)</f>
        <v>1.36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4664</v>
      </c>
      <c r="F32" s="10"/>
      <c r="G32" s="10">
        <f t="shared" si="0"/>
        <v>4664</v>
      </c>
      <c r="H32" s="16">
        <f t="shared" si="1"/>
        <v>9.16</v>
      </c>
      <c r="I32" s="15">
        <f t="shared" si="2"/>
        <v>0.02</v>
      </c>
      <c r="J32" s="15">
        <f>ROUND(G32/589.29-1,2)</f>
        <v>6.91</v>
      </c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ROUND(G33/347.5-1,2)</f>
        <v>-1</v>
      </c>
    </row>
    <row r="34" spans="1:10" x14ac:dyDescent="0.25">
      <c r="A34" s="1" t="s">
        <v>16</v>
      </c>
      <c r="B34" s="1" t="s">
        <v>120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90450</v>
      </c>
      <c r="D36" s="10"/>
      <c r="E36" s="10"/>
      <c r="F36" s="10"/>
      <c r="G36" s="10">
        <f t="shared" si="0"/>
        <v>90450</v>
      </c>
      <c r="H36" s="16">
        <f t="shared" si="1"/>
        <v>177.7</v>
      </c>
      <c r="I36" s="15">
        <f t="shared" si="2"/>
        <v>0.39400000000000002</v>
      </c>
      <c r="J36" s="15">
        <f>ROUND(G36/80760-1,2)</f>
        <v>0.12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8262</v>
      </c>
      <c r="F37" s="10"/>
      <c r="G37" s="10">
        <f t="shared" si="0"/>
        <v>8262</v>
      </c>
      <c r="H37" s="16">
        <f t="shared" si="1"/>
        <v>16.23</v>
      </c>
      <c r="I37" s="15">
        <f t="shared" si="2"/>
        <v>3.5999999999999997E-2</v>
      </c>
      <c r="J37" s="15">
        <f>ROUND(G37/3751.58-1,2)</f>
        <v>1.2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168130</v>
      </c>
      <c r="D40" s="11">
        <f t="shared" si="3"/>
        <v>0</v>
      </c>
      <c r="E40" s="11">
        <f t="shared" si="3"/>
        <v>61251</v>
      </c>
      <c r="F40" s="11">
        <f t="shared" si="3"/>
        <v>0</v>
      </c>
      <c r="G40" s="11">
        <f t="shared" si="3"/>
        <v>229381</v>
      </c>
      <c r="H40" s="14">
        <f t="shared" si="3"/>
        <v>450.67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0.73</v>
      </c>
      <c r="D41" s="12">
        <f>ROUND(D40/G40,2)</f>
        <v>0</v>
      </c>
      <c r="E41" s="12">
        <f>ROUND(E40/G40,2)</f>
        <v>0.27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77680</v>
      </c>
      <c r="D47" s="10">
        <v>0</v>
      </c>
      <c r="E47" s="10">
        <v>52989</v>
      </c>
      <c r="F47" s="10">
        <v>0</v>
      </c>
      <c r="G47" s="10">
        <f>SUM(C47:F47)</f>
        <v>130669</v>
      </c>
      <c r="H47" s="16">
        <f>ROUND(G47/509,2)</f>
        <v>256.72000000000003</v>
      </c>
      <c r="I47" s="9"/>
      <c r="J47" s="9"/>
    </row>
    <row r="48" spans="1:10" x14ac:dyDescent="0.25">
      <c r="A48" s="22" t="s">
        <v>55</v>
      </c>
      <c r="B48" s="22"/>
      <c r="C48" s="10">
        <v>90450</v>
      </c>
      <c r="D48" s="10">
        <v>0</v>
      </c>
      <c r="E48" s="10">
        <v>8262</v>
      </c>
      <c r="F48" s="10">
        <v>0</v>
      </c>
      <c r="G48" s="10">
        <f>SUM(C48:F48)</f>
        <v>98712</v>
      </c>
      <c r="H48" s="16">
        <f>ROUND(G48/509,2)</f>
        <v>193.93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ROUND(G49/509,2)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ROUND(0.5729, 4)</f>
        <v>0.57289999999999996</v>
      </c>
      <c r="D55" s="15">
        <f>ROUND(0.5397, 4)</f>
        <v>0.53969999999999996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ROUND(0.5401, 4)</f>
        <v>0.54010000000000002</v>
      </c>
      <c r="D56" s="15">
        <f>ROUND(0.5026, 4)</f>
        <v>0.50260000000000005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272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177.7</v>
      </c>
      <c r="D61" s="16">
        <v>158.61000000000001</v>
      </c>
      <c r="E61" s="16">
        <v>89.58</v>
      </c>
      <c r="F61" s="16">
        <v>53.73</v>
      </c>
      <c r="G61" s="16">
        <f>12/9*C61</f>
        <v>236.93333333333331</v>
      </c>
      <c r="H61" s="8"/>
      <c r="I61" s="9"/>
      <c r="J61" s="9"/>
    </row>
    <row r="62" spans="1:10" x14ac:dyDescent="0.25">
      <c r="A62" s="22" t="s">
        <v>74</v>
      </c>
      <c r="B62" s="22"/>
      <c r="C62" s="16">
        <v>25.76</v>
      </c>
      <c r="D62" s="16">
        <v>50.39</v>
      </c>
      <c r="E62" s="16">
        <v>60.32</v>
      </c>
      <c r="F62" s="16">
        <v>61.62</v>
      </c>
      <c r="G62" s="16">
        <f>12/9*C62</f>
        <v>34.346666666666664</v>
      </c>
      <c r="H62" s="8"/>
      <c r="I62" s="9"/>
      <c r="J62" s="9"/>
    </row>
    <row r="63" spans="1:10" x14ac:dyDescent="0.25">
      <c r="A63" s="22" t="s">
        <v>75</v>
      </c>
      <c r="B63" s="22"/>
      <c r="C63" s="16">
        <v>256.72000000000003</v>
      </c>
      <c r="D63" s="16">
        <v>302.73</v>
      </c>
      <c r="E63" s="16">
        <v>282.8</v>
      </c>
      <c r="F63" s="16">
        <v>273.33</v>
      </c>
      <c r="G63" s="16">
        <f>12/9*C63</f>
        <v>342.29333333333335</v>
      </c>
      <c r="H63" s="8"/>
      <c r="I63" s="9"/>
      <c r="J63" s="9"/>
    </row>
    <row r="64" spans="1:10" x14ac:dyDescent="0.25">
      <c r="A64" s="22" t="s">
        <v>76</v>
      </c>
      <c r="B64" s="22"/>
      <c r="C64" s="16">
        <v>193.93</v>
      </c>
      <c r="D64" s="16">
        <v>175.26</v>
      </c>
      <c r="E64" s="16">
        <v>112.72</v>
      </c>
      <c r="F64" s="16">
        <v>76.52</v>
      </c>
      <c r="G64" s="16">
        <f>12/9*C64</f>
        <v>258.57333333333332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273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6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274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437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39" si="0">SUM(C9:F9)</f>
        <v>10</v>
      </c>
      <c r="H9" s="16">
        <f t="shared" ref="H9:H39" si="1">ROUND(G9/437,2)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10200</v>
      </c>
      <c r="D10" s="10"/>
      <c r="E10" s="10">
        <v>1748</v>
      </c>
      <c r="F10" s="10"/>
      <c r="G10" s="10">
        <f t="shared" si="0"/>
        <v>11948</v>
      </c>
      <c r="H10" s="16">
        <f t="shared" si="1"/>
        <v>27.34</v>
      </c>
      <c r="I10" s="15">
        <f t="shared" si="2"/>
        <v>7.5999999999999998E-2</v>
      </c>
      <c r="J10" s="15">
        <f>ROUND(G10/10028.16-1,2)</f>
        <v>0.19</v>
      </c>
    </row>
    <row r="11" spans="1:10" x14ac:dyDescent="0.25">
      <c r="A11" s="1" t="s">
        <v>16</v>
      </c>
      <c r="B11" s="1" t="s">
        <v>20</v>
      </c>
      <c r="C11" s="10">
        <v>12885</v>
      </c>
      <c r="D11" s="10"/>
      <c r="E11" s="10"/>
      <c r="F11" s="10"/>
      <c r="G11" s="10">
        <f t="shared" si="0"/>
        <v>12885</v>
      </c>
      <c r="H11" s="16">
        <f t="shared" si="1"/>
        <v>29.49</v>
      </c>
      <c r="I11" s="15">
        <f t="shared" si="2"/>
        <v>8.2000000000000003E-2</v>
      </c>
      <c r="J11" s="15">
        <f>ROUND(G11/13565-1,2)</f>
        <v>-0.05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30</v>
      </c>
      <c r="F12" s="10"/>
      <c r="G12" s="10">
        <f t="shared" si="0"/>
        <v>30</v>
      </c>
      <c r="H12" s="16">
        <f t="shared" si="1"/>
        <v>7.0000000000000007E-2</v>
      </c>
      <c r="I12" s="15">
        <f t="shared" si="2"/>
        <v>0</v>
      </c>
      <c r="J12" s="15">
        <f>ROUND(G12/35-1,2)</f>
        <v>-0.14000000000000001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485</v>
      </c>
      <c r="F13" s="10"/>
      <c r="G13" s="10">
        <f t="shared" si="0"/>
        <v>485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26945</v>
      </c>
      <c r="F14" s="10"/>
      <c r="G14" s="10">
        <f t="shared" si="0"/>
        <v>26945</v>
      </c>
      <c r="H14" s="16">
        <f t="shared" si="1"/>
        <v>61.66</v>
      </c>
      <c r="I14" s="15">
        <f t="shared" si="2"/>
        <v>0.17199999999999999</v>
      </c>
      <c r="J14" s="15">
        <f>ROUND(G14/25404.54-1,2)</f>
        <v>0.06</v>
      </c>
    </row>
    <row r="15" spans="1:10" x14ac:dyDescent="0.25">
      <c r="A15" s="1" t="s">
        <v>16</v>
      </c>
      <c r="B15" s="1" t="s">
        <v>24</v>
      </c>
      <c r="C15" s="10">
        <v>11700</v>
      </c>
      <c r="D15" s="10"/>
      <c r="E15" s="10">
        <v>3907</v>
      </c>
      <c r="F15" s="10"/>
      <c r="G15" s="10">
        <f t="shared" si="0"/>
        <v>15607</v>
      </c>
      <c r="H15" s="16">
        <f t="shared" si="1"/>
        <v>35.71</v>
      </c>
      <c r="I15" s="15">
        <f t="shared" si="2"/>
        <v>0.1</v>
      </c>
      <c r="J15" s="15">
        <f>ROUND(G15/12153.67-1,2)</f>
        <v>0.28000000000000003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4488</v>
      </c>
      <c r="F16" s="10"/>
      <c r="G16" s="10">
        <f t="shared" si="0"/>
        <v>4488</v>
      </c>
      <c r="H16" s="16">
        <f t="shared" si="1"/>
        <v>10.27</v>
      </c>
      <c r="I16" s="15">
        <f t="shared" si="2"/>
        <v>2.9000000000000001E-2</v>
      </c>
      <c r="J16" s="15">
        <f>ROUND(G16/830-1,2)</f>
        <v>4.41</v>
      </c>
    </row>
    <row r="17" spans="1:10" x14ac:dyDescent="0.25">
      <c r="A17" s="1" t="s">
        <v>16</v>
      </c>
      <c r="B17" s="1" t="s">
        <v>26</v>
      </c>
      <c r="C17" s="10">
        <v>12940</v>
      </c>
      <c r="D17" s="10"/>
      <c r="E17" s="10"/>
      <c r="F17" s="10"/>
      <c r="G17" s="10">
        <f t="shared" si="0"/>
        <v>12940</v>
      </c>
      <c r="H17" s="16">
        <f t="shared" si="1"/>
        <v>29.61</v>
      </c>
      <c r="I17" s="15">
        <f t="shared" si="2"/>
        <v>8.3000000000000004E-2</v>
      </c>
      <c r="J17" s="15">
        <f>ROUND(G17/14180-1,2)</f>
        <v>-0.09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231</v>
      </c>
      <c r="F18" s="10"/>
      <c r="G18" s="10">
        <f t="shared" si="0"/>
        <v>231</v>
      </c>
      <c r="H18" s="16">
        <f t="shared" si="1"/>
        <v>0.53</v>
      </c>
      <c r="I18" s="15">
        <f t="shared" si="2"/>
        <v>1E-3</v>
      </c>
      <c r="J18" s="15">
        <f>ROUND(G18/433-1,2)</f>
        <v>-0.47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164</v>
      </c>
      <c r="F19" s="10"/>
      <c r="G19" s="10">
        <f t="shared" si="0"/>
        <v>164</v>
      </c>
      <c r="H19" s="16">
        <f t="shared" si="1"/>
        <v>0.38</v>
      </c>
      <c r="I19" s="15">
        <f t="shared" si="2"/>
        <v>1E-3</v>
      </c>
      <c r="J19" s="15">
        <f>ROUND(G19/82-1,2)</f>
        <v>1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14</v>
      </c>
      <c r="F20" s="10"/>
      <c r="G20" s="10">
        <f t="shared" si="0"/>
        <v>14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333</v>
      </c>
      <c r="F21" s="10"/>
      <c r="G21" s="10">
        <f t="shared" si="0"/>
        <v>333</v>
      </c>
      <c r="H21" s="16">
        <f t="shared" si="1"/>
        <v>0.76</v>
      </c>
      <c r="I21" s="15">
        <f t="shared" si="2"/>
        <v>2E-3</v>
      </c>
      <c r="J21" s="15">
        <f>ROUND(G21/495-1,2)</f>
        <v>-0.33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79</v>
      </c>
      <c r="F22" s="10"/>
      <c r="G22" s="10">
        <f t="shared" si="0"/>
        <v>79</v>
      </c>
      <c r="H22" s="16">
        <f t="shared" si="1"/>
        <v>0.18</v>
      </c>
      <c r="I22" s="15">
        <f t="shared" si="2"/>
        <v>1E-3</v>
      </c>
      <c r="J22" s="15">
        <f>ROUND(G22/60.65-1,2)</f>
        <v>0.3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38</v>
      </c>
      <c r="F23" s="10"/>
      <c r="G23" s="10">
        <f t="shared" si="0"/>
        <v>38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212</v>
      </c>
      <c r="F24" s="10"/>
      <c r="G24" s="10">
        <f t="shared" si="0"/>
        <v>212</v>
      </c>
      <c r="H24" s="16">
        <f t="shared" si="1"/>
        <v>0.49</v>
      </c>
      <c r="I24" s="15">
        <f t="shared" si="2"/>
        <v>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37</v>
      </c>
      <c r="F25" s="10"/>
      <c r="G25" s="10">
        <f t="shared" si="0"/>
        <v>37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43</v>
      </c>
      <c r="C26" s="10"/>
      <c r="D26" s="10"/>
      <c r="E26" s="10">
        <v>1395</v>
      </c>
      <c r="F26" s="10"/>
      <c r="G26" s="10">
        <f t="shared" si="0"/>
        <v>1395</v>
      </c>
      <c r="H26" s="16">
        <f t="shared" si="1"/>
        <v>3.19</v>
      </c>
      <c r="I26" s="15">
        <f t="shared" si="2"/>
        <v>8.9999999999999993E-3</v>
      </c>
      <c r="J26" s="15">
        <f>ROUND(G26/630-1,2)</f>
        <v>1.21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991</v>
      </c>
      <c r="F27" s="10"/>
      <c r="G27" s="10">
        <f t="shared" si="0"/>
        <v>991</v>
      </c>
      <c r="H27" s="16">
        <f t="shared" si="1"/>
        <v>2.27</v>
      </c>
      <c r="I27" s="15">
        <f t="shared" si="2"/>
        <v>6.0000000000000001E-3</v>
      </c>
      <c r="J27" s="15">
        <f>ROUND(G27/23.21-1,2)</f>
        <v>41.7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9684</v>
      </c>
      <c r="F28" s="10"/>
      <c r="G28" s="10">
        <f t="shared" si="0"/>
        <v>9684</v>
      </c>
      <c r="H28" s="16">
        <f t="shared" si="1"/>
        <v>22.16</v>
      </c>
      <c r="I28" s="15">
        <f t="shared" si="2"/>
        <v>6.2E-2</v>
      </c>
      <c r="J28" s="15">
        <f>ROUND(G28/1423.95-1,2)</f>
        <v>5.8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7258</v>
      </c>
      <c r="F29" s="10"/>
      <c r="G29" s="10">
        <f t="shared" si="0"/>
        <v>7258</v>
      </c>
      <c r="H29" s="16">
        <f t="shared" si="1"/>
        <v>16.61</v>
      </c>
      <c r="I29" s="15">
        <f t="shared" si="2"/>
        <v>4.5999999999999999E-2</v>
      </c>
      <c r="J29" s="15">
        <f>ROUND(G29/5645.93-1,2)</f>
        <v>0.28999999999999998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6915</v>
      </c>
      <c r="F30" s="10"/>
      <c r="G30" s="10">
        <f t="shared" si="0"/>
        <v>6915</v>
      </c>
      <c r="H30" s="16">
        <f t="shared" si="1"/>
        <v>15.82</v>
      </c>
      <c r="I30" s="15">
        <f t="shared" si="2"/>
        <v>4.3999999999999997E-2</v>
      </c>
      <c r="J30" s="15">
        <f>ROUND(G30/2703.68-1,2)</f>
        <v>1.56</v>
      </c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ROUND(G32/336-1,2)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31090</v>
      </c>
      <c r="D35" s="10"/>
      <c r="E35" s="10"/>
      <c r="F35" s="10"/>
      <c r="G35" s="10">
        <f t="shared" si="0"/>
        <v>31090</v>
      </c>
      <c r="H35" s="16">
        <f t="shared" si="1"/>
        <v>71.14</v>
      </c>
      <c r="I35" s="15">
        <f t="shared" si="2"/>
        <v>0.19900000000000001</v>
      </c>
      <c r="J35" s="15">
        <f>ROUND(G35/23170-1,2)</f>
        <v>0.34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12823</v>
      </c>
      <c r="F36" s="10"/>
      <c r="G36" s="10">
        <f t="shared" si="0"/>
        <v>12823</v>
      </c>
      <c r="H36" s="16">
        <f t="shared" si="1"/>
        <v>29.34</v>
      </c>
      <c r="I36" s="15">
        <f t="shared" si="2"/>
        <v>8.2000000000000003E-2</v>
      </c>
      <c r="J36" s="15">
        <f>ROUND(G36/9382.34-1,2)</f>
        <v>0.37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ROUND(G37/10690-1,2)</f>
        <v>-1</v>
      </c>
    </row>
    <row r="38" spans="1:10" x14ac:dyDescent="0.25">
      <c r="A38" s="1" t="s">
        <v>48</v>
      </c>
      <c r="B38" s="1" t="s">
        <v>86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ROUND(G38/494-1,2)</f>
        <v>-1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78815</v>
      </c>
      <c r="D40" s="11">
        <f t="shared" si="3"/>
        <v>0</v>
      </c>
      <c r="E40" s="11">
        <f t="shared" si="3"/>
        <v>77787</v>
      </c>
      <c r="F40" s="11">
        <f t="shared" si="3"/>
        <v>0</v>
      </c>
      <c r="G40" s="11">
        <f t="shared" si="3"/>
        <v>156602</v>
      </c>
      <c r="H40" s="14">
        <f t="shared" si="3"/>
        <v>358.35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0.5</v>
      </c>
      <c r="D41" s="12">
        <f>ROUND(D40/G40,2)</f>
        <v>0</v>
      </c>
      <c r="E41" s="12">
        <f>ROUND(E40/G40,2)</f>
        <v>0.5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47725</v>
      </c>
      <c r="D47" s="10">
        <v>0</v>
      </c>
      <c r="E47" s="10">
        <v>64964</v>
      </c>
      <c r="F47" s="10">
        <v>0</v>
      </c>
      <c r="G47" s="10">
        <f>SUM(C47:F47)</f>
        <v>112689</v>
      </c>
      <c r="H47" s="16">
        <f>ROUND(G47/437,2)</f>
        <v>257.87</v>
      </c>
      <c r="I47" s="9"/>
      <c r="J47" s="9"/>
    </row>
    <row r="48" spans="1:10" x14ac:dyDescent="0.25">
      <c r="A48" s="22" t="s">
        <v>55</v>
      </c>
      <c r="B48" s="22"/>
      <c r="C48" s="10">
        <v>31090</v>
      </c>
      <c r="D48" s="10">
        <v>0</v>
      </c>
      <c r="E48" s="10">
        <v>12823</v>
      </c>
      <c r="F48" s="10">
        <v>0</v>
      </c>
      <c r="G48" s="10">
        <f>SUM(C48:F48)</f>
        <v>43913</v>
      </c>
      <c r="H48" s="16">
        <f>ROUND(G48/437,2)</f>
        <v>100.49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ROUND(G49/437,2)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ROUND(0.751, 4)</f>
        <v>0.751</v>
      </c>
      <c r="D55" s="15">
        <f>ROUND(0.7282, 4)</f>
        <v>0.72819999999999996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ROUND(0.7166, 4)</f>
        <v>0.71660000000000001</v>
      </c>
      <c r="D56" s="15">
        <f>ROUND(0.6909, 4)</f>
        <v>0.69089999999999996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275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71.14</v>
      </c>
      <c r="D61" s="16">
        <v>70</v>
      </c>
      <c r="E61" s="16">
        <v>89.58</v>
      </c>
      <c r="F61" s="16">
        <v>53.73</v>
      </c>
      <c r="G61" s="16">
        <f>12/9*C61</f>
        <v>94.853333333333325</v>
      </c>
      <c r="H61" s="8"/>
      <c r="I61" s="9"/>
      <c r="J61" s="9"/>
    </row>
    <row r="62" spans="1:10" x14ac:dyDescent="0.25">
      <c r="A62" s="22" t="s">
        <v>74</v>
      </c>
      <c r="B62" s="22"/>
      <c r="C62" s="16">
        <v>29.61</v>
      </c>
      <c r="D62" s="16">
        <v>37.39</v>
      </c>
      <c r="E62" s="16">
        <v>60.32</v>
      </c>
      <c r="F62" s="16">
        <v>61.62</v>
      </c>
      <c r="G62" s="16">
        <f>12/9*C62</f>
        <v>39.479999999999997</v>
      </c>
      <c r="H62" s="8"/>
      <c r="I62" s="9"/>
      <c r="J62" s="9"/>
    </row>
    <row r="63" spans="1:10" x14ac:dyDescent="0.25">
      <c r="A63" s="22" t="s">
        <v>75</v>
      </c>
      <c r="B63" s="22"/>
      <c r="C63" s="16">
        <v>257.87</v>
      </c>
      <c r="D63" s="16">
        <v>249.32</v>
      </c>
      <c r="E63" s="16">
        <v>282.8</v>
      </c>
      <c r="F63" s="16">
        <v>273.33</v>
      </c>
      <c r="G63" s="16">
        <f>12/9*C63</f>
        <v>343.82666666666665</v>
      </c>
      <c r="H63" s="8"/>
      <c r="I63" s="9"/>
      <c r="J63" s="9"/>
    </row>
    <row r="64" spans="1:10" x14ac:dyDescent="0.25">
      <c r="A64" s="22" t="s">
        <v>76</v>
      </c>
      <c r="B64" s="22"/>
      <c r="C64" s="16">
        <v>100.49</v>
      </c>
      <c r="D64" s="16">
        <v>126.56</v>
      </c>
      <c r="E64" s="16">
        <v>112.72</v>
      </c>
      <c r="F64" s="16">
        <v>76.52</v>
      </c>
      <c r="G64" s="16">
        <f>12/9*C64</f>
        <v>133.98666666666665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276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7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1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4638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119</v>
      </c>
      <c r="F9" s="10"/>
      <c r="G9" s="10">
        <f t="shared" ref="G9:G43" si="0">SUM(C9:F9)</f>
        <v>119</v>
      </c>
      <c r="H9" s="16">
        <f t="shared" ref="H9:H43" si="1">ROUND(G9/4638,2)</f>
        <v>0.03</v>
      </c>
      <c r="I9" s="15">
        <f t="shared" ref="I9:I43" si="2">ROUND(G9/$G$44,3)</f>
        <v>0</v>
      </c>
      <c r="J9" s="15">
        <f>ROUND(G9/30-1,2)</f>
        <v>2.97</v>
      </c>
    </row>
    <row r="10" spans="1:10" x14ac:dyDescent="0.25">
      <c r="A10" s="1" t="s">
        <v>16</v>
      </c>
      <c r="B10" s="1" t="s">
        <v>19</v>
      </c>
      <c r="C10" s="10">
        <v>119120</v>
      </c>
      <c r="D10" s="10"/>
      <c r="E10" s="10">
        <v>6280</v>
      </c>
      <c r="F10" s="10"/>
      <c r="G10" s="10">
        <f t="shared" si="0"/>
        <v>125400</v>
      </c>
      <c r="H10" s="16">
        <f t="shared" si="1"/>
        <v>27.04</v>
      </c>
      <c r="I10" s="15">
        <f t="shared" si="2"/>
        <v>9.4E-2</v>
      </c>
      <c r="J10" s="15">
        <f>ROUND(G10/117365-1,2)</f>
        <v>7.0000000000000007E-2</v>
      </c>
    </row>
    <row r="11" spans="1:10" x14ac:dyDescent="0.25">
      <c r="A11" s="1" t="s">
        <v>16</v>
      </c>
      <c r="B11" s="1" t="s">
        <v>20</v>
      </c>
      <c r="C11" s="10">
        <v>146900</v>
      </c>
      <c r="D11" s="10"/>
      <c r="E11" s="10"/>
      <c r="F11" s="10"/>
      <c r="G11" s="10">
        <f t="shared" si="0"/>
        <v>146900</v>
      </c>
      <c r="H11" s="16">
        <f t="shared" si="1"/>
        <v>31.67</v>
      </c>
      <c r="I11" s="15">
        <f t="shared" si="2"/>
        <v>0.11</v>
      </c>
      <c r="J11" s="15">
        <f>ROUND(G11/145770-1,2)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22</v>
      </c>
      <c r="F12" s="10"/>
      <c r="G12" s="10">
        <f t="shared" si="0"/>
        <v>22</v>
      </c>
      <c r="H12" s="16">
        <f t="shared" si="1"/>
        <v>0</v>
      </c>
      <c r="I12" s="15">
        <f t="shared" si="2"/>
        <v>0</v>
      </c>
      <c r="J12" s="15">
        <f>ROUND(G12/63-1,2)</f>
        <v>-0.65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227</v>
      </c>
      <c r="F13" s="10"/>
      <c r="G13" s="10">
        <f t="shared" si="0"/>
        <v>227</v>
      </c>
      <c r="H13" s="16">
        <f t="shared" si="1"/>
        <v>0.05</v>
      </c>
      <c r="I13" s="15">
        <f t="shared" si="2"/>
        <v>0</v>
      </c>
      <c r="J13" s="15">
        <f>ROUND(G13/173-1,2)</f>
        <v>0.31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2900</v>
      </c>
      <c r="F14" s="10"/>
      <c r="G14" s="10">
        <f t="shared" si="0"/>
        <v>2900</v>
      </c>
      <c r="H14" s="16">
        <f t="shared" si="1"/>
        <v>0.63</v>
      </c>
      <c r="I14" s="15">
        <f t="shared" si="2"/>
        <v>2E-3</v>
      </c>
      <c r="J14" s="15">
        <f>ROUND(G14/1600-1,2)</f>
        <v>0.81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40460</v>
      </c>
      <c r="F15" s="10"/>
      <c r="G15" s="10">
        <f t="shared" si="0"/>
        <v>40460</v>
      </c>
      <c r="H15" s="16">
        <f t="shared" si="1"/>
        <v>8.7200000000000006</v>
      </c>
      <c r="I15" s="15">
        <f t="shared" si="2"/>
        <v>0.03</v>
      </c>
      <c r="J15" s="15">
        <f>ROUND(G15/42680-1,2)</f>
        <v>-0.05</v>
      </c>
    </row>
    <row r="16" spans="1:10" x14ac:dyDescent="0.25">
      <c r="A16" s="1" t="s">
        <v>16</v>
      </c>
      <c r="B16" s="1" t="s">
        <v>24</v>
      </c>
      <c r="C16" s="10">
        <v>179440</v>
      </c>
      <c r="D16" s="10"/>
      <c r="E16" s="10">
        <v>1200</v>
      </c>
      <c r="F16" s="10">
        <v>1020</v>
      </c>
      <c r="G16" s="10">
        <f t="shared" si="0"/>
        <v>181660</v>
      </c>
      <c r="H16" s="16">
        <f t="shared" si="1"/>
        <v>39.17</v>
      </c>
      <c r="I16" s="15">
        <f t="shared" si="2"/>
        <v>0.13500000000000001</v>
      </c>
      <c r="J16" s="15">
        <f>ROUND(G16/185180-1,2)</f>
        <v>-0.02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5800</v>
      </c>
      <c r="F17" s="10"/>
      <c r="G17" s="10">
        <f t="shared" si="0"/>
        <v>5800</v>
      </c>
      <c r="H17" s="16">
        <f t="shared" si="1"/>
        <v>1.25</v>
      </c>
      <c r="I17" s="15">
        <f t="shared" si="2"/>
        <v>4.0000000000000001E-3</v>
      </c>
      <c r="J17" s="15">
        <f>ROUND(G17/7055-1,2)</f>
        <v>-0.18</v>
      </c>
    </row>
    <row r="18" spans="1:10" x14ac:dyDescent="0.25">
      <c r="A18" s="1" t="s">
        <v>16</v>
      </c>
      <c r="B18" s="1" t="s">
        <v>26</v>
      </c>
      <c r="C18" s="10">
        <v>248280</v>
      </c>
      <c r="D18" s="10"/>
      <c r="E18" s="10"/>
      <c r="F18" s="10">
        <v>1350</v>
      </c>
      <c r="G18" s="10">
        <f t="shared" si="0"/>
        <v>249630</v>
      </c>
      <c r="H18" s="16">
        <f t="shared" si="1"/>
        <v>53.82</v>
      </c>
      <c r="I18" s="15">
        <f t="shared" si="2"/>
        <v>0.186</v>
      </c>
      <c r="J18" s="15">
        <f>ROUND(G18/231720-1,2)</f>
        <v>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984</v>
      </c>
      <c r="F19" s="10"/>
      <c r="G19" s="10">
        <f t="shared" si="0"/>
        <v>984</v>
      </c>
      <c r="H19" s="16">
        <f t="shared" si="1"/>
        <v>0.21</v>
      </c>
      <c r="I19" s="15">
        <f t="shared" si="2"/>
        <v>1E-3</v>
      </c>
      <c r="J19" s="15">
        <f>ROUND(G19/3565-1,2)</f>
        <v>-0.72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698</v>
      </c>
      <c r="F20" s="10"/>
      <c r="G20" s="10">
        <f t="shared" si="0"/>
        <v>698</v>
      </c>
      <c r="H20" s="16">
        <f t="shared" si="1"/>
        <v>0.15</v>
      </c>
      <c r="I20" s="15">
        <f t="shared" si="2"/>
        <v>1E-3</v>
      </c>
      <c r="J20" s="15">
        <f>ROUND(G20/277-1,2)</f>
        <v>1.52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1020</v>
      </c>
      <c r="F21" s="10"/>
      <c r="G21" s="10">
        <f t="shared" si="0"/>
        <v>1020</v>
      </c>
      <c r="H21" s="16">
        <f t="shared" si="1"/>
        <v>0.22</v>
      </c>
      <c r="I21" s="15">
        <f t="shared" si="2"/>
        <v>1E-3</v>
      </c>
      <c r="J21" s="15">
        <f>ROUND(G21/820-1,2)</f>
        <v>0.24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240</v>
      </c>
      <c r="F22" s="10"/>
      <c r="G22" s="10">
        <f t="shared" si="0"/>
        <v>240</v>
      </c>
      <c r="H22" s="16">
        <f t="shared" si="1"/>
        <v>0.05</v>
      </c>
      <c r="I22" s="15">
        <f t="shared" si="2"/>
        <v>0</v>
      </c>
      <c r="J22" s="15">
        <f>ROUND(G22/440-1,2)</f>
        <v>-0.45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2165</v>
      </c>
      <c r="F23" s="10"/>
      <c r="G23" s="10">
        <f t="shared" si="0"/>
        <v>2165</v>
      </c>
      <c r="H23" s="16">
        <f t="shared" si="1"/>
        <v>0.47</v>
      </c>
      <c r="I23" s="15">
        <f t="shared" si="2"/>
        <v>2E-3</v>
      </c>
      <c r="J23" s="15">
        <f>ROUND(G23/1475-1,2)</f>
        <v>0.47</v>
      </c>
    </row>
    <row r="24" spans="1:10" x14ac:dyDescent="0.25">
      <c r="A24" s="1" t="s">
        <v>16</v>
      </c>
      <c r="B24" s="1" t="s">
        <v>33</v>
      </c>
      <c r="C24" s="10"/>
      <c r="D24" s="10">
        <v>185</v>
      </c>
      <c r="E24" s="10">
        <v>162</v>
      </c>
      <c r="F24" s="10"/>
      <c r="G24" s="10">
        <f t="shared" si="0"/>
        <v>347</v>
      </c>
      <c r="H24" s="16">
        <f t="shared" si="1"/>
        <v>7.0000000000000007E-2</v>
      </c>
      <c r="I24" s="15">
        <f t="shared" si="2"/>
        <v>0</v>
      </c>
      <c r="J24" s="15">
        <f>ROUND(G24/393-1,2)</f>
        <v>-0.12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305</v>
      </c>
      <c r="F25" s="10"/>
      <c r="G25" s="10">
        <f t="shared" si="0"/>
        <v>305</v>
      </c>
      <c r="H25" s="16">
        <f t="shared" si="1"/>
        <v>7.0000000000000007E-2</v>
      </c>
      <c r="I25" s="15">
        <f t="shared" si="2"/>
        <v>0</v>
      </c>
      <c r="J25" s="15">
        <f>ROUND(G25/728-1,2)</f>
        <v>-0.57999999999999996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2040</v>
      </c>
      <c r="F26" s="10"/>
      <c r="G26" s="10">
        <f t="shared" si="0"/>
        <v>2040</v>
      </c>
      <c r="H26" s="16">
        <f t="shared" si="1"/>
        <v>0.44</v>
      </c>
      <c r="I26" s="15">
        <f t="shared" si="2"/>
        <v>2E-3</v>
      </c>
      <c r="J26" s="15">
        <f>ROUND(G26/2110-1,2)</f>
        <v>-0.03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3000</v>
      </c>
      <c r="F27" s="10"/>
      <c r="G27" s="10">
        <f t="shared" si="0"/>
        <v>3000</v>
      </c>
      <c r="H27" s="16">
        <f t="shared" si="1"/>
        <v>0.65</v>
      </c>
      <c r="I27" s="15">
        <f t="shared" si="2"/>
        <v>2E-3</v>
      </c>
      <c r="J27" s="15">
        <f>ROUND(G27/3728-1,2)</f>
        <v>-0.2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3100</v>
      </c>
      <c r="F28" s="10"/>
      <c r="G28" s="10">
        <f t="shared" si="0"/>
        <v>3100</v>
      </c>
      <c r="H28" s="16">
        <f t="shared" si="1"/>
        <v>0.67</v>
      </c>
      <c r="I28" s="15">
        <f t="shared" si="2"/>
        <v>2E-3</v>
      </c>
      <c r="J28" s="15">
        <f>ROUND(G28/5238-1,2)</f>
        <v>-0.41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78320</v>
      </c>
      <c r="F29" s="10"/>
      <c r="G29" s="10">
        <f t="shared" si="0"/>
        <v>78320</v>
      </c>
      <c r="H29" s="16">
        <f t="shared" si="1"/>
        <v>16.89</v>
      </c>
      <c r="I29" s="15">
        <f t="shared" si="2"/>
        <v>5.8000000000000003E-2</v>
      </c>
      <c r="J29" s="15">
        <f>ROUND(G29/68705-1,2)</f>
        <v>0.14000000000000001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5520</v>
      </c>
      <c r="F30" s="10"/>
      <c r="G30" s="10">
        <f t="shared" si="0"/>
        <v>5520</v>
      </c>
      <c r="H30" s="16">
        <f t="shared" si="1"/>
        <v>1.19</v>
      </c>
      <c r="I30" s="15">
        <f t="shared" si="2"/>
        <v>4.0000000000000001E-3</v>
      </c>
      <c r="J30" s="15">
        <f>ROUND(G30/6790-1,2)</f>
        <v>-0.19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17110</v>
      </c>
      <c r="F31" s="10"/>
      <c r="G31" s="10">
        <f t="shared" si="0"/>
        <v>17110</v>
      </c>
      <c r="H31" s="16">
        <f t="shared" si="1"/>
        <v>3.69</v>
      </c>
      <c r="I31" s="15">
        <f t="shared" si="2"/>
        <v>1.2999999999999999E-2</v>
      </c>
      <c r="J31" s="15">
        <f>ROUND(G31/19630-1,2)</f>
        <v>-0.13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168410</v>
      </c>
      <c r="F32" s="10">
        <v>1500</v>
      </c>
      <c r="G32" s="10">
        <f t="shared" si="0"/>
        <v>169910</v>
      </c>
      <c r="H32" s="16">
        <f t="shared" si="1"/>
        <v>36.630000000000003</v>
      </c>
      <c r="I32" s="15">
        <f t="shared" si="2"/>
        <v>0.127</v>
      </c>
      <c r="J32" s="15">
        <f>ROUND(G32/206820-1,2)</f>
        <v>-0.18</v>
      </c>
    </row>
    <row r="33" spans="1:10" x14ac:dyDescent="0.25">
      <c r="A33" s="1" t="s">
        <v>16</v>
      </c>
      <c r="B33" s="1" t="s">
        <v>29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ROUND(G33/4390-1,2)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ROUND(G34/2950-1,2)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ROUND(G36/400-1,2)</f>
        <v>-1</v>
      </c>
    </row>
    <row r="37" spans="1:10" x14ac:dyDescent="0.25">
      <c r="A37" s="1" t="s">
        <v>44</v>
      </c>
      <c r="B37" s="1" t="s">
        <v>45</v>
      </c>
      <c r="C37" s="10">
        <v>205760</v>
      </c>
      <c r="D37" s="10"/>
      <c r="E37" s="10"/>
      <c r="F37" s="10"/>
      <c r="G37" s="10">
        <f t="shared" si="0"/>
        <v>205760</v>
      </c>
      <c r="H37" s="16">
        <f t="shared" si="1"/>
        <v>44.36</v>
      </c>
      <c r="I37" s="15">
        <f t="shared" si="2"/>
        <v>0.153</v>
      </c>
      <c r="J37" s="15">
        <f>ROUND(G37/195190-1,2)</f>
        <v>0.05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43740</v>
      </c>
      <c r="G38" s="10">
        <f t="shared" si="0"/>
        <v>43740</v>
      </c>
      <c r="H38" s="16">
        <f t="shared" si="1"/>
        <v>9.43</v>
      </c>
      <c r="I38" s="15">
        <f t="shared" si="2"/>
        <v>3.3000000000000002E-2</v>
      </c>
      <c r="J38" s="15">
        <f>ROUND(G38/66500-1,2)</f>
        <v>-0.34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53760</v>
      </c>
      <c r="F39" s="10"/>
      <c r="G39" s="10">
        <f t="shared" si="0"/>
        <v>53760</v>
      </c>
      <c r="H39" s="16">
        <f t="shared" si="1"/>
        <v>11.59</v>
      </c>
      <c r="I39" s="15">
        <f t="shared" si="2"/>
        <v>0.04</v>
      </c>
      <c r="J39" s="15">
        <f>ROUND(G39/50300-1,2)</f>
        <v>7.0000000000000007E-2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ROUND(G40/200-1,2)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3" t="s">
        <v>12</v>
      </c>
      <c r="B44" s="23"/>
      <c r="C44" s="11">
        <f t="shared" ref="C44:H44" si="3">SUM(C8:C43)</f>
        <v>899500</v>
      </c>
      <c r="D44" s="11">
        <f t="shared" si="3"/>
        <v>185</v>
      </c>
      <c r="E44" s="11">
        <f t="shared" si="3"/>
        <v>393842</v>
      </c>
      <c r="F44" s="11">
        <f t="shared" si="3"/>
        <v>47610</v>
      </c>
      <c r="G44" s="11">
        <f t="shared" si="3"/>
        <v>1341137</v>
      </c>
      <c r="H44" s="14">
        <f t="shared" si="3"/>
        <v>289.15999999999997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0.67</v>
      </c>
      <c r="D45" s="12">
        <f>ROUND(D44/G44,2)</f>
        <v>0</v>
      </c>
      <c r="E45" s="12">
        <f>ROUND(E44/G44,2)</f>
        <v>0.28999999999999998</v>
      </c>
      <c r="F45" s="12">
        <f>ROUND(F44/G44,2)</f>
        <v>0.04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693740</v>
      </c>
      <c r="D51" s="10">
        <v>185</v>
      </c>
      <c r="E51" s="10">
        <v>340082</v>
      </c>
      <c r="F51" s="10">
        <v>3870</v>
      </c>
      <c r="G51" s="10">
        <f>SUM(C51:F51)</f>
        <v>1037877</v>
      </c>
      <c r="H51" s="16">
        <f>ROUND(G51/4638,2)</f>
        <v>223.78</v>
      </c>
      <c r="I51" s="9"/>
      <c r="J51" s="9"/>
    </row>
    <row r="52" spans="1:10" x14ac:dyDescent="0.25">
      <c r="A52" s="22" t="s">
        <v>55</v>
      </c>
      <c r="B52" s="22"/>
      <c r="C52" s="10">
        <v>205760</v>
      </c>
      <c r="D52" s="10">
        <v>0</v>
      </c>
      <c r="E52" s="10">
        <v>53760</v>
      </c>
      <c r="F52" s="10">
        <v>43740</v>
      </c>
      <c r="G52" s="10">
        <f>SUM(C52:F52)</f>
        <v>303260</v>
      </c>
      <c r="H52" s="16">
        <f>ROUND(G52/4638,2)</f>
        <v>65.39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ROUND(G53/4638,2)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ROUND(0.8325, 4)</f>
        <v>0.83250000000000002</v>
      </c>
      <c r="D59" s="15">
        <f>ROUND(0.8355, 4)</f>
        <v>0.83550000000000002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ROUND(0.8201, 4)</f>
        <v>0.82010000000000005</v>
      </c>
      <c r="D60" s="15">
        <f>ROUND(0.8233, 4)</f>
        <v>0.82330000000000003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278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44.36</v>
      </c>
      <c r="D65" s="16">
        <v>77.7</v>
      </c>
      <c r="E65" s="16">
        <v>89.58</v>
      </c>
      <c r="F65" s="16">
        <v>53.73</v>
      </c>
      <c r="G65" s="16">
        <f>12/9*C65</f>
        <v>59.146666666666661</v>
      </c>
      <c r="H65" s="8"/>
      <c r="I65" s="9"/>
      <c r="J65" s="9"/>
    </row>
    <row r="66" spans="1:10" x14ac:dyDescent="0.25">
      <c r="A66" s="22" t="s">
        <v>74</v>
      </c>
      <c r="B66" s="22"/>
      <c r="C66" s="16">
        <v>53.82</v>
      </c>
      <c r="D66" s="16">
        <v>62.76</v>
      </c>
      <c r="E66" s="16">
        <v>60.32</v>
      </c>
      <c r="F66" s="16">
        <v>61.62</v>
      </c>
      <c r="G66" s="16">
        <f>12/9*C66</f>
        <v>71.759999999999991</v>
      </c>
      <c r="H66" s="8"/>
      <c r="I66" s="9"/>
      <c r="J66" s="9"/>
    </row>
    <row r="67" spans="1:10" x14ac:dyDescent="0.25">
      <c r="A67" s="22" t="s">
        <v>75</v>
      </c>
      <c r="B67" s="22"/>
      <c r="C67" s="16">
        <v>223.78</v>
      </c>
      <c r="D67" s="16">
        <v>295.77</v>
      </c>
      <c r="E67" s="16">
        <v>282.8</v>
      </c>
      <c r="F67" s="16">
        <v>273.33</v>
      </c>
      <c r="G67" s="16">
        <f>12/9*C67</f>
        <v>298.37333333333333</v>
      </c>
      <c r="H67" s="8"/>
      <c r="I67" s="9"/>
      <c r="J67" s="9"/>
    </row>
    <row r="68" spans="1:10" x14ac:dyDescent="0.25">
      <c r="A68" s="22" t="s">
        <v>76</v>
      </c>
      <c r="B68" s="22"/>
      <c r="C68" s="16">
        <v>65.39</v>
      </c>
      <c r="D68" s="16">
        <v>105.89</v>
      </c>
      <c r="E68" s="16">
        <v>112.72</v>
      </c>
      <c r="F68" s="16">
        <v>76.52</v>
      </c>
      <c r="G68" s="16">
        <f>12/9*C68</f>
        <v>87.186666666666667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8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8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6015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6</v>
      </c>
      <c r="G9" s="10">
        <f t="shared" ref="G9:G44" si="0">SUM(C9:F9)</f>
        <v>6</v>
      </c>
      <c r="H9" s="16">
        <f t="shared" ref="H9:H44" si="1">ROUND(G9/6015,2)</f>
        <v>0</v>
      </c>
      <c r="I9" s="15">
        <f t="shared" ref="I9:I44" si="2">ROUND(G9/$G$45,3)</f>
        <v>0</v>
      </c>
      <c r="J9" s="15"/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ROUND(G11/635-1,2)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40</v>
      </c>
      <c r="F13" s="10"/>
      <c r="G13" s="10">
        <f t="shared" si="0"/>
        <v>40</v>
      </c>
      <c r="H13" s="16">
        <f t="shared" si="1"/>
        <v>0.01</v>
      </c>
      <c r="I13" s="15">
        <f t="shared" si="2"/>
        <v>0</v>
      </c>
      <c r="J13" s="15">
        <f>ROUND(G13/71-1,2)</f>
        <v>-0.44</v>
      </c>
    </row>
    <row r="14" spans="1:10" x14ac:dyDescent="0.25">
      <c r="A14" s="1" t="s">
        <v>16</v>
      </c>
      <c r="B14" s="1" t="s">
        <v>19</v>
      </c>
      <c r="C14" s="10">
        <v>159075</v>
      </c>
      <c r="D14" s="10"/>
      <c r="E14" s="10">
        <v>5590</v>
      </c>
      <c r="F14" s="10">
        <v>1365</v>
      </c>
      <c r="G14" s="10">
        <f t="shared" si="0"/>
        <v>166030</v>
      </c>
      <c r="H14" s="16">
        <f t="shared" si="1"/>
        <v>27.6</v>
      </c>
      <c r="I14" s="15">
        <f t="shared" si="2"/>
        <v>9.6000000000000002E-2</v>
      </c>
      <c r="J14" s="15">
        <f>ROUND(G14/160630-1,2)</f>
        <v>0.03</v>
      </c>
    </row>
    <row r="15" spans="1:10" x14ac:dyDescent="0.25">
      <c r="A15" s="1" t="s">
        <v>16</v>
      </c>
      <c r="B15" s="1" t="s">
        <v>20</v>
      </c>
      <c r="C15" s="10">
        <v>181520</v>
      </c>
      <c r="D15" s="10"/>
      <c r="E15" s="10"/>
      <c r="F15" s="10"/>
      <c r="G15" s="10">
        <f t="shared" si="0"/>
        <v>181520</v>
      </c>
      <c r="H15" s="16">
        <f t="shared" si="1"/>
        <v>30.18</v>
      </c>
      <c r="I15" s="15">
        <f t="shared" si="2"/>
        <v>0.105</v>
      </c>
      <c r="J15" s="15">
        <f>ROUND(G15/187600-1,2)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288</v>
      </c>
      <c r="F16" s="10"/>
      <c r="G16" s="10">
        <f t="shared" si="0"/>
        <v>288</v>
      </c>
      <c r="H16" s="16">
        <f t="shared" si="1"/>
        <v>0.05</v>
      </c>
      <c r="I16" s="15">
        <f t="shared" si="2"/>
        <v>0</v>
      </c>
      <c r="J16" s="15">
        <f>ROUND(G16/177-1,2)</f>
        <v>0.63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198</v>
      </c>
      <c r="F17" s="10"/>
      <c r="G17" s="10">
        <f t="shared" si="0"/>
        <v>198</v>
      </c>
      <c r="H17" s="16">
        <f t="shared" si="1"/>
        <v>0.03</v>
      </c>
      <c r="I17" s="15">
        <f t="shared" si="2"/>
        <v>0</v>
      </c>
      <c r="J17" s="15">
        <f>ROUND(G17/235-1,2)</f>
        <v>-0.16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2580</v>
      </c>
      <c r="F18" s="10"/>
      <c r="G18" s="10">
        <f t="shared" si="0"/>
        <v>2580</v>
      </c>
      <c r="H18" s="16">
        <f t="shared" si="1"/>
        <v>0.43</v>
      </c>
      <c r="I18" s="15">
        <f t="shared" si="2"/>
        <v>1E-3</v>
      </c>
      <c r="J18" s="15">
        <f>ROUND(G18/3500-1,2)</f>
        <v>-0.26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47120</v>
      </c>
      <c r="F19" s="10"/>
      <c r="G19" s="10">
        <f t="shared" si="0"/>
        <v>47120</v>
      </c>
      <c r="H19" s="16">
        <f t="shared" si="1"/>
        <v>7.83</v>
      </c>
      <c r="I19" s="15">
        <f t="shared" si="2"/>
        <v>2.7E-2</v>
      </c>
      <c r="J19" s="15">
        <f>ROUND(G19/37420-1,2)</f>
        <v>0.26</v>
      </c>
    </row>
    <row r="20" spans="1:10" x14ac:dyDescent="0.25">
      <c r="A20" s="1" t="s">
        <v>16</v>
      </c>
      <c r="B20" s="1" t="s">
        <v>24</v>
      </c>
      <c r="C20" s="10">
        <v>270650</v>
      </c>
      <c r="D20" s="10"/>
      <c r="E20" s="10">
        <v>25380</v>
      </c>
      <c r="F20" s="10">
        <v>4340</v>
      </c>
      <c r="G20" s="10">
        <f t="shared" si="0"/>
        <v>300370</v>
      </c>
      <c r="H20" s="16">
        <f t="shared" si="1"/>
        <v>49.94</v>
      </c>
      <c r="I20" s="15">
        <f t="shared" si="2"/>
        <v>0.17399999999999999</v>
      </c>
      <c r="J20" s="15">
        <f>ROUND(G20/290360-1,2)</f>
        <v>0.03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7790</v>
      </c>
      <c r="F21" s="10"/>
      <c r="G21" s="10">
        <f t="shared" si="0"/>
        <v>7790</v>
      </c>
      <c r="H21" s="16">
        <f t="shared" si="1"/>
        <v>1.3</v>
      </c>
      <c r="I21" s="15">
        <f t="shared" si="2"/>
        <v>5.0000000000000001E-3</v>
      </c>
      <c r="J21" s="15">
        <f>ROUND(G21/7535-1,2)</f>
        <v>0.03</v>
      </c>
    </row>
    <row r="22" spans="1:10" x14ac:dyDescent="0.25">
      <c r="A22" s="1" t="s">
        <v>16</v>
      </c>
      <c r="B22" s="1" t="s">
        <v>26</v>
      </c>
      <c r="C22" s="10">
        <v>336350</v>
      </c>
      <c r="D22" s="10"/>
      <c r="E22" s="10"/>
      <c r="F22" s="10">
        <v>1510</v>
      </c>
      <c r="G22" s="10">
        <f t="shared" si="0"/>
        <v>337860</v>
      </c>
      <c r="H22" s="16">
        <f t="shared" si="1"/>
        <v>56.17</v>
      </c>
      <c r="I22" s="15">
        <f t="shared" si="2"/>
        <v>0.19500000000000001</v>
      </c>
      <c r="J22" s="15">
        <f>ROUND(G22/311940-1,2)</f>
        <v>0.08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1936</v>
      </c>
      <c r="F23" s="10"/>
      <c r="G23" s="10">
        <f t="shared" si="0"/>
        <v>1936</v>
      </c>
      <c r="H23" s="16">
        <f t="shared" si="1"/>
        <v>0.32</v>
      </c>
      <c r="I23" s="15">
        <f t="shared" si="2"/>
        <v>1E-3</v>
      </c>
      <c r="J23" s="15">
        <f>ROUND(G23/2184-1,2)</f>
        <v>-0.11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1434</v>
      </c>
      <c r="F24" s="10"/>
      <c r="G24" s="10">
        <f t="shared" si="0"/>
        <v>1434</v>
      </c>
      <c r="H24" s="16">
        <f t="shared" si="1"/>
        <v>0.24</v>
      </c>
      <c r="I24" s="15">
        <f t="shared" si="2"/>
        <v>1E-3</v>
      </c>
      <c r="J24" s="15">
        <f>ROUND(G24/1299-1,2)</f>
        <v>0.1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180</v>
      </c>
      <c r="F25" s="10"/>
      <c r="G25" s="10">
        <f t="shared" si="0"/>
        <v>180</v>
      </c>
      <c r="H25" s="16">
        <f t="shared" si="1"/>
        <v>0.03</v>
      </c>
      <c r="I25" s="15">
        <f t="shared" si="2"/>
        <v>0</v>
      </c>
      <c r="J25" s="15">
        <f>ROUND(G25/373-1,2)</f>
        <v>-0.52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3300</v>
      </c>
      <c r="F26" s="10"/>
      <c r="G26" s="10">
        <f t="shared" si="0"/>
        <v>3300</v>
      </c>
      <c r="H26" s="16">
        <f t="shared" si="1"/>
        <v>0.55000000000000004</v>
      </c>
      <c r="I26" s="15">
        <f t="shared" si="2"/>
        <v>2E-3</v>
      </c>
      <c r="J26" s="15">
        <f>ROUND(G26/6330-1,2)</f>
        <v>-0.48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1190</v>
      </c>
      <c r="F27" s="10"/>
      <c r="G27" s="10">
        <f t="shared" si="0"/>
        <v>1190</v>
      </c>
      <c r="H27" s="16">
        <f t="shared" si="1"/>
        <v>0.2</v>
      </c>
      <c r="I27" s="15">
        <f t="shared" si="2"/>
        <v>1E-3</v>
      </c>
      <c r="J27" s="15">
        <f>ROUND(G27/1500-1,2)</f>
        <v>-0.21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290</v>
      </c>
      <c r="F28" s="10"/>
      <c r="G28" s="10">
        <f t="shared" si="0"/>
        <v>290</v>
      </c>
      <c r="H28" s="16">
        <f t="shared" si="1"/>
        <v>0.05</v>
      </c>
      <c r="I28" s="15">
        <f t="shared" si="2"/>
        <v>0</v>
      </c>
      <c r="J28" s="15">
        <f>ROUND(G28/580-1,2)</f>
        <v>-0.5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1835</v>
      </c>
      <c r="F29" s="10"/>
      <c r="G29" s="10">
        <f t="shared" si="0"/>
        <v>1835</v>
      </c>
      <c r="H29" s="16">
        <f t="shared" si="1"/>
        <v>0.31</v>
      </c>
      <c r="I29" s="15">
        <f t="shared" si="2"/>
        <v>1E-3</v>
      </c>
      <c r="J29" s="15">
        <f>ROUND(G29/2380-1,2)</f>
        <v>-0.23</v>
      </c>
    </row>
    <row r="30" spans="1:10" x14ac:dyDescent="0.25">
      <c r="A30" s="1" t="s">
        <v>16</v>
      </c>
      <c r="B30" s="1" t="s">
        <v>33</v>
      </c>
      <c r="C30" s="10"/>
      <c r="D30" s="10">
        <v>344</v>
      </c>
      <c r="E30" s="10">
        <v>92</v>
      </c>
      <c r="F30" s="10"/>
      <c r="G30" s="10">
        <f t="shared" si="0"/>
        <v>436</v>
      </c>
      <c r="H30" s="16">
        <f t="shared" si="1"/>
        <v>7.0000000000000007E-2</v>
      </c>
      <c r="I30" s="15">
        <f t="shared" si="2"/>
        <v>0</v>
      </c>
      <c r="J30" s="15">
        <f>ROUND(G30/367-1,2)</f>
        <v>0.19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590</v>
      </c>
      <c r="F31" s="10"/>
      <c r="G31" s="10">
        <f t="shared" si="0"/>
        <v>590</v>
      </c>
      <c r="H31" s="16">
        <f t="shared" si="1"/>
        <v>0.1</v>
      </c>
      <c r="I31" s="15">
        <f t="shared" si="2"/>
        <v>0</v>
      </c>
      <c r="J31" s="15">
        <f>ROUND(G31/2050-1,2)</f>
        <v>-0.71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7720</v>
      </c>
      <c r="F32" s="10"/>
      <c r="G32" s="10">
        <f t="shared" si="0"/>
        <v>7720</v>
      </c>
      <c r="H32" s="16">
        <f t="shared" si="1"/>
        <v>1.28</v>
      </c>
      <c r="I32" s="15">
        <f t="shared" si="2"/>
        <v>4.0000000000000001E-3</v>
      </c>
      <c r="J32" s="15">
        <f>ROUND(G32/15055-1,2)</f>
        <v>-0.49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4210</v>
      </c>
      <c r="F33" s="10"/>
      <c r="G33" s="10">
        <f t="shared" si="0"/>
        <v>4210</v>
      </c>
      <c r="H33" s="16">
        <f t="shared" si="1"/>
        <v>0.7</v>
      </c>
      <c r="I33" s="15">
        <f t="shared" si="2"/>
        <v>2E-3</v>
      </c>
      <c r="J33" s="15">
        <f>ROUND(G33/5470-1,2)</f>
        <v>-0.23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120755</v>
      </c>
      <c r="F34" s="10"/>
      <c r="G34" s="10">
        <f t="shared" si="0"/>
        <v>120755</v>
      </c>
      <c r="H34" s="16">
        <f t="shared" si="1"/>
        <v>20.079999999999998</v>
      </c>
      <c r="I34" s="15">
        <f t="shared" si="2"/>
        <v>7.0000000000000007E-2</v>
      </c>
      <c r="J34" s="15">
        <f>ROUND(G34/121110-1,2)</f>
        <v>0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6230</v>
      </c>
      <c r="F35" s="10"/>
      <c r="G35" s="10">
        <f t="shared" si="0"/>
        <v>6230</v>
      </c>
      <c r="H35" s="16">
        <f t="shared" si="1"/>
        <v>1.04</v>
      </c>
      <c r="I35" s="15">
        <f t="shared" si="2"/>
        <v>4.0000000000000001E-3</v>
      </c>
      <c r="J35" s="15">
        <f>ROUND(G35/4540-1,2)</f>
        <v>0.37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24670</v>
      </c>
      <c r="F36" s="10"/>
      <c r="G36" s="10">
        <f t="shared" si="0"/>
        <v>24670</v>
      </c>
      <c r="H36" s="16">
        <f t="shared" si="1"/>
        <v>4.0999999999999996</v>
      </c>
      <c r="I36" s="15">
        <f t="shared" si="2"/>
        <v>1.4E-2</v>
      </c>
      <c r="J36" s="15">
        <f>ROUND(G36/24050-1,2)</f>
        <v>0.03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175670</v>
      </c>
      <c r="F37" s="10"/>
      <c r="G37" s="10">
        <f t="shared" si="0"/>
        <v>175670</v>
      </c>
      <c r="H37" s="16">
        <f t="shared" si="1"/>
        <v>29.21</v>
      </c>
      <c r="I37" s="15">
        <f t="shared" si="2"/>
        <v>0.10100000000000001</v>
      </c>
      <c r="J37" s="15">
        <f>ROUND(G37/164630-1,2)</f>
        <v>7.0000000000000007E-2</v>
      </c>
    </row>
    <row r="38" spans="1:10" x14ac:dyDescent="0.25">
      <c r="A38" s="1" t="s">
        <v>16</v>
      </c>
      <c r="B38" s="1" t="s">
        <v>98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ROUND(G38/380-1,2)</f>
        <v>-1</v>
      </c>
    </row>
    <row r="39" spans="1:10" x14ac:dyDescent="0.25">
      <c r="A39" s="1" t="s">
        <v>16</v>
      </c>
      <c r="B39" s="1" t="s">
        <v>35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ROUND(G39/569-1,2)</f>
        <v>-1</v>
      </c>
    </row>
    <row r="40" spans="1:10" x14ac:dyDescent="0.25">
      <c r="A40" s="1" t="s">
        <v>16</v>
      </c>
      <c r="B40" s="1" t="s">
        <v>36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ROUND(G40/4493-1,2)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44</v>
      </c>
      <c r="B42" s="1" t="s">
        <v>45</v>
      </c>
      <c r="C42" s="10">
        <v>239695</v>
      </c>
      <c r="D42" s="10"/>
      <c r="E42" s="10"/>
      <c r="F42" s="10"/>
      <c r="G42" s="10">
        <f t="shared" si="0"/>
        <v>239695</v>
      </c>
      <c r="H42" s="16">
        <f t="shared" si="1"/>
        <v>39.85</v>
      </c>
      <c r="I42" s="15">
        <f t="shared" si="2"/>
        <v>0.13800000000000001</v>
      </c>
      <c r="J42" s="15">
        <f>ROUND(G42/269470-1,2)</f>
        <v>-0.11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18480</v>
      </c>
      <c r="G43" s="10">
        <f t="shared" si="0"/>
        <v>18480</v>
      </c>
      <c r="H43" s="16">
        <f t="shared" si="1"/>
        <v>3.07</v>
      </c>
      <c r="I43" s="15">
        <f t="shared" si="2"/>
        <v>1.0999999999999999E-2</v>
      </c>
      <c r="J43" s="15">
        <f>ROUND(G43/24340-1,2)</f>
        <v>-0.24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78360</v>
      </c>
      <c r="F44" s="10"/>
      <c r="G44" s="10">
        <f t="shared" si="0"/>
        <v>78360</v>
      </c>
      <c r="H44" s="16">
        <f t="shared" si="1"/>
        <v>13.03</v>
      </c>
      <c r="I44" s="15">
        <f t="shared" si="2"/>
        <v>4.4999999999999998E-2</v>
      </c>
      <c r="J44" s="15">
        <f>ROUND(G44/73850-1,2)</f>
        <v>0.06</v>
      </c>
    </row>
    <row r="45" spans="1:10" x14ac:dyDescent="0.25">
      <c r="A45" s="23" t="s">
        <v>12</v>
      </c>
      <c r="B45" s="23"/>
      <c r="C45" s="11">
        <f t="shared" ref="C45:H45" si="3">SUM(C8:C44)</f>
        <v>1187290</v>
      </c>
      <c r="D45" s="11">
        <f t="shared" si="3"/>
        <v>344</v>
      </c>
      <c r="E45" s="11">
        <f t="shared" si="3"/>
        <v>517448</v>
      </c>
      <c r="F45" s="11">
        <f t="shared" si="3"/>
        <v>25701</v>
      </c>
      <c r="G45" s="11">
        <f t="shared" si="3"/>
        <v>1730783</v>
      </c>
      <c r="H45" s="14">
        <f t="shared" si="3"/>
        <v>287.77</v>
      </c>
      <c r="I45" s="17"/>
      <c r="J45" s="17"/>
    </row>
    <row r="46" spans="1:10" x14ac:dyDescent="0.25">
      <c r="A46" s="23" t="s">
        <v>14</v>
      </c>
      <c r="B46" s="23"/>
      <c r="C46" s="12">
        <f>ROUND(C45/G45,2)</f>
        <v>0.69</v>
      </c>
      <c r="D46" s="12">
        <f>ROUND(D45/G45,2)</f>
        <v>0</v>
      </c>
      <c r="E46" s="12">
        <f>ROUND(E45/G45,2)</f>
        <v>0.3</v>
      </c>
      <c r="F46" s="12">
        <f>ROUND(F45/G45,2)</f>
        <v>0.01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53</v>
      </c>
      <c r="B51" s="23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947595</v>
      </c>
      <c r="D52" s="10">
        <v>344</v>
      </c>
      <c r="E52" s="10">
        <v>439088</v>
      </c>
      <c r="F52" s="10">
        <v>7215</v>
      </c>
      <c r="G52" s="10">
        <f>SUM(C52:F52)</f>
        <v>1394242</v>
      </c>
      <c r="H52" s="16">
        <f>ROUND(G52/6015,2)</f>
        <v>231.79</v>
      </c>
      <c r="I52" s="9"/>
      <c r="J52" s="9"/>
    </row>
    <row r="53" spans="1:10" x14ac:dyDescent="0.25">
      <c r="A53" s="22" t="s">
        <v>55</v>
      </c>
      <c r="B53" s="22"/>
      <c r="C53" s="10">
        <v>239695</v>
      </c>
      <c r="D53" s="10">
        <v>0</v>
      </c>
      <c r="E53" s="10">
        <v>78360</v>
      </c>
      <c r="F53" s="10">
        <v>18480</v>
      </c>
      <c r="G53" s="10">
        <f>SUM(C53:F53)</f>
        <v>336535</v>
      </c>
      <c r="H53" s="16">
        <f>ROUND(G53/6015,2)</f>
        <v>55.95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6</v>
      </c>
      <c r="G54" s="10">
        <f>SUM(C54:F54)</f>
        <v>6</v>
      </c>
      <c r="H54" s="16">
        <f>ROUND(G54/6015,2)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57</v>
      </c>
      <c r="B59" s="23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2" t="s">
        <v>58</v>
      </c>
      <c r="B60" s="22"/>
      <c r="C60" s="7">
        <f>ROUND(0.8528, 4)</f>
        <v>0.8528</v>
      </c>
      <c r="D60" s="7">
        <f>ROUND(0.8366, 4)</f>
        <v>0.83660000000000001</v>
      </c>
      <c r="E60" s="7">
        <f>ROUND(0.777, 4)</f>
        <v>0.77700000000000002</v>
      </c>
      <c r="G60" s="3" t="s">
        <v>62</v>
      </c>
      <c r="H60" s="29" t="s">
        <v>63</v>
      </c>
      <c r="I60" s="29" t="s">
        <v>64</v>
      </c>
      <c r="J60" s="29" t="s">
        <v>65</v>
      </c>
    </row>
    <row r="61" spans="1:10" x14ac:dyDescent="0.25">
      <c r="A61" s="22" t="s">
        <v>66</v>
      </c>
      <c r="B61" s="22"/>
      <c r="C61" s="7">
        <f>ROUND(0.8403, 4)</f>
        <v>0.84030000000000005</v>
      </c>
      <c r="D61" s="7">
        <f>ROUND(0.8238, 4)</f>
        <v>0.82379999999999998</v>
      </c>
      <c r="E61" s="7">
        <f>ROUND(0.7608, 4)</f>
        <v>0.76080000000000003</v>
      </c>
      <c r="G61" s="3" t="s">
        <v>67</v>
      </c>
      <c r="H61" s="22"/>
      <c r="I61" s="22"/>
      <c r="J61" s="22"/>
    </row>
    <row r="65" spans="1:10" x14ac:dyDescent="0.25">
      <c r="A65" s="23" t="s">
        <v>68</v>
      </c>
      <c r="B65" s="23"/>
      <c r="C65" s="3" t="s">
        <v>2</v>
      </c>
      <c r="D65" s="3" t="s">
        <v>281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2" t="s">
        <v>73</v>
      </c>
      <c r="B66" s="22"/>
      <c r="C66" s="1">
        <v>39.85</v>
      </c>
      <c r="D66" s="1">
        <v>74.64</v>
      </c>
      <c r="E66" s="1">
        <v>89.58</v>
      </c>
      <c r="F66" s="1">
        <v>53.73</v>
      </c>
      <c r="G66" s="1">
        <f>12/9*C66</f>
        <v>53.133333333333333</v>
      </c>
    </row>
    <row r="67" spans="1:10" x14ac:dyDescent="0.25">
      <c r="A67" s="22" t="s">
        <v>74</v>
      </c>
      <c r="B67" s="22"/>
      <c r="C67" s="1">
        <v>56.17</v>
      </c>
      <c r="D67" s="1">
        <v>61.36</v>
      </c>
      <c r="E67" s="1">
        <v>60.32</v>
      </c>
      <c r="F67" s="1">
        <v>61.62</v>
      </c>
      <c r="G67" s="1">
        <f>12/9*C67</f>
        <v>74.893333333333331</v>
      </c>
    </row>
    <row r="68" spans="1:10" x14ac:dyDescent="0.25">
      <c r="A68" s="22" t="s">
        <v>75</v>
      </c>
      <c r="B68" s="22"/>
      <c r="C68" s="1">
        <v>235.63</v>
      </c>
      <c r="D68" s="1">
        <v>289.14</v>
      </c>
      <c r="E68" s="1">
        <v>282.8</v>
      </c>
      <c r="F68" s="1">
        <v>273.33</v>
      </c>
      <c r="G68" s="1">
        <f>12/9*C68</f>
        <v>314.17333333333329</v>
      </c>
    </row>
    <row r="69" spans="1:10" x14ac:dyDescent="0.25">
      <c r="A69" s="22" t="s">
        <v>76</v>
      </c>
      <c r="B69" s="22"/>
      <c r="C69" s="1">
        <v>55.95</v>
      </c>
      <c r="D69" s="1">
        <v>95.71</v>
      </c>
      <c r="E69" s="1">
        <v>112.72</v>
      </c>
      <c r="F69" s="1">
        <v>76.52</v>
      </c>
      <c r="G69" s="1">
        <f>12/9*C69</f>
        <v>74.599999999999994</v>
      </c>
    </row>
    <row r="72" spans="1:10" x14ac:dyDescent="0.25">
      <c r="A72" s="21" t="s">
        <v>60</v>
      </c>
      <c r="B72" s="28"/>
    </row>
    <row r="73" spans="1:10" x14ac:dyDescent="0.25">
      <c r="A73" s="3" t="s">
        <v>77</v>
      </c>
      <c r="B73" s="1" t="s">
        <v>282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9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267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7080</v>
      </c>
      <c r="D9" s="10"/>
      <c r="E9" s="10"/>
      <c r="F9" s="10"/>
      <c r="G9" s="10">
        <f t="shared" ref="G9:G26" si="0">SUM(C9:F9)</f>
        <v>7080</v>
      </c>
      <c r="H9" s="16">
        <f t="shared" ref="H9:H26" si="1">ROUND(G9/267,2)</f>
        <v>26.52</v>
      </c>
      <c r="I9" s="15">
        <f t="shared" ref="I9:I26" si="2">ROUND(G9/$G$27,3)</f>
        <v>7.0000000000000007E-2</v>
      </c>
      <c r="J9" s="15">
        <f>ROUND(G9/7860-1,2)</f>
        <v>-0.1</v>
      </c>
    </row>
    <row r="10" spans="1:10" x14ac:dyDescent="0.25">
      <c r="A10" s="1" t="s">
        <v>16</v>
      </c>
      <c r="B10" s="1" t="s">
        <v>20</v>
      </c>
      <c r="C10" s="10">
        <v>11215</v>
      </c>
      <c r="D10" s="10"/>
      <c r="E10" s="10"/>
      <c r="F10" s="10"/>
      <c r="G10" s="10">
        <f t="shared" si="0"/>
        <v>11215</v>
      </c>
      <c r="H10" s="16">
        <f t="shared" si="1"/>
        <v>42</v>
      </c>
      <c r="I10" s="15">
        <f t="shared" si="2"/>
        <v>0.111</v>
      </c>
      <c r="J10" s="15">
        <f>ROUND(G10/13935-1,2)</f>
        <v>-0.2</v>
      </c>
    </row>
    <row r="11" spans="1:10" x14ac:dyDescent="0.25">
      <c r="A11" s="1" t="s">
        <v>16</v>
      </c>
      <c r="B11" s="1" t="s">
        <v>24</v>
      </c>
      <c r="C11" s="10">
        <v>12095</v>
      </c>
      <c r="D11" s="10"/>
      <c r="E11" s="10"/>
      <c r="F11" s="10"/>
      <c r="G11" s="10">
        <f t="shared" si="0"/>
        <v>12095</v>
      </c>
      <c r="H11" s="16">
        <f t="shared" si="1"/>
        <v>45.3</v>
      </c>
      <c r="I11" s="15">
        <f t="shared" si="2"/>
        <v>0.12</v>
      </c>
      <c r="J11" s="15">
        <f>ROUND(G11/16040-1,2)</f>
        <v>-0.25</v>
      </c>
    </row>
    <row r="12" spans="1:10" x14ac:dyDescent="0.25">
      <c r="A12" s="1" t="s">
        <v>16</v>
      </c>
      <c r="B12" s="1" t="s">
        <v>26</v>
      </c>
      <c r="C12" s="10">
        <v>22240</v>
      </c>
      <c r="D12" s="10"/>
      <c r="E12" s="10"/>
      <c r="F12" s="10"/>
      <c r="G12" s="10">
        <f t="shared" si="0"/>
        <v>22240</v>
      </c>
      <c r="H12" s="16">
        <f t="shared" si="1"/>
        <v>83.3</v>
      </c>
      <c r="I12" s="15">
        <f t="shared" si="2"/>
        <v>0.22</v>
      </c>
      <c r="J12" s="15">
        <f>ROUND(G12/20870-1,2)</f>
        <v>7.0000000000000007E-2</v>
      </c>
    </row>
    <row r="13" spans="1:10" x14ac:dyDescent="0.25">
      <c r="A13" s="1" t="s">
        <v>16</v>
      </c>
      <c r="B13" s="1" t="s">
        <v>30</v>
      </c>
      <c r="C13" s="10"/>
      <c r="D13" s="10"/>
      <c r="E13" s="10">
        <v>160</v>
      </c>
      <c r="F13" s="10"/>
      <c r="G13" s="10">
        <f t="shared" si="0"/>
        <v>160</v>
      </c>
      <c r="H13" s="16">
        <f t="shared" si="1"/>
        <v>0.6</v>
      </c>
      <c r="I13" s="15">
        <f t="shared" si="2"/>
        <v>2E-3</v>
      </c>
      <c r="J13" s="15">
        <f>ROUND(G13/180-1,2)</f>
        <v>-0.11</v>
      </c>
    </row>
    <row r="14" spans="1:10" x14ac:dyDescent="0.25">
      <c r="A14" s="1" t="s">
        <v>16</v>
      </c>
      <c r="B14" s="1" t="s">
        <v>33</v>
      </c>
      <c r="C14" s="10"/>
      <c r="D14" s="10">
        <v>68</v>
      </c>
      <c r="E14" s="10">
        <v>17</v>
      </c>
      <c r="F14" s="10"/>
      <c r="G14" s="10">
        <f t="shared" si="0"/>
        <v>85</v>
      </c>
      <c r="H14" s="16">
        <f t="shared" si="1"/>
        <v>0.32</v>
      </c>
      <c r="I14" s="15">
        <f t="shared" si="2"/>
        <v>1E-3</v>
      </c>
      <c r="J14" s="15">
        <f>ROUND(G14/61-1,2)</f>
        <v>0.39</v>
      </c>
    </row>
    <row r="15" spans="1:10" x14ac:dyDescent="0.25">
      <c r="A15" s="1" t="s">
        <v>16</v>
      </c>
      <c r="B15" s="1" t="s">
        <v>38</v>
      </c>
      <c r="C15" s="10"/>
      <c r="D15" s="10"/>
      <c r="E15" s="10">
        <v>6375</v>
      </c>
      <c r="F15" s="10"/>
      <c r="G15" s="10">
        <f t="shared" si="0"/>
        <v>6375</v>
      </c>
      <c r="H15" s="16">
        <f t="shared" si="1"/>
        <v>23.88</v>
      </c>
      <c r="I15" s="15">
        <f t="shared" si="2"/>
        <v>6.3E-2</v>
      </c>
      <c r="J15" s="15">
        <f>ROUND(G15/3895-1,2)</f>
        <v>0.64</v>
      </c>
    </row>
    <row r="16" spans="1:10" x14ac:dyDescent="0.25">
      <c r="A16" s="1" t="s">
        <v>16</v>
      </c>
      <c r="B16" s="1" t="s">
        <v>40</v>
      </c>
      <c r="C16" s="10"/>
      <c r="D16" s="10"/>
      <c r="E16" s="10">
        <v>1220</v>
      </c>
      <c r="F16" s="10"/>
      <c r="G16" s="10">
        <f t="shared" si="0"/>
        <v>1220</v>
      </c>
      <c r="H16" s="16">
        <f t="shared" si="1"/>
        <v>4.57</v>
      </c>
      <c r="I16" s="15">
        <f t="shared" si="2"/>
        <v>1.2E-2</v>
      </c>
      <c r="J16" s="15">
        <f>ROUND(G16/1720-1,2)</f>
        <v>-0.28999999999999998</v>
      </c>
    </row>
    <row r="17" spans="1:10" x14ac:dyDescent="0.25">
      <c r="A17" s="1" t="s">
        <v>16</v>
      </c>
      <c r="B17" s="1" t="s">
        <v>22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23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37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25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36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43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29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35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/>
    </row>
    <row r="25" spans="1:10" x14ac:dyDescent="0.25">
      <c r="A25" s="1" t="s">
        <v>44</v>
      </c>
      <c r="B25" s="1" t="s">
        <v>45</v>
      </c>
      <c r="C25" s="10">
        <v>33805</v>
      </c>
      <c r="D25" s="10"/>
      <c r="E25" s="10"/>
      <c r="F25" s="10"/>
      <c r="G25" s="10">
        <f t="shared" si="0"/>
        <v>33805</v>
      </c>
      <c r="H25" s="16">
        <f t="shared" si="1"/>
        <v>126.61</v>
      </c>
      <c r="I25" s="15">
        <f t="shared" si="2"/>
        <v>0.33400000000000002</v>
      </c>
      <c r="J25" s="15">
        <f>ROUND(G25/31660-1,2)</f>
        <v>7.0000000000000007E-2</v>
      </c>
    </row>
    <row r="26" spans="1:10" x14ac:dyDescent="0.25">
      <c r="A26" s="1" t="s">
        <v>44</v>
      </c>
      <c r="B26" s="1" t="s">
        <v>46</v>
      </c>
      <c r="C26" s="10"/>
      <c r="D26" s="10"/>
      <c r="E26" s="10">
        <v>6800</v>
      </c>
      <c r="F26" s="10"/>
      <c r="G26" s="10">
        <f t="shared" si="0"/>
        <v>6800</v>
      </c>
      <c r="H26" s="16">
        <f t="shared" si="1"/>
        <v>25.47</v>
      </c>
      <c r="I26" s="15">
        <f t="shared" si="2"/>
        <v>6.7000000000000004E-2</v>
      </c>
      <c r="J26" s="15">
        <f>ROUND(G26/12740-1,2)</f>
        <v>-0.47</v>
      </c>
    </row>
    <row r="27" spans="1:10" x14ac:dyDescent="0.25">
      <c r="A27" s="23" t="s">
        <v>12</v>
      </c>
      <c r="B27" s="23"/>
      <c r="C27" s="11">
        <f t="shared" ref="C27:H27" si="3">SUM(C8:C26)</f>
        <v>86435</v>
      </c>
      <c r="D27" s="11">
        <f t="shared" si="3"/>
        <v>68</v>
      </c>
      <c r="E27" s="11">
        <f t="shared" si="3"/>
        <v>14572</v>
      </c>
      <c r="F27" s="11">
        <f t="shared" si="3"/>
        <v>0</v>
      </c>
      <c r="G27" s="11">
        <f t="shared" si="3"/>
        <v>101075</v>
      </c>
      <c r="H27" s="14">
        <f t="shared" si="3"/>
        <v>378.56999999999994</v>
      </c>
      <c r="I27" s="17"/>
      <c r="J27" s="17"/>
    </row>
    <row r="28" spans="1:10" x14ac:dyDescent="0.25">
      <c r="A28" s="23" t="s">
        <v>14</v>
      </c>
      <c r="B28" s="23"/>
      <c r="C28" s="12">
        <f>ROUND(C27/G27,2)</f>
        <v>0.86</v>
      </c>
      <c r="D28" s="12">
        <f>ROUND(D27/G27,2)</f>
        <v>0</v>
      </c>
      <c r="E28" s="12">
        <f>ROUND(E27/G27,2)</f>
        <v>0.14000000000000001</v>
      </c>
      <c r="F28" s="12">
        <f>ROUND(F27/G27,2)</f>
        <v>0</v>
      </c>
      <c r="G28" s="13"/>
      <c r="H28" s="13"/>
      <c r="I28" s="17"/>
      <c r="J28" s="17"/>
    </row>
    <row r="29" spans="1:10" x14ac:dyDescent="0.25">
      <c r="A29" s="2" t="s">
        <v>52</v>
      </c>
      <c r="B29" s="2"/>
      <c r="C29" s="13"/>
      <c r="D29" s="13"/>
      <c r="E29" s="13"/>
      <c r="F29" s="13"/>
      <c r="G29" s="13"/>
      <c r="H29" s="13"/>
      <c r="I29" s="17"/>
      <c r="J29" s="17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23" t="s">
        <v>53</v>
      </c>
      <c r="B33" s="23"/>
      <c r="C33" s="11" t="s">
        <v>8</v>
      </c>
      <c r="D33" s="11" t="s">
        <v>9</v>
      </c>
      <c r="E33" s="11" t="s">
        <v>10</v>
      </c>
      <c r="F33" s="11" t="s">
        <v>11</v>
      </c>
      <c r="G33" s="11" t="s">
        <v>12</v>
      </c>
      <c r="H33" s="14" t="s">
        <v>13</v>
      </c>
      <c r="I33" s="17"/>
      <c r="J33" s="17"/>
    </row>
    <row r="34" spans="1:10" x14ac:dyDescent="0.25">
      <c r="A34" s="22" t="s">
        <v>54</v>
      </c>
      <c r="B34" s="22"/>
      <c r="C34" s="10">
        <v>52630</v>
      </c>
      <c r="D34" s="10">
        <v>68</v>
      </c>
      <c r="E34" s="10">
        <v>7772</v>
      </c>
      <c r="F34" s="10">
        <v>0</v>
      </c>
      <c r="G34" s="10">
        <f>SUM(C34:F34)</f>
        <v>60470</v>
      </c>
      <c r="H34" s="16">
        <f>ROUND(G34/267,2)</f>
        <v>226.48</v>
      </c>
      <c r="I34" s="9"/>
      <c r="J34" s="9"/>
    </row>
    <row r="35" spans="1:10" x14ac:dyDescent="0.25">
      <c r="A35" s="22" t="s">
        <v>55</v>
      </c>
      <c r="B35" s="22"/>
      <c r="C35" s="10">
        <v>33805</v>
      </c>
      <c r="D35" s="10">
        <v>0</v>
      </c>
      <c r="E35" s="10">
        <v>6800</v>
      </c>
      <c r="F35" s="10">
        <v>0</v>
      </c>
      <c r="G35" s="10">
        <f>SUM(C35:F35)</f>
        <v>40605</v>
      </c>
      <c r="H35" s="16">
        <f>ROUND(G35/267,2)</f>
        <v>152.08000000000001</v>
      </c>
      <c r="I35" s="9"/>
      <c r="J35" s="9"/>
    </row>
    <row r="36" spans="1:10" x14ac:dyDescent="0.25">
      <c r="A36" s="22" t="s">
        <v>56</v>
      </c>
      <c r="B36" s="22"/>
      <c r="C36" s="10"/>
      <c r="D36" s="10"/>
      <c r="E36" s="10"/>
      <c r="F36" s="10"/>
      <c r="G36" s="10">
        <f>SUM(C36:F36)</f>
        <v>0</v>
      </c>
      <c r="H36" s="16">
        <f>ROUND(G36/267,2)</f>
        <v>0</v>
      </c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3" t="s">
        <v>57</v>
      </c>
      <c r="B41" s="23"/>
      <c r="C41" s="14" t="s">
        <v>2</v>
      </c>
      <c r="D41" s="14">
        <v>2023</v>
      </c>
      <c r="E41" s="14" t="s">
        <v>59</v>
      </c>
      <c r="F41" s="13"/>
      <c r="G41" s="14" t="s">
        <v>60</v>
      </c>
      <c r="H41" s="14" t="s">
        <v>2</v>
      </c>
      <c r="I41" s="12" t="s">
        <v>61</v>
      </c>
      <c r="J41" s="12" t="s">
        <v>59</v>
      </c>
    </row>
    <row r="42" spans="1:10" x14ac:dyDescent="0.25">
      <c r="A42" s="22" t="s">
        <v>58</v>
      </c>
      <c r="B42" s="22"/>
      <c r="C42" s="15">
        <f>ROUND(0.6583, 4)</f>
        <v>0.6583</v>
      </c>
      <c r="D42" s="15">
        <f>ROUND(0.6937, 4)</f>
        <v>0.69369999999999998</v>
      </c>
      <c r="E42" s="15">
        <f>ROUND(0.777, 4)</f>
        <v>0.77700000000000002</v>
      </c>
      <c r="F42" s="8"/>
      <c r="G42" s="14" t="s">
        <v>62</v>
      </c>
      <c r="H42" s="26" t="s">
        <v>63</v>
      </c>
      <c r="I42" s="24" t="s">
        <v>64</v>
      </c>
      <c r="J42" s="24" t="s">
        <v>65</v>
      </c>
    </row>
    <row r="43" spans="1:10" x14ac:dyDescent="0.25">
      <c r="A43" s="22" t="s">
        <v>66</v>
      </c>
      <c r="B43" s="22"/>
      <c r="C43" s="15">
        <f>ROUND(0.6493, 4)</f>
        <v>0.64929999999999999</v>
      </c>
      <c r="D43" s="15">
        <f>ROUND(0.6839, 4)</f>
        <v>0.68389999999999995</v>
      </c>
      <c r="E43" s="15">
        <f>ROUND(0.7608, 4)</f>
        <v>0.76080000000000003</v>
      </c>
      <c r="F43" s="8"/>
      <c r="G43" s="14" t="s">
        <v>67</v>
      </c>
      <c r="H43" s="27"/>
      <c r="I43" s="25"/>
      <c r="J43" s="25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68</v>
      </c>
      <c r="B47" s="23"/>
      <c r="C47" s="14" t="s">
        <v>2</v>
      </c>
      <c r="D47" s="14" t="s">
        <v>284</v>
      </c>
      <c r="E47" s="14" t="s">
        <v>70</v>
      </c>
      <c r="F47" s="14" t="s">
        <v>71</v>
      </c>
      <c r="G47" s="14" t="s">
        <v>72</v>
      </c>
      <c r="H47" s="13"/>
      <c r="I47" s="17"/>
      <c r="J47" s="17"/>
    </row>
    <row r="48" spans="1:10" x14ac:dyDescent="0.25">
      <c r="A48" s="22" t="s">
        <v>73</v>
      </c>
      <c r="B48" s="22"/>
      <c r="C48" s="16">
        <v>126.61</v>
      </c>
      <c r="D48" s="16">
        <v>144.03</v>
      </c>
      <c r="E48" s="16">
        <v>89.58</v>
      </c>
      <c r="F48" s="16">
        <v>53.73</v>
      </c>
      <c r="G48" s="16">
        <f>12/9*C48</f>
        <v>168.81333333333333</v>
      </c>
      <c r="H48" s="8"/>
      <c r="I48" s="9"/>
      <c r="J48" s="9"/>
    </row>
    <row r="49" spans="1:10" x14ac:dyDescent="0.25">
      <c r="A49" s="22" t="s">
        <v>74</v>
      </c>
      <c r="B49" s="22"/>
      <c r="C49" s="16">
        <v>83.3</v>
      </c>
      <c r="D49" s="16">
        <v>105.98</v>
      </c>
      <c r="E49" s="16">
        <v>60.32</v>
      </c>
      <c r="F49" s="16">
        <v>61.62</v>
      </c>
      <c r="G49" s="16">
        <f>12/9*C49</f>
        <v>111.06666666666666</v>
      </c>
      <c r="H49" s="8"/>
      <c r="I49" s="9"/>
      <c r="J49" s="9"/>
    </row>
    <row r="50" spans="1:10" x14ac:dyDescent="0.25">
      <c r="A50" s="22" t="s">
        <v>75</v>
      </c>
      <c r="B50" s="22"/>
      <c r="C50" s="16">
        <v>226.48</v>
      </c>
      <c r="D50" s="16">
        <v>328.76</v>
      </c>
      <c r="E50" s="16">
        <v>282.8</v>
      </c>
      <c r="F50" s="16">
        <v>273.33</v>
      </c>
      <c r="G50" s="16">
        <f>12/9*C50</f>
        <v>301.9733333333333</v>
      </c>
      <c r="H50" s="8"/>
      <c r="I50" s="9"/>
      <c r="J50" s="9"/>
    </row>
    <row r="51" spans="1:10" x14ac:dyDescent="0.25">
      <c r="A51" s="22" t="s">
        <v>76</v>
      </c>
      <c r="B51" s="22"/>
      <c r="C51" s="16">
        <v>152.08000000000001</v>
      </c>
      <c r="D51" s="16">
        <v>205.29</v>
      </c>
      <c r="E51" s="16">
        <v>112.72</v>
      </c>
      <c r="F51" s="16">
        <v>76.52</v>
      </c>
      <c r="G51" s="16">
        <f>12/9*C51</f>
        <v>202.77333333333334</v>
      </c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1" t="s">
        <v>60</v>
      </c>
      <c r="B54" s="28"/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" t="s">
        <v>77</v>
      </c>
      <c r="B55" s="1" t="s">
        <v>285</v>
      </c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" t="s">
        <v>70</v>
      </c>
      <c r="B56" s="1" t="s">
        <v>79</v>
      </c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" t="s">
        <v>71</v>
      </c>
      <c r="B57" s="1" t="s">
        <v>80</v>
      </c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3" t="s">
        <v>72</v>
      </c>
      <c r="B58" s="1" t="s">
        <v>81</v>
      </c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49:B49"/>
    <mergeCell ref="A50:B50"/>
    <mergeCell ref="A51:B51"/>
    <mergeCell ref="A54:B54"/>
    <mergeCell ref="I42:I43"/>
    <mergeCell ref="J42:J43"/>
    <mergeCell ref="A43:B43"/>
    <mergeCell ref="A47:B47"/>
    <mergeCell ref="A48:B48"/>
    <mergeCell ref="A35:B35"/>
    <mergeCell ref="A36:B36"/>
    <mergeCell ref="A41:B41"/>
    <mergeCell ref="A42:B42"/>
    <mergeCell ref="H42:H43"/>
    <mergeCell ref="C7:G7"/>
    <mergeCell ref="A27:B27"/>
    <mergeCell ref="A28:B28"/>
    <mergeCell ref="A33:B33"/>
    <mergeCell ref="A34:B3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60"/>
  <dimension ref="A2:J7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5703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286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373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</v>
      </c>
      <c r="F9" s="10"/>
      <c r="G9" s="10">
        <f t="shared" ref="G9:G38" si="0">SUM(C9:F9)</f>
        <v>8</v>
      </c>
      <c r="H9" s="16">
        <f t="shared" ref="H9:H38" si="1">ROUND(G9/373,2)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18310</v>
      </c>
      <c r="D10" s="10"/>
      <c r="E10" s="10">
        <v>1073</v>
      </c>
      <c r="F10" s="10"/>
      <c r="G10" s="10">
        <f t="shared" si="0"/>
        <v>19383</v>
      </c>
      <c r="H10" s="16">
        <f t="shared" si="1"/>
        <v>51.97</v>
      </c>
      <c r="I10" s="15">
        <f t="shared" si="2"/>
        <v>0.108</v>
      </c>
      <c r="J10" s="15">
        <f>ROUND(G10/12746.93-1,2)</f>
        <v>0.52</v>
      </c>
    </row>
    <row r="11" spans="1:10" x14ac:dyDescent="0.25">
      <c r="A11" s="1" t="s">
        <v>16</v>
      </c>
      <c r="B11" s="1" t="s">
        <v>20</v>
      </c>
      <c r="C11" s="10">
        <v>19370</v>
      </c>
      <c r="D11" s="10"/>
      <c r="E11" s="10"/>
      <c r="F11" s="10"/>
      <c r="G11" s="10">
        <f t="shared" si="0"/>
        <v>19370</v>
      </c>
      <c r="H11" s="16">
        <f t="shared" si="1"/>
        <v>51.93</v>
      </c>
      <c r="I11" s="15">
        <f t="shared" si="2"/>
        <v>0.108</v>
      </c>
      <c r="J11" s="15">
        <f>ROUND(G11/25935-1,2)</f>
        <v>-0.25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17</v>
      </c>
      <c r="F12" s="10"/>
      <c r="G12" s="10">
        <f t="shared" si="0"/>
        <v>17</v>
      </c>
      <c r="H12" s="16">
        <f t="shared" si="1"/>
        <v>0.05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136</v>
      </c>
      <c r="F13" s="10"/>
      <c r="G13" s="10">
        <f t="shared" si="0"/>
        <v>136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16196</v>
      </c>
      <c r="F14" s="10"/>
      <c r="G14" s="10">
        <f t="shared" si="0"/>
        <v>16196</v>
      </c>
      <c r="H14" s="16">
        <f t="shared" si="1"/>
        <v>43.42</v>
      </c>
      <c r="I14" s="15">
        <f t="shared" si="2"/>
        <v>0.09</v>
      </c>
      <c r="J14" s="15">
        <f>ROUND(G14/8485.7-1,2)</f>
        <v>0.91</v>
      </c>
    </row>
    <row r="15" spans="1:10" x14ac:dyDescent="0.25">
      <c r="A15" s="1" t="s">
        <v>16</v>
      </c>
      <c r="B15" s="1" t="s">
        <v>24</v>
      </c>
      <c r="C15" s="10">
        <v>20360</v>
      </c>
      <c r="D15" s="10"/>
      <c r="E15" s="10">
        <v>2961</v>
      </c>
      <c r="F15" s="10"/>
      <c r="G15" s="10">
        <f t="shared" si="0"/>
        <v>23321</v>
      </c>
      <c r="H15" s="16">
        <f t="shared" si="1"/>
        <v>62.52</v>
      </c>
      <c r="I15" s="15">
        <f t="shared" si="2"/>
        <v>0.13</v>
      </c>
      <c r="J15" s="15">
        <f>ROUND(G15/16202.61-1,2)</f>
        <v>0.44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670</v>
      </c>
      <c r="F16" s="10"/>
      <c r="G16" s="10">
        <f t="shared" si="0"/>
        <v>670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20500</v>
      </c>
      <c r="D17" s="10"/>
      <c r="E17" s="10"/>
      <c r="F17" s="10"/>
      <c r="G17" s="10">
        <f t="shared" si="0"/>
        <v>20500</v>
      </c>
      <c r="H17" s="16">
        <f t="shared" si="1"/>
        <v>54.96</v>
      </c>
      <c r="I17" s="15">
        <f t="shared" si="2"/>
        <v>0.114</v>
      </c>
      <c r="J17" s="15">
        <f>ROUND(G17/18330-1,2)</f>
        <v>0.12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153</v>
      </c>
      <c r="F18" s="10"/>
      <c r="G18" s="10">
        <f t="shared" si="0"/>
        <v>153</v>
      </c>
      <c r="H18" s="16">
        <f t="shared" si="1"/>
        <v>0.41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83</v>
      </c>
      <c r="F19" s="10"/>
      <c r="G19" s="10">
        <f t="shared" si="0"/>
        <v>83</v>
      </c>
      <c r="H19" s="16">
        <f t="shared" si="1"/>
        <v>0.22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386</v>
      </c>
      <c r="F20" s="10"/>
      <c r="G20" s="10">
        <f t="shared" si="0"/>
        <v>386</v>
      </c>
      <c r="H20" s="16">
        <f t="shared" si="1"/>
        <v>1.03</v>
      </c>
      <c r="I20" s="15">
        <f t="shared" si="2"/>
        <v>2E-3</v>
      </c>
      <c r="J20" s="15">
        <f>ROUND(G20/411.39-1,2)</f>
        <v>-0.06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79</v>
      </c>
      <c r="F21" s="10"/>
      <c r="G21" s="10">
        <f t="shared" si="0"/>
        <v>79</v>
      </c>
      <c r="H21" s="16">
        <f t="shared" si="1"/>
        <v>0.21</v>
      </c>
      <c r="I21" s="15">
        <f t="shared" si="2"/>
        <v>0</v>
      </c>
      <c r="J21" s="15">
        <f>ROUND(G21/21.01-1,2)</f>
        <v>2.76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181</v>
      </c>
      <c r="F22" s="10"/>
      <c r="G22" s="10">
        <f t="shared" si="0"/>
        <v>181</v>
      </c>
      <c r="H22" s="16">
        <f t="shared" si="1"/>
        <v>0.49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46</v>
      </c>
      <c r="F23" s="10"/>
      <c r="G23" s="10">
        <f t="shared" si="0"/>
        <v>46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54</v>
      </c>
      <c r="F24" s="10"/>
      <c r="G24" s="10">
        <f t="shared" si="0"/>
        <v>54</v>
      </c>
      <c r="H24" s="16">
        <f t="shared" si="1"/>
        <v>0.14000000000000001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493</v>
      </c>
      <c r="F25" s="10"/>
      <c r="G25" s="10">
        <f t="shared" si="0"/>
        <v>493</v>
      </c>
      <c r="H25" s="16">
        <f t="shared" si="1"/>
        <v>1.32</v>
      </c>
      <c r="I25" s="15">
        <f t="shared" si="2"/>
        <v>3.0000000000000001E-3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591</v>
      </c>
      <c r="F26" s="10"/>
      <c r="G26" s="10">
        <f t="shared" si="0"/>
        <v>591</v>
      </c>
      <c r="H26" s="16">
        <f t="shared" si="1"/>
        <v>1.58</v>
      </c>
      <c r="I26" s="15">
        <f t="shared" si="2"/>
        <v>3.0000000000000001E-3</v>
      </c>
      <c r="J26" s="15">
        <f>ROUND(G26/141.94-1,2)</f>
        <v>3.16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10981</v>
      </c>
      <c r="F27" s="10"/>
      <c r="G27" s="10">
        <f t="shared" si="0"/>
        <v>10981</v>
      </c>
      <c r="H27" s="16">
        <f t="shared" si="1"/>
        <v>29.44</v>
      </c>
      <c r="I27" s="15">
        <f t="shared" si="2"/>
        <v>6.0999999999999999E-2</v>
      </c>
      <c r="J27" s="15">
        <f>ROUND(G27/5385.3-1,2)</f>
        <v>1.04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3907</v>
      </c>
      <c r="F28" s="10"/>
      <c r="G28" s="10">
        <f t="shared" si="0"/>
        <v>3907</v>
      </c>
      <c r="H28" s="16">
        <f t="shared" si="1"/>
        <v>10.47</v>
      </c>
      <c r="I28" s="15">
        <f t="shared" si="2"/>
        <v>2.1999999999999999E-2</v>
      </c>
      <c r="J28" s="15">
        <f>ROUND(G28/2787.58-1,2)</f>
        <v>0.4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1795</v>
      </c>
      <c r="F29" s="10"/>
      <c r="G29" s="10">
        <f t="shared" si="0"/>
        <v>1795</v>
      </c>
      <c r="H29" s="16">
        <f t="shared" si="1"/>
        <v>4.8099999999999996</v>
      </c>
      <c r="I29" s="15">
        <f t="shared" si="2"/>
        <v>0.01</v>
      </c>
      <c r="J29" s="15">
        <f>ROUND(G29/608.06-1,2)</f>
        <v>1.95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ROUND(G30/105.14-1,2)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55570</v>
      </c>
      <c r="D35" s="10"/>
      <c r="E35" s="10"/>
      <c r="F35" s="10"/>
      <c r="G35" s="10">
        <f t="shared" si="0"/>
        <v>55570</v>
      </c>
      <c r="H35" s="16">
        <f t="shared" si="1"/>
        <v>148.97999999999999</v>
      </c>
      <c r="I35" s="15">
        <f t="shared" si="2"/>
        <v>0.309</v>
      </c>
      <c r="J35" s="15">
        <f>ROUND(G35/46990-1,2)</f>
        <v>0.18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5880</v>
      </c>
      <c r="F36" s="10"/>
      <c r="G36" s="10">
        <f t="shared" si="0"/>
        <v>5880</v>
      </c>
      <c r="H36" s="16">
        <f t="shared" si="1"/>
        <v>15.76</v>
      </c>
      <c r="I36" s="15">
        <f t="shared" si="2"/>
        <v>3.3000000000000002E-2</v>
      </c>
      <c r="J36" s="15">
        <f>ROUND(G36/3685.01-1,2)</f>
        <v>0.6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ROUND(G37/22965-1,2)</f>
        <v>-1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3" t="s">
        <v>12</v>
      </c>
      <c r="B39" s="23"/>
      <c r="C39" s="11">
        <f t="shared" ref="C39:H39" si="3">SUM(C8:C38)</f>
        <v>134110</v>
      </c>
      <c r="D39" s="11">
        <f t="shared" si="3"/>
        <v>0</v>
      </c>
      <c r="E39" s="11">
        <f t="shared" si="3"/>
        <v>45690</v>
      </c>
      <c r="F39" s="11">
        <f t="shared" si="3"/>
        <v>0</v>
      </c>
      <c r="G39" s="11">
        <f t="shared" si="3"/>
        <v>179800</v>
      </c>
      <c r="H39" s="14">
        <f t="shared" si="3"/>
        <v>482.01</v>
      </c>
      <c r="I39" s="17"/>
      <c r="J39" s="17"/>
    </row>
    <row r="40" spans="1:10" x14ac:dyDescent="0.25">
      <c r="A40" s="23" t="s">
        <v>14</v>
      </c>
      <c r="B40" s="23"/>
      <c r="C40" s="12">
        <f>ROUND(C39/G39,2)</f>
        <v>0.75</v>
      </c>
      <c r="D40" s="12">
        <f>ROUND(D39/G39,2)</f>
        <v>0</v>
      </c>
      <c r="E40" s="12">
        <f>ROUND(E39/G39,2)</f>
        <v>0.25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3" t="s">
        <v>53</v>
      </c>
      <c r="B45" s="23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78540</v>
      </c>
      <c r="D46" s="10">
        <v>0</v>
      </c>
      <c r="E46" s="10">
        <v>39810</v>
      </c>
      <c r="F46" s="10">
        <v>0</v>
      </c>
      <c r="G46" s="10">
        <f>SUM(C46:F46)</f>
        <v>118350</v>
      </c>
      <c r="H46" s="16">
        <f>ROUND(G46/373,2)</f>
        <v>317.29000000000002</v>
      </c>
      <c r="I46" s="9"/>
      <c r="J46" s="9"/>
    </row>
    <row r="47" spans="1:10" x14ac:dyDescent="0.25">
      <c r="A47" s="22" t="s">
        <v>55</v>
      </c>
      <c r="B47" s="22"/>
      <c r="C47" s="10">
        <v>55570</v>
      </c>
      <c r="D47" s="10">
        <v>0</v>
      </c>
      <c r="E47" s="10">
        <v>5880</v>
      </c>
      <c r="F47" s="10">
        <v>0</v>
      </c>
      <c r="G47" s="10">
        <f>SUM(C47:F47)</f>
        <v>61450</v>
      </c>
      <c r="H47" s="16">
        <f>ROUND(G47/373,2)</f>
        <v>164.75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ROUND(G48/373,2)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3" t="s">
        <v>57</v>
      </c>
      <c r="B53" s="23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ROUND(0.6591, 4)</f>
        <v>0.65910000000000002</v>
      </c>
      <c r="D54" s="15">
        <f>ROUND(0.6501, 4)</f>
        <v>0.65010000000000001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4" t="s">
        <v>64</v>
      </c>
      <c r="J54" s="24" t="s">
        <v>65</v>
      </c>
    </row>
    <row r="55" spans="1:10" x14ac:dyDescent="0.25">
      <c r="A55" s="22" t="s">
        <v>66</v>
      </c>
      <c r="B55" s="22"/>
      <c r="C55" s="15">
        <f>ROUND(0.6151, 4)</f>
        <v>0.61509999999999998</v>
      </c>
      <c r="D55" s="15">
        <f>ROUND(0.6167, 4)</f>
        <v>0.61670000000000003</v>
      </c>
      <c r="E55" s="15">
        <f>ROUND(0.7608, 4)</f>
        <v>0.76080000000000003</v>
      </c>
      <c r="F55" s="8"/>
      <c r="G55" s="14" t="s">
        <v>67</v>
      </c>
      <c r="H55" s="27"/>
      <c r="I55" s="25"/>
      <c r="J55" s="25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68</v>
      </c>
      <c r="B59" s="23"/>
      <c r="C59" s="14" t="s">
        <v>2</v>
      </c>
      <c r="D59" s="14" t="s">
        <v>287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148.97999999999999</v>
      </c>
      <c r="D60" s="16">
        <v>128.69</v>
      </c>
      <c r="E60" s="16">
        <v>89.58</v>
      </c>
      <c r="F60" s="16">
        <v>53.73</v>
      </c>
      <c r="G60" s="16">
        <f>12/9*C60</f>
        <v>198.64</v>
      </c>
      <c r="H60" s="8"/>
      <c r="I60" s="9"/>
      <c r="J60" s="9"/>
    </row>
    <row r="61" spans="1:10" x14ac:dyDescent="0.25">
      <c r="A61" s="22" t="s">
        <v>74</v>
      </c>
      <c r="B61" s="22"/>
      <c r="C61" s="16">
        <v>54.96</v>
      </c>
      <c r="D61" s="16">
        <v>54.69</v>
      </c>
      <c r="E61" s="16">
        <v>60.32</v>
      </c>
      <c r="F61" s="16">
        <v>61.62</v>
      </c>
      <c r="G61" s="16">
        <f>12/9*C61</f>
        <v>73.28</v>
      </c>
      <c r="H61" s="8"/>
      <c r="I61" s="9"/>
      <c r="J61" s="9"/>
    </row>
    <row r="62" spans="1:10" x14ac:dyDescent="0.25">
      <c r="A62" s="22" t="s">
        <v>75</v>
      </c>
      <c r="B62" s="22"/>
      <c r="C62" s="16">
        <v>317.29000000000002</v>
      </c>
      <c r="D62" s="16">
        <v>319.06</v>
      </c>
      <c r="E62" s="16">
        <v>282.8</v>
      </c>
      <c r="F62" s="16">
        <v>273.33</v>
      </c>
      <c r="G62" s="16">
        <f>12/9*C62</f>
        <v>423.05333333333334</v>
      </c>
      <c r="H62" s="8"/>
      <c r="I62" s="9"/>
      <c r="J62" s="9"/>
    </row>
    <row r="63" spans="1:10" x14ac:dyDescent="0.25">
      <c r="A63" s="22" t="s">
        <v>76</v>
      </c>
      <c r="B63" s="22"/>
      <c r="C63" s="16">
        <v>164.75</v>
      </c>
      <c r="D63" s="16">
        <v>181.22</v>
      </c>
      <c r="E63" s="16">
        <v>112.72</v>
      </c>
      <c r="F63" s="16">
        <v>76.52</v>
      </c>
      <c r="G63" s="16">
        <f>12/9*C63</f>
        <v>219.66666666666666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8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288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61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8.5703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2367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60</v>
      </c>
      <c r="F9" s="10"/>
      <c r="G9" s="10">
        <f t="shared" ref="G9:G36" si="0">SUM(C9:F9)</f>
        <v>60</v>
      </c>
      <c r="H9" s="16">
        <f t="shared" ref="H9:H36" si="1">ROUND(G9/2367,2)</f>
        <v>0.03</v>
      </c>
      <c r="I9" s="15">
        <f t="shared" ref="I9:I36" si="2">ROUND(G9/$G$37,3)</f>
        <v>0</v>
      </c>
      <c r="J9" s="15">
        <f>ROUND(G9/15-1,2)</f>
        <v>3</v>
      </c>
    </row>
    <row r="10" spans="1:10" x14ac:dyDescent="0.25">
      <c r="A10" s="1" t="s">
        <v>16</v>
      </c>
      <c r="B10" s="1" t="s">
        <v>19</v>
      </c>
      <c r="C10" s="10">
        <v>54870</v>
      </c>
      <c r="D10" s="10"/>
      <c r="E10" s="10"/>
      <c r="F10" s="10"/>
      <c r="G10" s="10">
        <f t="shared" si="0"/>
        <v>54870</v>
      </c>
      <c r="H10" s="16">
        <f t="shared" si="1"/>
        <v>23.18</v>
      </c>
      <c r="I10" s="15">
        <f t="shared" si="2"/>
        <v>8.7999999999999995E-2</v>
      </c>
      <c r="J10" s="15">
        <f>ROUND(G10/52260-1,2)</f>
        <v>0.05</v>
      </c>
    </row>
    <row r="11" spans="1:10" x14ac:dyDescent="0.25">
      <c r="A11" s="1" t="s">
        <v>16</v>
      </c>
      <c r="B11" s="1" t="s">
        <v>20</v>
      </c>
      <c r="C11" s="10">
        <v>66890</v>
      </c>
      <c r="D11" s="10"/>
      <c r="E11" s="10"/>
      <c r="F11" s="10"/>
      <c r="G11" s="10">
        <f t="shared" si="0"/>
        <v>66890</v>
      </c>
      <c r="H11" s="16">
        <f t="shared" si="1"/>
        <v>28.26</v>
      </c>
      <c r="I11" s="15">
        <f t="shared" si="2"/>
        <v>0.108</v>
      </c>
      <c r="J11" s="15">
        <f>ROUND(G11/70700-1,2)</f>
        <v>-0.05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34</v>
      </c>
      <c r="F12" s="10"/>
      <c r="G12" s="10">
        <f t="shared" si="0"/>
        <v>34</v>
      </c>
      <c r="H12" s="16">
        <f t="shared" si="1"/>
        <v>0.01</v>
      </c>
      <c r="I12" s="15">
        <f t="shared" si="2"/>
        <v>0</v>
      </c>
      <c r="J12" s="15">
        <f>ROUND(G12/72-1,2)</f>
        <v>-0.53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171</v>
      </c>
      <c r="F13" s="10"/>
      <c r="G13" s="10">
        <f t="shared" si="0"/>
        <v>171</v>
      </c>
      <c r="H13" s="16">
        <f t="shared" si="1"/>
        <v>7.0000000000000007E-2</v>
      </c>
      <c r="I13" s="15">
        <f t="shared" si="2"/>
        <v>0</v>
      </c>
      <c r="J13" s="15">
        <f>ROUND(G13/259-1,2)</f>
        <v>-0.34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35480</v>
      </c>
      <c r="F14" s="10"/>
      <c r="G14" s="10">
        <f t="shared" si="0"/>
        <v>35480</v>
      </c>
      <c r="H14" s="16">
        <f t="shared" si="1"/>
        <v>14.99</v>
      </c>
      <c r="I14" s="15">
        <f t="shared" si="2"/>
        <v>5.7000000000000002E-2</v>
      </c>
      <c r="J14" s="15">
        <f>ROUND(G14/24840-1,2)</f>
        <v>0.43</v>
      </c>
    </row>
    <row r="15" spans="1:10" x14ac:dyDescent="0.25">
      <c r="A15" s="1" t="s">
        <v>16</v>
      </c>
      <c r="B15" s="1" t="s">
        <v>24</v>
      </c>
      <c r="C15" s="10">
        <v>80930</v>
      </c>
      <c r="D15" s="10"/>
      <c r="E15" s="10"/>
      <c r="F15" s="10"/>
      <c r="G15" s="10">
        <f t="shared" si="0"/>
        <v>80930</v>
      </c>
      <c r="H15" s="16">
        <f t="shared" si="1"/>
        <v>34.19</v>
      </c>
      <c r="I15" s="15">
        <f t="shared" si="2"/>
        <v>0.13</v>
      </c>
      <c r="J15" s="15">
        <f>ROUND(G15/77070-1,2)</f>
        <v>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995</v>
      </c>
      <c r="F16" s="10"/>
      <c r="G16" s="10">
        <f t="shared" si="0"/>
        <v>995</v>
      </c>
      <c r="H16" s="16">
        <f t="shared" si="1"/>
        <v>0.42</v>
      </c>
      <c r="I16" s="15">
        <f t="shared" si="2"/>
        <v>2E-3</v>
      </c>
      <c r="J16" s="15">
        <f>ROUND(G16/2245-1,2)</f>
        <v>-0.56000000000000005</v>
      </c>
    </row>
    <row r="17" spans="1:10" x14ac:dyDescent="0.25">
      <c r="A17" s="1" t="s">
        <v>16</v>
      </c>
      <c r="B17" s="1" t="s">
        <v>26</v>
      </c>
      <c r="C17" s="10">
        <v>117920</v>
      </c>
      <c r="D17" s="10"/>
      <c r="E17" s="10"/>
      <c r="F17" s="10"/>
      <c r="G17" s="10">
        <f t="shared" si="0"/>
        <v>117920</v>
      </c>
      <c r="H17" s="16">
        <f t="shared" si="1"/>
        <v>49.82</v>
      </c>
      <c r="I17" s="15">
        <f t="shared" si="2"/>
        <v>0.19</v>
      </c>
      <c r="J17" s="15">
        <f>ROUND(G17/114120-1,2)</f>
        <v>0.03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1560</v>
      </c>
      <c r="F18" s="10"/>
      <c r="G18" s="10">
        <f t="shared" si="0"/>
        <v>1560</v>
      </c>
      <c r="H18" s="16">
        <f t="shared" si="1"/>
        <v>0.66</v>
      </c>
      <c r="I18" s="15">
        <f t="shared" si="2"/>
        <v>3.0000000000000001E-3</v>
      </c>
      <c r="J18" s="15">
        <f>ROUND(G18/2535-1,2)</f>
        <v>-0.38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660</v>
      </c>
      <c r="F19" s="10"/>
      <c r="G19" s="10">
        <f t="shared" si="0"/>
        <v>660</v>
      </c>
      <c r="H19" s="16">
        <f t="shared" si="1"/>
        <v>0.28000000000000003</v>
      </c>
      <c r="I19" s="15">
        <f t="shared" si="2"/>
        <v>1E-3</v>
      </c>
      <c r="J19" s="15">
        <f>ROUND(G19/280-1,2)</f>
        <v>1.36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950</v>
      </c>
      <c r="F20" s="10"/>
      <c r="G20" s="10">
        <f t="shared" si="0"/>
        <v>950</v>
      </c>
      <c r="H20" s="16">
        <f t="shared" si="1"/>
        <v>0.4</v>
      </c>
      <c r="I20" s="15">
        <f t="shared" si="2"/>
        <v>2E-3</v>
      </c>
      <c r="J20" s="15">
        <f>ROUND(G20/640-1,2)</f>
        <v>0.48</v>
      </c>
    </row>
    <row r="21" spans="1:10" x14ac:dyDescent="0.25">
      <c r="A21" s="1" t="s">
        <v>16</v>
      </c>
      <c r="B21" s="1" t="s">
        <v>33</v>
      </c>
      <c r="C21" s="10"/>
      <c r="D21" s="10">
        <v>105</v>
      </c>
      <c r="E21" s="10">
        <v>86</v>
      </c>
      <c r="F21" s="10"/>
      <c r="G21" s="10">
        <f t="shared" si="0"/>
        <v>191</v>
      </c>
      <c r="H21" s="16">
        <f t="shared" si="1"/>
        <v>0.08</v>
      </c>
      <c r="I21" s="15">
        <f t="shared" si="2"/>
        <v>0</v>
      </c>
      <c r="J21" s="15">
        <f>ROUND(G21/189-1,2)</f>
        <v>0.01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150</v>
      </c>
      <c r="F22" s="10"/>
      <c r="G22" s="10">
        <f t="shared" si="0"/>
        <v>150</v>
      </c>
      <c r="H22" s="16">
        <f t="shared" si="1"/>
        <v>0.06</v>
      </c>
      <c r="I22" s="15">
        <f t="shared" si="2"/>
        <v>0</v>
      </c>
      <c r="J22" s="15">
        <f>ROUND(G22/470-1,2)</f>
        <v>-0.68</v>
      </c>
    </row>
    <row r="23" spans="1:10" x14ac:dyDescent="0.25">
      <c r="A23" s="1" t="s">
        <v>16</v>
      </c>
      <c r="B23" s="1" t="s">
        <v>35</v>
      </c>
      <c r="C23" s="10"/>
      <c r="D23" s="10">
        <v>80</v>
      </c>
      <c r="E23" s="10"/>
      <c r="F23" s="10"/>
      <c r="G23" s="10">
        <f t="shared" si="0"/>
        <v>80</v>
      </c>
      <c r="H23" s="16">
        <f t="shared" si="1"/>
        <v>0.03</v>
      </c>
      <c r="I23" s="15">
        <f t="shared" si="2"/>
        <v>0</v>
      </c>
      <c r="J23" s="15">
        <f>ROUND(G23/373-1,2)</f>
        <v>-0.79</v>
      </c>
    </row>
    <row r="24" spans="1:10" x14ac:dyDescent="0.25">
      <c r="A24" s="1" t="s">
        <v>16</v>
      </c>
      <c r="B24" s="1" t="s">
        <v>36</v>
      </c>
      <c r="C24" s="10"/>
      <c r="D24" s="10"/>
      <c r="E24" s="10">
        <v>1430</v>
      </c>
      <c r="F24" s="10"/>
      <c r="G24" s="10">
        <f t="shared" si="0"/>
        <v>1430</v>
      </c>
      <c r="H24" s="16">
        <f t="shared" si="1"/>
        <v>0.6</v>
      </c>
      <c r="I24" s="15">
        <f t="shared" si="2"/>
        <v>2E-3</v>
      </c>
      <c r="J24" s="15">
        <f>ROUND(G24/1849-1,2)</f>
        <v>-0.23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1845</v>
      </c>
      <c r="F25" s="10"/>
      <c r="G25" s="10">
        <f t="shared" si="0"/>
        <v>1845</v>
      </c>
      <c r="H25" s="16">
        <f t="shared" si="1"/>
        <v>0.78</v>
      </c>
      <c r="I25" s="15">
        <f t="shared" si="2"/>
        <v>3.0000000000000001E-3</v>
      </c>
      <c r="J25" s="15">
        <f>ROUND(G25/2117-1,2)</f>
        <v>-0.13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3800</v>
      </c>
      <c r="F26" s="10"/>
      <c r="G26" s="10">
        <f t="shared" si="0"/>
        <v>3800</v>
      </c>
      <c r="H26" s="16">
        <f t="shared" si="1"/>
        <v>1.61</v>
      </c>
      <c r="I26" s="15">
        <f t="shared" si="2"/>
        <v>6.0000000000000001E-3</v>
      </c>
      <c r="J26" s="15">
        <f>ROUND(G26/3684-1,2)</f>
        <v>0.03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35000</v>
      </c>
      <c r="F27" s="10"/>
      <c r="G27" s="10">
        <f t="shared" si="0"/>
        <v>35000</v>
      </c>
      <c r="H27" s="16">
        <f t="shared" si="1"/>
        <v>14.79</v>
      </c>
      <c r="I27" s="15">
        <f t="shared" si="2"/>
        <v>5.6000000000000001E-2</v>
      </c>
      <c r="J27" s="15">
        <f>ROUND(G27/31575-1,2)</f>
        <v>0.11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15130</v>
      </c>
      <c r="F28" s="10"/>
      <c r="G28" s="10">
        <f t="shared" si="0"/>
        <v>15130</v>
      </c>
      <c r="H28" s="16">
        <f t="shared" si="1"/>
        <v>6.39</v>
      </c>
      <c r="I28" s="15">
        <f t="shared" si="2"/>
        <v>2.4E-2</v>
      </c>
      <c r="J28" s="15">
        <f>ROUND(G28/12520-1,2)</f>
        <v>0.21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54110</v>
      </c>
      <c r="F29" s="10"/>
      <c r="G29" s="10">
        <f t="shared" si="0"/>
        <v>54110</v>
      </c>
      <c r="H29" s="16">
        <f t="shared" si="1"/>
        <v>22.86</v>
      </c>
      <c r="I29" s="15">
        <f t="shared" si="2"/>
        <v>8.6999999999999994E-2</v>
      </c>
      <c r="J29" s="15">
        <f>ROUND(G29/57110-1,2)</f>
        <v>-0.05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ROUND(G30/121-1,2)</f>
        <v>-1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118080</v>
      </c>
      <c r="D33" s="10"/>
      <c r="E33" s="10"/>
      <c r="F33" s="10"/>
      <c r="G33" s="10">
        <f t="shared" si="0"/>
        <v>118080</v>
      </c>
      <c r="H33" s="16">
        <f t="shared" si="1"/>
        <v>49.89</v>
      </c>
      <c r="I33" s="15">
        <f t="shared" si="2"/>
        <v>0.19</v>
      </c>
      <c r="J33" s="15">
        <f>ROUND(G33/116720-1,2)</f>
        <v>0.01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30020</v>
      </c>
      <c r="F34" s="10"/>
      <c r="G34" s="10">
        <f t="shared" si="0"/>
        <v>30020</v>
      </c>
      <c r="H34" s="16">
        <f t="shared" si="1"/>
        <v>12.68</v>
      </c>
      <c r="I34" s="15">
        <f t="shared" si="2"/>
        <v>4.8000000000000001E-2</v>
      </c>
      <c r="J34" s="15">
        <f>ROUND(G34/23840-1,2)</f>
        <v>0.26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3" t="s">
        <v>12</v>
      </c>
      <c r="B37" s="23"/>
      <c r="C37" s="11">
        <f t="shared" ref="C37:H37" si="3">SUM(C8:C36)</f>
        <v>438690</v>
      </c>
      <c r="D37" s="11">
        <f t="shared" si="3"/>
        <v>185</v>
      </c>
      <c r="E37" s="11">
        <f t="shared" si="3"/>
        <v>181481</v>
      </c>
      <c r="F37" s="11">
        <f t="shared" si="3"/>
        <v>0</v>
      </c>
      <c r="G37" s="11">
        <f t="shared" si="3"/>
        <v>620356</v>
      </c>
      <c r="H37" s="14">
        <f t="shared" si="3"/>
        <v>262.08</v>
      </c>
      <c r="I37" s="17"/>
      <c r="J37" s="17"/>
    </row>
    <row r="38" spans="1:10" x14ac:dyDescent="0.25">
      <c r="A38" s="23" t="s">
        <v>14</v>
      </c>
      <c r="B38" s="23"/>
      <c r="C38" s="12">
        <f>ROUND(C37/G37,2)</f>
        <v>0.71</v>
      </c>
      <c r="D38" s="12">
        <f>ROUND(D37/G37,2)</f>
        <v>0</v>
      </c>
      <c r="E38" s="12">
        <f>ROUND(E37/G37,2)</f>
        <v>0.28999999999999998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3" t="s">
        <v>53</v>
      </c>
      <c r="B43" s="23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320610</v>
      </c>
      <c r="D44" s="10">
        <v>185</v>
      </c>
      <c r="E44" s="10">
        <v>151461</v>
      </c>
      <c r="F44" s="10">
        <v>0</v>
      </c>
      <c r="G44" s="10">
        <f>SUM(C44:F44)</f>
        <v>472256</v>
      </c>
      <c r="H44" s="16">
        <f>ROUND(G44/2367,2)</f>
        <v>199.52</v>
      </c>
      <c r="I44" s="9"/>
      <c r="J44" s="9"/>
    </row>
    <row r="45" spans="1:10" x14ac:dyDescent="0.25">
      <c r="A45" s="22" t="s">
        <v>55</v>
      </c>
      <c r="B45" s="22"/>
      <c r="C45" s="10">
        <v>118080</v>
      </c>
      <c r="D45" s="10">
        <v>0</v>
      </c>
      <c r="E45" s="10">
        <v>30020</v>
      </c>
      <c r="F45" s="10">
        <v>0</v>
      </c>
      <c r="G45" s="10">
        <f>SUM(C45:F45)</f>
        <v>148100</v>
      </c>
      <c r="H45" s="16">
        <f>ROUND(G45/2367,2)</f>
        <v>62.57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ROUND(G46/2367,2)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57</v>
      </c>
      <c r="B51" s="23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ROUND(0.7978, 4)</f>
        <v>0.79779999999999995</v>
      </c>
      <c r="D52" s="15">
        <f>ROUND(0.79, 4)</f>
        <v>0.79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4" t="s">
        <v>64</v>
      </c>
      <c r="J52" s="24" t="s">
        <v>65</v>
      </c>
    </row>
    <row r="53" spans="1:10" x14ac:dyDescent="0.25">
      <c r="A53" s="22" t="s">
        <v>66</v>
      </c>
      <c r="B53" s="22"/>
      <c r="C53" s="15">
        <f>ROUND(0.7858, 4)</f>
        <v>0.78580000000000005</v>
      </c>
      <c r="D53" s="15">
        <f>ROUND(0.7777, 4)</f>
        <v>0.77769999999999995</v>
      </c>
      <c r="E53" s="15">
        <f>ROUND(0.7608, 4)</f>
        <v>0.76080000000000003</v>
      </c>
      <c r="F53" s="8"/>
      <c r="G53" s="14" t="s">
        <v>67</v>
      </c>
      <c r="H53" s="27"/>
      <c r="I53" s="25"/>
      <c r="J53" s="25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68</v>
      </c>
      <c r="B57" s="23"/>
      <c r="C57" s="14" t="s">
        <v>2</v>
      </c>
      <c r="D57" s="14" t="s">
        <v>290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49.89</v>
      </c>
      <c r="D58" s="16">
        <v>63.93</v>
      </c>
      <c r="E58" s="16">
        <v>89.58</v>
      </c>
      <c r="F58" s="16">
        <v>53.73</v>
      </c>
      <c r="G58" s="16">
        <f>12/9*C58</f>
        <v>66.52</v>
      </c>
      <c r="H58" s="8"/>
      <c r="I58" s="9"/>
      <c r="J58" s="9"/>
    </row>
    <row r="59" spans="1:10" x14ac:dyDescent="0.25">
      <c r="A59" s="22" t="s">
        <v>74</v>
      </c>
      <c r="B59" s="22"/>
      <c r="C59" s="16">
        <v>49.82</v>
      </c>
      <c r="D59" s="16">
        <v>60.57</v>
      </c>
      <c r="E59" s="16">
        <v>60.32</v>
      </c>
      <c r="F59" s="16">
        <v>61.62</v>
      </c>
      <c r="G59" s="16">
        <f>12/9*C59</f>
        <v>66.426666666666662</v>
      </c>
      <c r="H59" s="8"/>
      <c r="I59" s="9"/>
      <c r="J59" s="9"/>
    </row>
    <row r="60" spans="1:10" x14ac:dyDescent="0.25">
      <c r="A60" s="22" t="s">
        <v>75</v>
      </c>
      <c r="B60" s="22"/>
      <c r="C60" s="16">
        <v>199.52</v>
      </c>
      <c r="D60" s="16">
        <v>249.72</v>
      </c>
      <c r="E60" s="16">
        <v>282.8</v>
      </c>
      <c r="F60" s="16">
        <v>273.33</v>
      </c>
      <c r="G60" s="16">
        <f>12/9*C60</f>
        <v>266.02666666666664</v>
      </c>
      <c r="H60" s="8"/>
      <c r="I60" s="9"/>
      <c r="J60" s="9"/>
    </row>
    <row r="61" spans="1:10" x14ac:dyDescent="0.25">
      <c r="A61" s="22" t="s">
        <v>76</v>
      </c>
      <c r="B61" s="22"/>
      <c r="C61" s="16">
        <v>62.57</v>
      </c>
      <c r="D61" s="16">
        <v>80.64</v>
      </c>
      <c r="E61" s="16">
        <v>112.72</v>
      </c>
      <c r="F61" s="16">
        <v>76.52</v>
      </c>
      <c r="G61" s="16">
        <f>12/9*C61</f>
        <v>83.426666666666662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8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291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2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0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292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6251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140</v>
      </c>
      <c r="F9" s="10"/>
      <c r="G9" s="10">
        <f t="shared" ref="G9:G43" si="0">SUM(C9:F9)</f>
        <v>140</v>
      </c>
      <c r="H9" s="16">
        <f t="shared" ref="H9:H43" si="1">ROUND(G9/6251,2)</f>
        <v>0.02</v>
      </c>
      <c r="I9" s="15">
        <f t="shared" ref="I9:I43" si="2">ROUND(G9/$G$44,3)</f>
        <v>0</v>
      </c>
      <c r="J9" s="15">
        <f>ROUND(G9/190-1,2)</f>
        <v>-0.26</v>
      </c>
    </row>
    <row r="10" spans="1:10" x14ac:dyDescent="0.25">
      <c r="A10" s="1" t="s">
        <v>16</v>
      </c>
      <c r="B10" s="1" t="s">
        <v>19</v>
      </c>
      <c r="C10" s="10">
        <v>111050</v>
      </c>
      <c r="D10" s="10"/>
      <c r="E10" s="10"/>
      <c r="F10" s="10"/>
      <c r="G10" s="10">
        <f t="shared" si="0"/>
        <v>111050</v>
      </c>
      <c r="H10" s="16">
        <f t="shared" si="1"/>
        <v>17.77</v>
      </c>
      <c r="I10" s="15">
        <f t="shared" si="2"/>
        <v>5.2999999999999999E-2</v>
      </c>
      <c r="J10" s="15">
        <f>ROUND(G10/99700-1,2)</f>
        <v>0.11</v>
      </c>
    </row>
    <row r="11" spans="1:10" x14ac:dyDescent="0.25">
      <c r="A11" s="1" t="s">
        <v>16</v>
      </c>
      <c r="B11" s="1" t="s">
        <v>20</v>
      </c>
      <c r="C11" s="10">
        <v>148490</v>
      </c>
      <c r="D11" s="10"/>
      <c r="E11" s="10"/>
      <c r="F11" s="10"/>
      <c r="G11" s="10">
        <f t="shared" si="0"/>
        <v>148490</v>
      </c>
      <c r="H11" s="16">
        <f t="shared" si="1"/>
        <v>23.75</v>
      </c>
      <c r="I11" s="15">
        <f t="shared" si="2"/>
        <v>7.0999999999999994E-2</v>
      </c>
      <c r="J11" s="15">
        <f>ROUND(G11/144550-1,2)</f>
        <v>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321</v>
      </c>
      <c r="F12" s="10"/>
      <c r="G12" s="10">
        <f t="shared" si="0"/>
        <v>321</v>
      </c>
      <c r="H12" s="16">
        <f t="shared" si="1"/>
        <v>0.05</v>
      </c>
      <c r="I12" s="15">
        <f t="shared" si="2"/>
        <v>0</v>
      </c>
      <c r="J12" s="15">
        <f>ROUND(G12/266-1,2)</f>
        <v>0.21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348</v>
      </c>
      <c r="F13" s="10"/>
      <c r="G13" s="10">
        <f t="shared" si="0"/>
        <v>348</v>
      </c>
      <c r="H13" s="16">
        <f t="shared" si="1"/>
        <v>0.06</v>
      </c>
      <c r="I13" s="15">
        <f t="shared" si="2"/>
        <v>0</v>
      </c>
      <c r="J13" s="15">
        <f>ROUND(G13/307-1,2)</f>
        <v>0.13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3100</v>
      </c>
      <c r="F14" s="10"/>
      <c r="G14" s="10">
        <f t="shared" si="0"/>
        <v>3100</v>
      </c>
      <c r="H14" s="16">
        <f t="shared" si="1"/>
        <v>0.5</v>
      </c>
      <c r="I14" s="15">
        <f t="shared" si="2"/>
        <v>1E-3</v>
      </c>
      <c r="J14" s="15">
        <f>ROUND(G14/3100-1,2)</f>
        <v>0</v>
      </c>
    </row>
    <row r="15" spans="1:10" x14ac:dyDescent="0.25">
      <c r="A15" s="1" t="s">
        <v>16</v>
      </c>
      <c r="B15" s="1" t="s">
        <v>223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247080</v>
      </c>
      <c r="F16" s="10"/>
      <c r="G16" s="10">
        <f t="shared" si="0"/>
        <v>247080</v>
      </c>
      <c r="H16" s="16">
        <f t="shared" si="1"/>
        <v>39.53</v>
      </c>
      <c r="I16" s="15">
        <f t="shared" si="2"/>
        <v>0.11799999999999999</v>
      </c>
      <c r="J16" s="15">
        <f>ROUND(G16/109820-1,2)</f>
        <v>1.25</v>
      </c>
    </row>
    <row r="17" spans="1:10" x14ac:dyDescent="0.25">
      <c r="A17" s="1" t="s">
        <v>16</v>
      </c>
      <c r="B17" s="1" t="s">
        <v>24</v>
      </c>
      <c r="C17" s="10">
        <v>170150</v>
      </c>
      <c r="D17" s="10"/>
      <c r="E17" s="10">
        <v>8530</v>
      </c>
      <c r="F17" s="10"/>
      <c r="G17" s="10">
        <f t="shared" si="0"/>
        <v>178680</v>
      </c>
      <c r="H17" s="16">
        <f t="shared" si="1"/>
        <v>28.58</v>
      </c>
      <c r="I17" s="15">
        <f t="shared" si="2"/>
        <v>8.5000000000000006E-2</v>
      </c>
      <c r="J17" s="15">
        <f>ROUND(G17/163880-1,2)</f>
        <v>0.09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8335</v>
      </c>
      <c r="F18" s="10"/>
      <c r="G18" s="10">
        <f t="shared" si="0"/>
        <v>8335</v>
      </c>
      <c r="H18" s="16">
        <f t="shared" si="1"/>
        <v>1.33</v>
      </c>
      <c r="I18" s="15">
        <f t="shared" si="2"/>
        <v>4.0000000000000001E-3</v>
      </c>
      <c r="J18" s="15">
        <f>ROUND(G18/12545-1,2)</f>
        <v>-0.34</v>
      </c>
    </row>
    <row r="19" spans="1:10" x14ac:dyDescent="0.25">
      <c r="A19" s="1" t="s">
        <v>16</v>
      </c>
      <c r="B19" s="1" t="s">
        <v>26</v>
      </c>
      <c r="C19" s="10">
        <v>230080</v>
      </c>
      <c r="D19" s="10"/>
      <c r="E19" s="10"/>
      <c r="F19" s="10">
        <v>300</v>
      </c>
      <c r="G19" s="10">
        <f t="shared" si="0"/>
        <v>230380</v>
      </c>
      <c r="H19" s="16">
        <f t="shared" si="1"/>
        <v>36.85</v>
      </c>
      <c r="I19" s="15">
        <f t="shared" si="2"/>
        <v>0.11</v>
      </c>
      <c r="J19" s="15">
        <f>ROUND(G19/220120-1,2)</f>
        <v>0.05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539</v>
      </c>
      <c r="F20" s="10"/>
      <c r="G20" s="10">
        <f t="shared" si="0"/>
        <v>539</v>
      </c>
      <c r="H20" s="16">
        <f t="shared" si="1"/>
        <v>0.09</v>
      </c>
      <c r="I20" s="15">
        <f t="shared" si="2"/>
        <v>0</v>
      </c>
      <c r="J20" s="15">
        <f>ROUND(G20/494-1,2)</f>
        <v>0.09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247</v>
      </c>
      <c r="F21" s="10"/>
      <c r="G21" s="10">
        <f t="shared" si="0"/>
        <v>247</v>
      </c>
      <c r="H21" s="16">
        <f t="shared" si="1"/>
        <v>0.04</v>
      </c>
      <c r="I21" s="15">
        <f t="shared" si="2"/>
        <v>0</v>
      </c>
      <c r="J21" s="15">
        <f>ROUND(G21/146-1,2)</f>
        <v>0.69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8090</v>
      </c>
      <c r="F22" s="10"/>
      <c r="G22" s="10">
        <f t="shared" si="0"/>
        <v>8090</v>
      </c>
      <c r="H22" s="16">
        <f t="shared" si="1"/>
        <v>1.29</v>
      </c>
      <c r="I22" s="15">
        <f t="shared" si="2"/>
        <v>4.0000000000000001E-3</v>
      </c>
      <c r="J22" s="15">
        <f>ROUND(G22/11110-1,2)</f>
        <v>-0.27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2000</v>
      </c>
      <c r="F23" s="10"/>
      <c r="G23" s="10">
        <f t="shared" si="0"/>
        <v>2000</v>
      </c>
      <c r="H23" s="16">
        <f t="shared" si="1"/>
        <v>0.32</v>
      </c>
      <c r="I23" s="15">
        <f t="shared" si="2"/>
        <v>1E-3</v>
      </c>
      <c r="J23" s="15">
        <f>ROUND(G23/2160-1,2)</f>
        <v>-7.0000000000000007E-2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920</v>
      </c>
      <c r="F24" s="10"/>
      <c r="G24" s="10">
        <f t="shared" si="0"/>
        <v>920</v>
      </c>
      <c r="H24" s="16">
        <f t="shared" si="1"/>
        <v>0.15</v>
      </c>
      <c r="I24" s="15">
        <f t="shared" si="2"/>
        <v>0</v>
      </c>
      <c r="J24" s="15">
        <f>ROUND(G24/1000-1,2)</f>
        <v>-0.08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4185</v>
      </c>
      <c r="F25" s="10"/>
      <c r="G25" s="10">
        <f t="shared" si="0"/>
        <v>4185</v>
      </c>
      <c r="H25" s="16">
        <f t="shared" si="1"/>
        <v>0.67</v>
      </c>
      <c r="I25" s="15">
        <f t="shared" si="2"/>
        <v>2E-3</v>
      </c>
      <c r="J25" s="15">
        <f>ROUND(G25/3555-1,2)</f>
        <v>0.18</v>
      </c>
    </row>
    <row r="26" spans="1:10" x14ac:dyDescent="0.25">
      <c r="A26" s="1" t="s">
        <v>16</v>
      </c>
      <c r="B26" s="1" t="s">
        <v>33</v>
      </c>
      <c r="C26" s="10"/>
      <c r="D26" s="10">
        <v>128</v>
      </c>
      <c r="E26" s="10">
        <v>98</v>
      </c>
      <c r="F26" s="10"/>
      <c r="G26" s="10">
        <f t="shared" si="0"/>
        <v>226</v>
      </c>
      <c r="H26" s="16">
        <f t="shared" si="1"/>
        <v>0.04</v>
      </c>
      <c r="I26" s="15">
        <f t="shared" si="2"/>
        <v>0</v>
      </c>
      <c r="J26" s="15">
        <f>ROUND(G26/90-1,2)</f>
        <v>1.51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210</v>
      </c>
      <c r="F27" s="10"/>
      <c r="G27" s="10">
        <f t="shared" si="0"/>
        <v>210</v>
      </c>
      <c r="H27" s="16">
        <f t="shared" si="1"/>
        <v>0.03</v>
      </c>
      <c r="I27" s="15">
        <f t="shared" si="2"/>
        <v>0</v>
      </c>
      <c r="J27" s="15">
        <f>ROUND(G27/546-1,2)</f>
        <v>-0.62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480</v>
      </c>
      <c r="F28" s="10"/>
      <c r="G28" s="10">
        <f t="shared" si="0"/>
        <v>480</v>
      </c>
      <c r="H28" s="16">
        <f t="shared" si="1"/>
        <v>0.08</v>
      </c>
      <c r="I28" s="15">
        <f t="shared" si="2"/>
        <v>0</v>
      </c>
      <c r="J28" s="15">
        <f>ROUND(G28/2500-1,2)</f>
        <v>-0.81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12130</v>
      </c>
      <c r="F29" s="10"/>
      <c r="G29" s="10">
        <f t="shared" si="0"/>
        <v>12130</v>
      </c>
      <c r="H29" s="16">
        <f t="shared" si="1"/>
        <v>1.94</v>
      </c>
      <c r="I29" s="15">
        <f t="shared" si="2"/>
        <v>6.0000000000000001E-3</v>
      </c>
      <c r="J29" s="15">
        <f>ROUND(G29/15850-1,2)</f>
        <v>-0.23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7914</v>
      </c>
      <c r="F30" s="10"/>
      <c r="G30" s="10">
        <f t="shared" si="0"/>
        <v>7914</v>
      </c>
      <c r="H30" s="16">
        <f t="shared" si="1"/>
        <v>1.27</v>
      </c>
      <c r="I30" s="15">
        <f t="shared" si="2"/>
        <v>4.0000000000000001E-3</v>
      </c>
      <c r="J30" s="15">
        <f>ROUND(G30/12387-1,2)</f>
        <v>-0.36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153460</v>
      </c>
      <c r="F31" s="10"/>
      <c r="G31" s="10">
        <f t="shared" si="0"/>
        <v>153460</v>
      </c>
      <c r="H31" s="16">
        <f t="shared" si="1"/>
        <v>24.55</v>
      </c>
      <c r="I31" s="15">
        <f t="shared" si="2"/>
        <v>7.2999999999999995E-2</v>
      </c>
      <c r="J31" s="15">
        <f>ROUND(G31/117590-1,2)</f>
        <v>0.31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23650</v>
      </c>
      <c r="F32" s="10"/>
      <c r="G32" s="10">
        <f t="shared" si="0"/>
        <v>23650</v>
      </c>
      <c r="H32" s="16">
        <f t="shared" si="1"/>
        <v>3.78</v>
      </c>
      <c r="I32" s="15">
        <f t="shared" si="2"/>
        <v>1.0999999999999999E-2</v>
      </c>
      <c r="J32" s="15">
        <f>ROUND(G32/23030-1,2)</f>
        <v>0.03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39180</v>
      </c>
      <c r="F33" s="10"/>
      <c r="G33" s="10">
        <f t="shared" si="0"/>
        <v>39180</v>
      </c>
      <c r="H33" s="16">
        <f t="shared" si="1"/>
        <v>6.27</v>
      </c>
      <c r="I33" s="15">
        <f t="shared" si="2"/>
        <v>1.9E-2</v>
      </c>
      <c r="J33" s="15">
        <f>ROUND(G33/30710-1,2)</f>
        <v>0.28000000000000003</v>
      </c>
    </row>
    <row r="34" spans="1:10" x14ac:dyDescent="0.25">
      <c r="A34" s="1" t="s">
        <v>16</v>
      </c>
      <c r="B34" s="1" t="s">
        <v>41</v>
      </c>
      <c r="C34" s="10"/>
      <c r="D34" s="10">
        <v>53960</v>
      </c>
      <c r="E34" s="10">
        <v>416800</v>
      </c>
      <c r="F34" s="10"/>
      <c r="G34" s="10">
        <f t="shared" si="0"/>
        <v>470760</v>
      </c>
      <c r="H34" s="16">
        <f t="shared" si="1"/>
        <v>75.31</v>
      </c>
      <c r="I34" s="15">
        <f t="shared" si="2"/>
        <v>0.224</v>
      </c>
      <c r="J34" s="15">
        <f>ROUND(G34/520000-1,2)</f>
        <v>-0.09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ROUND(G35/242-1,2)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ROUND(G36/4460-1,2)</f>
        <v>-1</v>
      </c>
    </row>
    <row r="37" spans="1:10" x14ac:dyDescent="0.25">
      <c r="A37" s="1" t="s">
        <v>16</v>
      </c>
      <c r="B37" s="1" t="s">
        <v>227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44</v>
      </c>
      <c r="B38" s="1" t="s">
        <v>45</v>
      </c>
      <c r="C38" s="10">
        <v>312750</v>
      </c>
      <c r="D38" s="10"/>
      <c r="E38" s="10"/>
      <c r="F38" s="10">
        <v>360</v>
      </c>
      <c r="G38" s="10">
        <f t="shared" si="0"/>
        <v>313110</v>
      </c>
      <c r="H38" s="16">
        <f t="shared" si="1"/>
        <v>50.09</v>
      </c>
      <c r="I38" s="15">
        <f t="shared" si="2"/>
        <v>0.14899999999999999</v>
      </c>
      <c r="J38" s="15">
        <f>ROUND(G38/297730-1,2)</f>
        <v>0.05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35525</v>
      </c>
      <c r="G39" s="10">
        <f t="shared" si="0"/>
        <v>35525</v>
      </c>
      <c r="H39" s="16">
        <f t="shared" si="1"/>
        <v>5.68</v>
      </c>
      <c r="I39" s="15">
        <f t="shared" si="2"/>
        <v>1.7000000000000001E-2</v>
      </c>
      <c r="J39" s="15">
        <f>ROUND(G39/51070-1,2)</f>
        <v>-0.3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101470</v>
      </c>
      <c r="F40" s="10"/>
      <c r="G40" s="10">
        <f t="shared" si="0"/>
        <v>101470</v>
      </c>
      <c r="H40" s="16">
        <f t="shared" si="1"/>
        <v>16.23</v>
      </c>
      <c r="I40" s="15">
        <f t="shared" si="2"/>
        <v>4.8000000000000001E-2</v>
      </c>
      <c r="J40" s="15">
        <f>ROUND(G40/83020-1,2)</f>
        <v>0.22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3" t="s">
        <v>12</v>
      </c>
      <c r="B44" s="23"/>
      <c r="C44" s="11">
        <f t="shared" ref="C44:H44" si="3">SUM(C8:C43)</f>
        <v>972520</v>
      </c>
      <c r="D44" s="11">
        <f t="shared" si="3"/>
        <v>54088</v>
      </c>
      <c r="E44" s="11">
        <f t="shared" si="3"/>
        <v>1039227</v>
      </c>
      <c r="F44" s="11">
        <f t="shared" si="3"/>
        <v>36185</v>
      </c>
      <c r="G44" s="11">
        <f t="shared" si="3"/>
        <v>2102020</v>
      </c>
      <c r="H44" s="14">
        <f t="shared" si="3"/>
        <v>336.27000000000004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0.46</v>
      </c>
      <c r="D45" s="12">
        <f>ROUND(D44/G44,2)</f>
        <v>0.03</v>
      </c>
      <c r="E45" s="12">
        <f>ROUND(E44/G44,2)</f>
        <v>0.49</v>
      </c>
      <c r="F45" s="12">
        <f>ROUND(F44/G44,2)</f>
        <v>0.02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659770</v>
      </c>
      <c r="D51" s="10">
        <v>54088</v>
      </c>
      <c r="E51" s="10">
        <v>937757</v>
      </c>
      <c r="F51" s="10">
        <v>300</v>
      </c>
      <c r="G51" s="10">
        <f>SUM(C51:F51)</f>
        <v>1651915</v>
      </c>
      <c r="H51" s="16">
        <f>ROUND(G51/6251,2)</f>
        <v>264.26</v>
      </c>
      <c r="I51" s="9"/>
      <c r="J51" s="9"/>
    </row>
    <row r="52" spans="1:10" x14ac:dyDescent="0.25">
      <c r="A52" s="22" t="s">
        <v>55</v>
      </c>
      <c r="B52" s="22"/>
      <c r="C52" s="10">
        <v>312750</v>
      </c>
      <c r="D52" s="10">
        <v>0</v>
      </c>
      <c r="E52" s="10">
        <v>101470</v>
      </c>
      <c r="F52" s="10">
        <v>35885</v>
      </c>
      <c r="G52" s="10">
        <f>SUM(C52:F52)</f>
        <v>450105</v>
      </c>
      <c r="H52" s="16">
        <f>ROUND(G52/6251,2)</f>
        <v>72.010000000000005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ROUND(G53/6251,2)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ROUND(0.8297, 4)</f>
        <v>0.82969999999999999</v>
      </c>
      <c r="D59" s="15">
        <f>ROUND(0.8136, 4)</f>
        <v>0.81359999999999999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ROUND(0.8221, 4)</f>
        <v>0.82210000000000005</v>
      </c>
      <c r="D60" s="15">
        <f>ROUND(0.8063, 4)</f>
        <v>0.80630000000000002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293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50.09</v>
      </c>
      <c r="D65" s="16">
        <v>75.09</v>
      </c>
      <c r="E65" s="16">
        <v>89.58</v>
      </c>
      <c r="F65" s="16">
        <v>53.73</v>
      </c>
      <c r="G65" s="16">
        <f>12/9*C65</f>
        <v>66.786666666666662</v>
      </c>
      <c r="H65" s="8"/>
      <c r="I65" s="9"/>
      <c r="J65" s="9"/>
    </row>
    <row r="66" spans="1:10" x14ac:dyDescent="0.25">
      <c r="A66" s="22" t="s">
        <v>74</v>
      </c>
      <c r="B66" s="22"/>
      <c r="C66" s="16">
        <v>36.85</v>
      </c>
      <c r="D66" s="16">
        <v>57.19</v>
      </c>
      <c r="E66" s="16">
        <v>60.32</v>
      </c>
      <c r="F66" s="16">
        <v>61.62</v>
      </c>
      <c r="G66" s="16">
        <f>12/9*C66</f>
        <v>49.133333333333333</v>
      </c>
      <c r="H66" s="8"/>
      <c r="I66" s="9"/>
      <c r="J66" s="9"/>
    </row>
    <row r="67" spans="1:10" x14ac:dyDescent="0.25">
      <c r="A67" s="22" t="s">
        <v>75</v>
      </c>
      <c r="B67" s="22"/>
      <c r="C67" s="16">
        <v>267.87</v>
      </c>
      <c r="D67" s="16">
        <v>372.58</v>
      </c>
      <c r="E67" s="16">
        <v>282.8</v>
      </c>
      <c r="F67" s="16">
        <v>273.33</v>
      </c>
      <c r="G67" s="16">
        <f>12/9*C67</f>
        <v>357.15999999999997</v>
      </c>
      <c r="H67" s="8"/>
      <c r="I67" s="9"/>
      <c r="J67" s="9"/>
    </row>
    <row r="68" spans="1:10" x14ac:dyDescent="0.25">
      <c r="A68" s="22" t="s">
        <v>76</v>
      </c>
      <c r="B68" s="22"/>
      <c r="C68" s="16">
        <v>72.010000000000005</v>
      </c>
      <c r="D68" s="16">
        <v>112.81</v>
      </c>
      <c r="E68" s="16">
        <v>112.72</v>
      </c>
      <c r="F68" s="16">
        <v>76.52</v>
      </c>
      <c r="G68" s="16">
        <f>12/9*C68</f>
        <v>96.013333333333335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8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294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3"/>
  <dimension ref="A2:J8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6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295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7923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170</v>
      </c>
      <c r="F9" s="10"/>
      <c r="G9" s="10">
        <f t="shared" ref="G9:G40" si="0">SUM(C9:F9)</f>
        <v>170</v>
      </c>
      <c r="H9" s="16">
        <f t="shared" ref="H9:H40" si="1">ROUND(G9/7923,2)</f>
        <v>0.02</v>
      </c>
      <c r="I9" s="15">
        <f t="shared" ref="I9:I40" si="2">ROUND(G9/$G$41,3)</f>
        <v>0</v>
      </c>
      <c r="J9" s="15">
        <f>ROUND(G9/181-1,2)</f>
        <v>-0.06</v>
      </c>
    </row>
    <row r="10" spans="1:10" x14ac:dyDescent="0.25">
      <c r="A10" s="1" t="s">
        <v>16</v>
      </c>
      <c r="B10" s="1" t="s">
        <v>19</v>
      </c>
      <c r="C10" s="10">
        <v>193450</v>
      </c>
      <c r="D10" s="10"/>
      <c r="E10" s="10">
        <v>7860</v>
      </c>
      <c r="F10" s="10"/>
      <c r="G10" s="10">
        <f t="shared" si="0"/>
        <v>201310</v>
      </c>
      <c r="H10" s="16">
        <f t="shared" si="1"/>
        <v>25.41</v>
      </c>
      <c r="I10" s="15">
        <f t="shared" si="2"/>
        <v>6.8000000000000005E-2</v>
      </c>
      <c r="J10" s="15">
        <f>ROUND(G10/201370-1,2)</f>
        <v>0</v>
      </c>
    </row>
    <row r="11" spans="1:10" x14ac:dyDescent="0.25">
      <c r="A11" s="1" t="s">
        <v>16</v>
      </c>
      <c r="B11" s="1" t="s">
        <v>20</v>
      </c>
      <c r="C11" s="10">
        <v>286340</v>
      </c>
      <c r="D11" s="10"/>
      <c r="E11" s="10"/>
      <c r="F11" s="10"/>
      <c r="G11" s="10">
        <f t="shared" si="0"/>
        <v>286340</v>
      </c>
      <c r="H11" s="16">
        <f t="shared" si="1"/>
        <v>36.14</v>
      </c>
      <c r="I11" s="15">
        <f t="shared" si="2"/>
        <v>9.7000000000000003E-2</v>
      </c>
      <c r="J11" s="15">
        <f>ROUND(G11/294220-1,2)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350</v>
      </c>
      <c r="F12" s="10"/>
      <c r="G12" s="10">
        <f t="shared" si="0"/>
        <v>350</v>
      </c>
      <c r="H12" s="16">
        <f t="shared" si="1"/>
        <v>0.04</v>
      </c>
      <c r="I12" s="15">
        <f t="shared" si="2"/>
        <v>0</v>
      </c>
      <c r="J12" s="15">
        <f>ROUND(G12/241-1,2)</f>
        <v>0.45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340</v>
      </c>
      <c r="F13" s="10"/>
      <c r="G13" s="10">
        <f t="shared" si="0"/>
        <v>340</v>
      </c>
      <c r="H13" s="16">
        <f t="shared" si="1"/>
        <v>0.04</v>
      </c>
      <c r="I13" s="15">
        <f t="shared" si="2"/>
        <v>0</v>
      </c>
      <c r="J13" s="15">
        <f>ROUND(G13/180-1,2)</f>
        <v>0.89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3000</v>
      </c>
      <c r="F14" s="10"/>
      <c r="G14" s="10">
        <f t="shared" si="0"/>
        <v>3000</v>
      </c>
      <c r="H14" s="16">
        <f t="shared" si="1"/>
        <v>0.38</v>
      </c>
      <c r="I14" s="15">
        <f t="shared" si="2"/>
        <v>1E-3</v>
      </c>
      <c r="J14" s="15">
        <f>ROUND(G14/1000-1,2)</f>
        <v>2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140</v>
      </c>
      <c r="G15" s="10">
        <f t="shared" si="0"/>
        <v>140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117380</v>
      </c>
      <c r="F16" s="10"/>
      <c r="G16" s="10">
        <f t="shared" si="0"/>
        <v>117380</v>
      </c>
      <c r="H16" s="16">
        <f t="shared" si="1"/>
        <v>14.82</v>
      </c>
      <c r="I16" s="15">
        <f t="shared" si="2"/>
        <v>0.04</v>
      </c>
      <c r="J16" s="15">
        <f>ROUND(G16/167740-1,2)</f>
        <v>-0.3</v>
      </c>
    </row>
    <row r="17" spans="1:10" x14ac:dyDescent="0.25">
      <c r="A17" s="1" t="s">
        <v>16</v>
      </c>
      <c r="B17" s="1" t="s">
        <v>24</v>
      </c>
      <c r="C17" s="10">
        <v>303480</v>
      </c>
      <c r="D17" s="10"/>
      <c r="E17" s="10">
        <v>38020</v>
      </c>
      <c r="F17" s="10"/>
      <c r="G17" s="10">
        <f t="shared" si="0"/>
        <v>341500</v>
      </c>
      <c r="H17" s="16">
        <f t="shared" si="1"/>
        <v>43.1</v>
      </c>
      <c r="I17" s="15">
        <f t="shared" si="2"/>
        <v>0.115</v>
      </c>
      <c r="J17" s="15">
        <f>ROUND(G17/344660-1,2)</f>
        <v>-0.01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12755</v>
      </c>
      <c r="F18" s="10"/>
      <c r="G18" s="10">
        <f t="shared" si="0"/>
        <v>12755</v>
      </c>
      <c r="H18" s="16">
        <f t="shared" si="1"/>
        <v>1.61</v>
      </c>
      <c r="I18" s="15">
        <f t="shared" si="2"/>
        <v>4.0000000000000001E-3</v>
      </c>
      <c r="J18" s="15">
        <f>ROUND(G18/6465-1,2)</f>
        <v>0.97</v>
      </c>
    </row>
    <row r="19" spans="1:10" x14ac:dyDescent="0.25">
      <c r="A19" s="1" t="s">
        <v>16</v>
      </c>
      <c r="B19" s="1" t="s">
        <v>26</v>
      </c>
      <c r="C19" s="10">
        <v>512520</v>
      </c>
      <c r="D19" s="10"/>
      <c r="E19" s="10"/>
      <c r="F19" s="10">
        <v>1500</v>
      </c>
      <c r="G19" s="10">
        <f t="shared" si="0"/>
        <v>514020</v>
      </c>
      <c r="H19" s="16">
        <f t="shared" si="1"/>
        <v>64.88</v>
      </c>
      <c r="I19" s="15">
        <f t="shared" si="2"/>
        <v>0.17399999999999999</v>
      </c>
      <c r="J19" s="15">
        <f>ROUND(G19/511370-1,2)</f>
        <v>0.01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964</v>
      </c>
      <c r="F20" s="10"/>
      <c r="G20" s="10">
        <f t="shared" si="0"/>
        <v>964</v>
      </c>
      <c r="H20" s="16">
        <f t="shared" si="1"/>
        <v>0.12</v>
      </c>
      <c r="I20" s="15">
        <f t="shared" si="2"/>
        <v>0</v>
      </c>
      <c r="J20" s="15">
        <f>ROUND(G20/1902-1,2)</f>
        <v>-0.49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706</v>
      </c>
      <c r="F21" s="10"/>
      <c r="G21" s="10">
        <f t="shared" si="0"/>
        <v>706</v>
      </c>
      <c r="H21" s="16">
        <f t="shared" si="1"/>
        <v>0.09</v>
      </c>
      <c r="I21" s="15">
        <f t="shared" si="2"/>
        <v>0</v>
      </c>
      <c r="J21" s="15">
        <f>ROUND(G21/781-1,2)</f>
        <v>-0.1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5860</v>
      </c>
      <c r="F22" s="10"/>
      <c r="G22" s="10">
        <f t="shared" si="0"/>
        <v>5860</v>
      </c>
      <c r="H22" s="16">
        <f t="shared" si="1"/>
        <v>0.74</v>
      </c>
      <c r="I22" s="15">
        <f t="shared" si="2"/>
        <v>2E-3</v>
      </c>
      <c r="J22" s="15">
        <f>ROUND(G22/7100-1,2)</f>
        <v>-0.17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2020</v>
      </c>
      <c r="F23" s="10"/>
      <c r="G23" s="10">
        <f t="shared" si="0"/>
        <v>2020</v>
      </c>
      <c r="H23" s="16">
        <f t="shared" si="1"/>
        <v>0.25</v>
      </c>
      <c r="I23" s="15">
        <f t="shared" si="2"/>
        <v>1E-3</v>
      </c>
      <c r="J23" s="15">
        <f>ROUND(G23/1780-1,2)</f>
        <v>0.13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940</v>
      </c>
      <c r="F24" s="10"/>
      <c r="G24" s="10">
        <f t="shared" si="0"/>
        <v>940</v>
      </c>
      <c r="H24" s="16">
        <f t="shared" si="1"/>
        <v>0.12</v>
      </c>
      <c r="I24" s="15">
        <f t="shared" si="2"/>
        <v>0</v>
      </c>
      <c r="J24" s="15">
        <f>ROUND(G24/1140-1,2)</f>
        <v>-0.18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5180</v>
      </c>
      <c r="F25" s="10"/>
      <c r="G25" s="10">
        <f t="shared" si="0"/>
        <v>5180</v>
      </c>
      <c r="H25" s="16">
        <f t="shared" si="1"/>
        <v>0.65</v>
      </c>
      <c r="I25" s="15">
        <f t="shared" si="2"/>
        <v>2E-3</v>
      </c>
      <c r="J25" s="15">
        <f>ROUND(G25/3110-1,2)</f>
        <v>0.67</v>
      </c>
    </row>
    <row r="26" spans="1:10" x14ac:dyDescent="0.25">
      <c r="A26" s="1" t="s">
        <v>16</v>
      </c>
      <c r="B26" s="1" t="s">
        <v>33</v>
      </c>
      <c r="C26" s="10"/>
      <c r="D26" s="10">
        <v>380</v>
      </c>
      <c r="E26" s="10">
        <v>255</v>
      </c>
      <c r="F26" s="10"/>
      <c r="G26" s="10">
        <f t="shared" si="0"/>
        <v>635</v>
      </c>
      <c r="H26" s="16">
        <f t="shared" si="1"/>
        <v>0.08</v>
      </c>
      <c r="I26" s="15">
        <f t="shared" si="2"/>
        <v>0</v>
      </c>
      <c r="J26" s="15">
        <f>ROUND(G26/687-1,2)</f>
        <v>-0.08</v>
      </c>
    </row>
    <row r="27" spans="1:10" x14ac:dyDescent="0.25">
      <c r="A27" s="1" t="s">
        <v>16</v>
      </c>
      <c r="B27" s="1" t="s">
        <v>35</v>
      </c>
      <c r="C27" s="10"/>
      <c r="D27" s="10">
        <v>250</v>
      </c>
      <c r="E27" s="10">
        <v>210</v>
      </c>
      <c r="F27" s="10"/>
      <c r="G27" s="10">
        <f t="shared" si="0"/>
        <v>460</v>
      </c>
      <c r="H27" s="16">
        <f t="shared" si="1"/>
        <v>0.06</v>
      </c>
      <c r="I27" s="15">
        <f t="shared" si="2"/>
        <v>0</v>
      </c>
      <c r="J27" s="15">
        <f>ROUND(G27/1330-1,2)</f>
        <v>-0.65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0.28000000000000003</v>
      </c>
      <c r="I28" s="15">
        <f t="shared" si="2"/>
        <v>1E-3</v>
      </c>
      <c r="J28" s="15"/>
    </row>
    <row r="29" spans="1:10" x14ac:dyDescent="0.25">
      <c r="A29" s="1" t="s">
        <v>16</v>
      </c>
      <c r="B29" s="1" t="s">
        <v>37</v>
      </c>
      <c r="C29" s="10"/>
      <c r="D29" s="10"/>
      <c r="E29" s="10">
        <v>5621</v>
      </c>
      <c r="F29" s="10"/>
      <c r="G29" s="10">
        <f t="shared" si="0"/>
        <v>5621</v>
      </c>
      <c r="H29" s="16">
        <f t="shared" si="1"/>
        <v>0.71</v>
      </c>
      <c r="I29" s="15">
        <f t="shared" si="2"/>
        <v>2E-3</v>
      </c>
      <c r="J29" s="15">
        <f>ROUND(G29/16220-1,2)</f>
        <v>-0.65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11680</v>
      </c>
      <c r="F30" s="10"/>
      <c r="G30" s="10">
        <f t="shared" si="0"/>
        <v>11680</v>
      </c>
      <c r="H30" s="16">
        <f t="shared" si="1"/>
        <v>1.47</v>
      </c>
      <c r="I30" s="15">
        <f t="shared" si="2"/>
        <v>4.0000000000000001E-3</v>
      </c>
      <c r="J30" s="15">
        <f>ROUND(G30/8976-1,2)</f>
        <v>0.3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172140</v>
      </c>
      <c r="F31" s="10"/>
      <c r="G31" s="10">
        <f t="shared" si="0"/>
        <v>172140</v>
      </c>
      <c r="H31" s="16">
        <f t="shared" si="1"/>
        <v>21.73</v>
      </c>
      <c r="I31" s="15">
        <f t="shared" si="2"/>
        <v>5.8000000000000003E-2</v>
      </c>
      <c r="J31" s="15">
        <f>ROUND(G31/118685-1,2)</f>
        <v>0.45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47760</v>
      </c>
      <c r="F32" s="10"/>
      <c r="G32" s="10">
        <f t="shared" si="0"/>
        <v>47760</v>
      </c>
      <c r="H32" s="16">
        <f t="shared" si="1"/>
        <v>6.03</v>
      </c>
      <c r="I32" s="15">
        <f t="shared" si="2"/>
        <v>1.6E-2</v>
      </c>
      <c r="J32" s="15">
        <f>ROUND(G32/37560-1,2)</f>
        <v>0.27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339230</v>
      </c>
      <c r="F33" s="10"/>
      <c r="G33" s="10">
        <f t="shared" si="0"/>
        <v>339230</v>
      </c>
      <c r="H33" s="16">
        <f t="shared" si="1"/>
        <v>42.82</v>
      </c>
      <c r="I33" s="15">
        <f t="shared" si="2"/>
        <v>0.115</v>
      </c>
      <c r="J33" s="15">
        <f>ROUND(G33/290180-1,2)</f>
        <v>0.17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ROUND(G34/5630-1,2)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ROUND(G35/254-1,2)</f>
        <v>-1</v>
      </c>
    </row>
    <row r="36" spans="1:10" x14ac:dyDescent="0.25">
      <c r="A36" s="1" t="s">
        <v>44</v>
      </c>
      <c r="B36" s="1" t="s">
        <v>45</v>
      </c>
      <c r="C36" s="10">
        <v>684950</v>
      </c>
      <c r="D36" s="10"/>
      <c r="E36" s="10"/>
      <c r="F36" s="10"/>
      <c r="G36" s="10">
        <f t="shared" si="0"/>
        <v>684950</v>
      </c>
      <c r="H36" s="16">
        <f t="shared" si="1"/>
        <v>86.45</v>
      </c>
      <c r="I36" s="15">
        <f t="shared" si="2"/>
        <v>0.23100000000000001</v>
      </c>
      <c r="J36" s="15">
        <f>ROUND(G36/652060-1,2)</f>
        <v>0.05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90560</v>
      </c>
      <c r="G37" s="10">
        <f t="shared" si="0"/>
        <v>90560</v>
      </c>
      <c r="H37" s="16">
        <f t="shared" si="1"/>
        <v>11.43</v>
      </c>
      <c r="I37" s="15">
        <f t="shared" si="2"/>
        <v>3.1E-2</v>
      </c>
      <c r="J37" s="15">
        <f>ROUND(G37/72460-1,2)</f>
        <v>0.25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111700</v>
      </c>
      <c r="F38" s="10"/>
      <c r="G38" s="10">
        <f t="shared" si="0"/>
        <v>111700</v>
      </c>
      <c r="H38" s="16">
        <f t="shared" si="1"/>
        <v>14.1</v>
      </c>
      <c r="I38" s="15">
        <f t="shared" si="2"/>
        <v>3.7999999999999999E-2</v>
      </c>
      <c r="J38" s="15">
        <f>ROUND(G38/118960-1,2)</f>
        <v>-0.06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ROUND(G40/125-1,2)</f>
        <v>-1</v>
      </c>
    </row>
    <row r="41" spans="1:10" x14ac:dyDescent="0.25">
      <c r="A41" s="23" t="s">
        <v>12</v>
      </c>
      <c r="B41" s="23"/>
      <c r="C41" s="11">
        <f t="shared" ref="C41:H41" si="3">SUM(C8:C40)</f>
        <v>1980740</v>
      </c>
      <c r="D41" s="11">
        <f t="shared" si="3"/>
        <v>630</v>
      </c>
      <c r="E41" s="11">
        <f t="shared" si="3"/>
        <v>886361</v>
      </c>
      <c r="F41" s="11">
        <f t="shared" si="3"/>
        <v>92200</v>
      </c>
      <c r="G41" s="11">
        <f t="shared" si="3"/>
        <v>2959931</v>
      </c>
      <c r="H41" s="14">
        <f t="shared" si="3"/>
        <v>373.59000000000003</v>
      </c>
      <c r="I41" s="17"/>
      <c r="J41" s="17"/>
    </row>
    <row r="42" spans="1:10" x14ac:dyDescent="0.25">
      <c r="A42" s="23" t="s">
        <v>14</v>
      </c>
      <c r="B42" s="23"/>
      <c r="C42" s="12">
        <f>ROUND(C41/G41,2)</f>
        <v>0.67</v>
      </c>
      <c r="D42" s="12">
        <f>ROUND(D41/G41,2)</f>
        <v>0</v>
      </c>
      <c r="E42" s="12">
        <f>ROUND(E41/G41,2)</f>
        <v>0.3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3" t="s">
        <v>53</v>
      </c>
      <c r="B47" s="23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1295790</v>
      </c>
      <c r="D48" s="10">
        <v>630</v>
      </c>
      <c r="E48" s="10">
        <v>774661</v>
      </c>
      <c r="F48" s="10">
        <v>1640</v>
      </c>
      <c r="G48" s="10">
        <f>SUM(C48:F48)</f>
        <v>2072721</v>
      </c>
      <c r="H48" s="16">
        <f>ROUND(G48/7923,2)</f>
        <v>261.61</v>
      </c>
      <c r="I48" s="9"/>
      <c r="J48" s="9"/>
    </row>
    <row r="49" spans="1:10" x14ac:dyDescent="0.25">
      <c r="A49" s="22" t="s">
        <v>55</v>
      </c>
      <c r="B49" s="22"/>
      <c r="C49" s="10">
        <v>684950</v>
      </c>
      <c r="D49" s="10">
        <v>0</v>
      </c>
      <c r="E49" s="10">
        <v>111700</v>
      </c>
      <c r="F49" s="10">
        <v>90560</v>
      </c>
      <c r="G49" s="10">
        <f>SUM(C49:F49)</f>
        <v>887210</v>
      </c>
      <c r="H49" s="16">
        <f>ROUND(G49/7923,2)</f>
        <v>111.98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ROUND(G50/7923,2)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57</v>
      </c>
      <c r="B55" s="23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ROUND(0.7538, 4)</f>
        <v>0.75380000000000003</v>
      </c>
      <c r="D56" s="15">
        <f>ROUND(0.7471, 4)</f>
        <v>0.74709999999999999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4" t="s">
        <v>64</v>
      </c>
      <c r="J56" s="24" t="s">
        <v>65</v>
      </c>
    </row>
    <row r="57" spans="1:10" x14ac:dyDescent="0.25">
      <c r="A57" s="22" t="s">
        <v>66</v>
      </c>
      <c r="B57" s="22"/>
      <c r="C57" s="15">
        <f>ROUND(0.7447, 4)</f>
        <v>0.74470000000000003</v>
      </c>
      <c r="D57" s="15">
        <f>ROUND(0.7373, 4)</f>
        <v>0.73729999999999996</v>
      </c>
      <c r="E57" s="15">
        <f>ROUND(0.7608, 4)</f>
        <v>0.76080000000000003</v>
      </c>
      <c r="F57" s="8"/>
      <c r="G57" s="14" t="s">
        <v>67</v>
      </c>
      <c r="H57" s="27"/>
      <c r="I57" s="25"/>
      <c r="J57" s="25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3" t="s">
        <v>68</v>
      </c>
      <c r="B61" s="23"/>
      <c r="C61" s="14" t="s">
        <v>2</v>
      </c>
      <c r="D61" s="14" t="s">
        <v>296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86.45</v>
      </c>
      <c r="D62" s="16">
        <v>101.87</v>
      </c>
      <c r="E62" s="16">
        <v>89.58</v>
      </c>
      <c r="F62" s="16">
        <v>53.73</v>
      </c>
      <c r="G62" s="16">
        <f>12/9*C62</f>
        <v>115.26666666666667</v>
      </c>
      <c r="H62" s="8"/>
      <c r="I62" s="9"/>
      <c r="J62" s="9"/>
    </row>
    <row r="63" spans="1:10" x14ac:dyDescent="0.25">
      <c r="A63" s="22" t="s">
        <v>74</v>
      </c>
      <c r="B63" s="22"/>
      <c r="C63" s="16">
        <v>64.88</v>
      </c>
      <c r="D63" s="16">
        <v>84.01</v>
      </c>
      <c r="E63" s="16">
        <v>60.32</v>
      </c>
      <c r="F63" s="16">
        <v>61.62</v>
      </c>
      <c r="G63" s="16">
        <f>12/9*C63</f>
        <v>86.506666666666661</v>
      </c>
      <c r="H63" s="8"/>
      <c r="I63" s="9"/>
      <c r="J63" s="9"/>
    </row>
    <row r="64" spans="1:10" x14ac:dyDescent="0.25">
      <c r="A64" s="22" t="s">
        <v>75</v>
      </c>
      <c r="B64" s="22"/>
      <c r="C64" s="16">
        <v>261.61</v>
      </c>
      <c r="D64" s="16">
        <v>322.93</v>
      </c>
      <c r="E64" s="16">
        <v>282.8</v>
      </c>
      <c r="F64" s="16">
        <v>273.33</v>
      </c>
      <c r="G64" s="16">
        <f>12/9*C64</f>
        <v>348.81333333333333</v>
      </c>
      <c r="H64" s="8"/>
      <c r="I64" s="9"/>
      <c r="J64" s="9"/>
    </row>
    <row r="65" spans="1:10" x14ac:dyDescent="0.25">
      <c r="A65" s="22" t="s">
        <v>76</v>
      </c>
      <c r="B65" s="22"/>
      <c r="C65" s="16">
        <v>111.98</v>
      </c>
      <c r="D65" s="16">
        <v>130.94999999999999</v>
      </c>
      <c r="E65" s="16">
        <v>112.72</v>
      </c>
      <c r="F65" s="16">
        <v>76.52</v>
      </c>
      <c r="G65" s="16">
        <f>12/9*C65</f>
        <v>149.30666666666667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8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297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4"/>
  <dimension ref="A2:J80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61.42578125" bestFit="1" customWidth="1"/>
    <col min="3" max="3" width="14" bestFit="1" customWidth="1"/>
    <col min="4" max="4" width="38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356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5682</v>
      </c>
      <c r="D4" s="19" t="s">
        <v>357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178</v>
      </c>
      <c r="F9" s="10"/>
      <c r="G9" s="10">
        <f t="shared" ref="G9:G48" si="0">SUM(C9:F9)</f>
        <v>178</v>
      </c>
      <c r="H9" s="16">
        <f t="shared" ref="H9:H48" si="1">ROUND(G9/5682,2)</f>
        <v>0.03</v>
      </c>
      <c r="I9" s="15">
        <f t="shared" ref="I9:I48" si="2">ROUND(G9/$G$49,3)</f>
        <v>0</v>
      </c>
      <c r="J9" s="15">
        <f>ROUND(G9/117-1,2)</f>
        <v>0.52</v>
      </c>
    </row>
    <row r="10" spans="1:10" x14ac:dyDescent="0.25">
      <c r="A10" s="1" t="s">
        <v>16</v>
      </c>
      <c r="B10" s="1" t="s">
        <v>172</v>
      </c>
      <c r="C10" s="10"/>
      <c r="D10" s="10"/>
      <c r="E10" s="10">
        <v>200</v>
      </c>
      <c r="F10" s="10"/>
      <c r="G10" s="10">
        <f t="shared" si="0"/>
        <v>200</v>
      </c>
      <c r="H10" s="16">
        <f t="shared" si="1"/>
        <v>0.04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18</v>
      </c>
      <c r="C11" s="10">
        <v>36310</v>
      </c>
      <c r="D11" s="10"/>
      <c r="E11" s="10"/>
      <c r="F11" s="10"/>
      <c r="G11" s="10">
        <f t="shared" si="0"/>
        <v>36310</v>
      </c>
      <c r="H11" s="16">
        <f t="shared" si="1"/>
        <v>6.39</v>
      </c>
      <c r="I11" s="15">
        <f t="shared" si="2"/>
        <v>2.1999999999999999E-2</v>
      </c>
      <c r="J11" s="15">
        <f>ROUND(G11/40850-1,2)</f>
        <v>-0.11</v>
      </c>
    </row>
    <row r="12" spans="1:10" x14ac:dyDescent="0.25">
      <c r="A12" s="1" t="s">
        <v>16</v>
      </c>
      <c r="B12" s="1" t="s">
        <v>90</v>
      </c>
      <c r="C12" s="10">
        <v>700</v>
      </c>
      <c r="D12" s="10"/>
      <c r="E12" s="10"/>
      <c r="F12" s="10"/>
      <c r="G12" s="10">
        <f t="shared" si="0"/>
        <v>700</v>
      </c>
      <c r="H12" s="16">
        <f t="shared" si="1"/>
        <v>0.12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19</v>
      </c>
      <c r="C13" s="10">
        <v>113980</v>
      </c>
      <c r="D13" s="10"/>
      <c r="E13" s="10"/>
      <c r="F13" s="10"/>
      <c r="G13" s="10">
        <f t="shared" si="0"/>
        <v>113980</v>
      </c>
      <c r="H13" s="16">
        <f t="shared" si="1"/>
        <v>20.059999999999999</v>
      </c>
      <c r="I13" s="15">
        <f t="shared" si="2"/>
        <v>7.0000000000000007E-2</v>
      </c>
      <c r="J13" s="15">
        <f>ROUND(G13/109180-1,2)</f>
        <v>0.04</v>
      </c>
    </row>
    <row r="14" spans="1:10" x14ac:dyDescent="0.25">
      <c r="A14" s="1" t="s">
        <v>16</v>
      </c>
      <c r="B14" s="1" t="s">
        <v>20</v>
      </c>
      <c r="C14" s="10">
        <v>125740</v>
      </c>
      <c r="D14" s="10"/>
      <c r="E14" s="10"/>
      <c r="F14" s="10"/>
      <c r="G14" s="10">
        <f t="shared" si="0"/>
        <v>125740</v>
      </c>
      <c r="H14" s="16">
        <f t="shared" si="1"/>
        <v>22.13</v>
      </c>
      <c r="I14" s="15">
        <f t="shared" si="2"/>
        <v>7.6999999999999999E-2</v>
      </c>
      <c r="J14" s="15">
        <f>ROUND(G14/134170-1,2)</f>
        <v>-0.06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245</v>
      </c>
      <c r="F15" s="10"/>
      <c r="G15" s="10">
        <f t="shared" si="0"/>
        <v>245</v>
      </c>
      <c r="H15" s="16">
        <f t="shared" si="1"/>
        <v>0.04</v>
      </c>
      <c r="I15" s="15">
        <f t="shared" si="2"/>
        <v>0</v>
      </c>
      <c r="J15" s="15">
        <f>ROUND(G15/224-1,2)</f>
        <v>0.09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300</v>
      </c>
      <c r="F16" s="10"/>
      <c r="G16" s="10">
        <f t="shared" si="0"/>
        <v>300</v>
      </c>
      <c r="H16" s="16">
        <f t="shared" si="1"/>
        <v>0.05</v>
      </c>
      <c r="I16" s="15">
        <f t="shared" si="2"/>
        <v>0</v>
      </c>
      <c r="J16" s="15">
        <f>ROUND(G16/395-1,2)</f>
        <v>-0.24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1870</v>
      </c>
      <c r="F17" s="10"/>
      <c r="G17" s="10">
        <f t="shared" si="0"/>
        <v>1870</v>
      </c>
      <c r="H17" s="16">
        <f t="shared" si="1"/>
        <v>0.33</v>
      </c>
      <c r="I17" s="15">
        <f t="shared" si="2"/>
        <v>1E-3</v>
      </c>
      <c r="J17" s="15">
        <f>ROUND(G17/1720-1,2)</f>
        <v>0.09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1780</v>
      </c>
      <c r="G18" s="10">
        <f t="shared" si="0"/>
        <v>1780</v>
      </c>
      <c r="H18" s="16">
        <f t="shared" si="1"/>
        <v>0.31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67150</v>
      </c>
      <c r="F19" s="10"/>
      <c r="G19" s="10">
        <f t="shared" si="0"/>
        <v>67150</v>
      </c>
      <c r="H19" s="16">
        <f t="shared" si="1"/>
        <v>11.82</v>
      </c>
      <c r="I19" s="15">
        <f t="shared" si="2"/>
        <v>4.1000000000000002E-2</v>
      </c>
      <c r="J19" s="15">
        <f>ROUND(G19/77310-1,2)</f>
        <v>-0.13</v>
      </c>
    </row>
    <row r="20" spans="1:10" x14ac:dyDescent="0.25">
      <c r="A20" s="1" t="s">
        <v>16</v>
      </c>
      <c r="B20" s="1" t="s">
        <v>24</v>
      </c>
      <c r="C20" s="10">
        <v>179210</v>
      </c>
      <c r="D20" s="10"/>
      <c r="E20" s="10"/>
      <c r="F20" s="10"/>
      <c r="G20" s="10">
        <f t="shared" si="0"/>
        <v>179210</v>
      </c>
      <c r="H20" s="16">
        <f t="shared" si="1"/>
        <v>31.54</v>
      </c>
      <c r="I20" s="15">
        <f t="shared" si="2"/>
        <v>0.109</v>
      </c>
      <c r="J20" s="15">
        <f>ROUND(G20/171430-1,2)</f>
        <v>0.05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15280</v>
      </c>
      <c r="F21" s="10"/>
      <c r="G21" s="10">
        <f t="shared" si="0"/>
        <v>15280</v>
      </c>
      <c r="H21" s="16">
        <f t="shared" si="1"/>
        <v>2.69</v>
      </c>
      <c r="I21" s="15">
        <f t="shared" si="2"/>
        <v>8.9999999999999993E-3</v>
      </c>
      <c r="J21" s="15">
        <f>ROUND(G21/13485-1,2)</f>
        <v>0.13</v>
      </c>
    </row>
    <row r="22" spans="1:10" x14ac:dyDescent="0.25">
      <c r="A22" s="1" t="s">
        <v>16</v>
      </c>
      <c r="B22" s="1" t="s">
        <v>26</v>
      </c>
      <c r="C22" s="10">
        <v>184155</v>
      </c>
      <c r="D22" s="10"/>
      <c r="E22" s="10"/>
      <c r="F22" s="10">
        <v>7175</v>
      </c>
      <c r="G22" s="10">
        <f t="shared" si="0"/>
        <v>191330</v>
      </c>
      <c r="H22" s="16">
        <f t="shared" si="1"/>
        <v>33.67</v>
      </c>
      <c r="I22" s="15">
        <f t="shared" si="2"/>
        <v>0.11700000000000001</v>
      </c>
      <c r="J22" s="15">
        <f>ROUND(G22/189400-1,2)</f>
        <v>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1476</v>
      </c>
      <c r="F23" s="10"/>
      <c r="G23" s="10">
        <f t="shared" si="0"/>
        <v>1476</v>
      </c>
      <c r="H23" s="16">
        <f t="shared" si="1"/>
        <v>0.26</v>
      </c>
      <c r="I23" s="15">
        <f t="shared" si="2"/>
        <v>1E-3</v>
      </c>
      <c r="J23" s="15">
        <f>ROUND(G23/1308-1,2)</f>
        <v>0.13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831</v>
      </c>
      <c r="F24" s="10"/>
      <c r="G24" s="10">
        <f t="shared" si="0"/>
        <v>831</v>
      </c>
      <c r="H24" s="16">
        <f t="shared" si="1"/>
        <v>0.15</v>
      </c>
      <c r="I24" s="15">
        <f t="shared" si="2"/>
        <v>1E-3</v>
      </c>
      <c r="J24" s="15">
        <f>ROUND(G24/934-1,2)</f>
        <v>-0.11</v>
      </c>
    </row>
    <row r="25" spans="1:10" x14ac:dyDescent="0.25">
      <c r="A25" s="1" t="s">
        <v>16</v>
      </c>
      <c r="B25" s="1" t="s">
        <v>29</v>
      </c>
      <c r="C25" s="10"/>
      <c r="D25" s="10"/>
      <c r="E25" s="10">
        <v>5050</v>
      </c>
      <c r="F25" s="10"/>
      <c r="G25" s="10">
        <f t="shared" si="0"/>
        <v>5050</v>
      </c>
      <c r="H25" s="16">
        <f t="shared" si="1"/>
        <v>0.89</v>
      </c>
      <c r="I25" s="15">
        <f t="shared" si="2"/>
        <v>3.0000000000000001E-3</v>
      </c>
      <c r="J25" s="15">
        <f>ROUND(G25/8660-1,2)</f>
        <v>-0.42</v>
      </c>
    </row>
    <row r="26" spans="1:10" x14ac:dyDescent="0.25">
      <c r="A26" s="1" t="s">
        <v>16</v>
      </c>
      <c r="B26" s="1" t="s">
        <v>30</v>
      </c>
      <c r="C26" s="10"/>
      <c r="D26" s="10"/>
      <c r="E26" s="10">
        <v>3530</v>
      </c>
      <c r="F26" s="10"/>
      <c r="G26" s="10">
        <f t="shared" si="0"/>
        <v>3530</v>
      </c>
      <c r="H26" s="16">
        <f t="shared" si="1"/>
        <v>0.62</v>
      </c>
      <c r="I26" s="15">
        <f t="shared" si="2"/>
        <v>2E-3</v>
      </c>
      <c r="J26" s="15">
        <f>ROUND(G26/3510-1,2)</f>
        <v>0.01</v>
      </c>
    </row>
    <row r="27" spans="1:10" x14ac:dyDescent="0.25">
      <c r="A27" s="1" t="s">
        <v>16</v>
      </c>
      <c r="B27" s="1" t="s">
        <v>31</v>
      </c>
      <c r="C27" s="10"/>
      <c r="D27" s="10"/>
      <c r="E27" s="10">
        <v>1450</v>
      </c>
      <c r="F27" s="10"/>
      <c r="G27" s="10">
        <f t="shared" si="0"/>
        <v>1450</v>
      </c>
      <c r="H27" s="16">
        <f t="shared" si="1"/>
        <v>0.26</v>
      </c>
      <c r="I27" s="15">
        <f t="shared" si="2"/>
        <v>1E-3</v>
      </c>
      <c r="J27" s="15">
        <f>ROUND(G27/1650-1,2)</f>
        <v>-0.12</v>
      </c>
    </row>
    <row r="28" spans="1:10" x14ac:dyDescent="0.25">
      <c r="A28" s="1" t="s">
        <v>16</v>
      </c>
      <c r="B28" s="1" t="s">
        <v>32</v>
      </c>
      <c r="C28" s="10"/>
      <c r="D28" s="10"/>
      <c r="E28" s="10">
        <v>2445</v>
      </c>
      <c r="F28" s="10"/>
      <c r="G28" s="10">
        <f t="shared" si="0"/>
        <v>2445</v>
      </c>
      <c r="H28" s="16">
        <f t="shared" si="1"/>
        <v>0.43</v>
      </c>
      <c r="I28" s="15">
        <f t="shared" si="2"/>
        <v>1E-3</v>
      </c>
      <c r="J28" s="15">
        <f>ROUND(G28/2780-1,2)</f>
        <v>-0.12</v>
      </c>
    </row>
    <row r="29" spans="1:10" x14ac:dyDescent="0.25">
      <c r="A29" s="1" t="s">
        <v>16</v>
      </c>
      <c r="B29" s="1" t="s">
        <v>33</v>
      </c>
      <c r="C29" s="10"/>
      <c r="D29" s="10">
        <v>106</v>
      </c>
      <c r="E29" s="10">
        <v>93</v>
      </c>
      <c r="F29" s="10"/>
      <c r="G29" s="10">
        <f t="shared" si="0"/>
        <v>199</v>
      </c>
      <c r="H29" s="16">
        <f t="shared" si="1"/>
        <v>0.04</v>
      </c>
      <c r="I29" s="15">
        <f t="shared" si="2"/>
        <v>0</v>
      </c>
      <c r="J29" s="15">
        <f>ROUND(G29/165-1,2)</f>
        <v>0.21</v>
      </c>
    </row>
    <row r="30" spans="1:10" x14ac:dyDescent="0.25">
      <c r="A30" s="1" t="s">
        <v>16</v>
      </c>
      <c r="B30" s="1" t="s">
        <v>34</v>
      </c>
      <c r="C30" s="10"/>
      <c r="D30" s="10"/>
      <c r="E30" s="10">
        <v>2890</v>
      </c>
      <c r="F30" s="10"/>
      <c r="G30" s="10">
        <f t="shared" si="0"/>
        <v>2890</v>
      </c>
      <c r="H30" s="16">
        <f t="shared" si="1"/>
        <v>0.51</v>
      </c>
      <c r="I30" s="15">
        <f t="shared" si="2"/>
        <v>2E-3</v>
      </c>
      <c r="J30" s="15">
        <f>ROUND(G30/3280-1,2)</f>
        <v>-0.12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270</v>
      </c>
      <c r="F31" s="10"/>
      <c r="G31" s="10">
        <f t="shared" si="0"/>
        <v>270</v>
      </c>
      <c r="H31" s="16">
        <f t="shared" si="1"/>
        <v>0.05</v>
      </c>
      <c r="I31" s="15">
        <f t="shared" si="2"/>
        <v>0</v>
      </c>
      <c r="J31" s="15">
        <f>ROUND(G31/320-1,2)</f>
        <v>-0.16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7720</v>
      </c>
      <c r="F32" s="10"/>
      <c r="G32" s="10">
        <f t="shared" si="0"/>
        <v>7720</v>
      </c>
      <c r="H32" s="16">
        <f t="shared" si="1"/>
        <v>1.36</v>
      </c>
      <c r="I32" s="15">
        <f t="shared" si="2"/>
        <v>5.0000000000000001E-3</v>
      </c>
      <c r="J32" s="15">
        <f>ROUND(G32/9780-1,2)</f>
        <v>-0.21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11194</v>
      </c>
      <c r="F33" s="10"/>
      <c r="G33" s="10">
        <f t="shared" si="0"/>
        <v>11194</v>
      </c>
      <c r="H33" s="16">
        <f t="shared" si="1"/>
        <v>1.97</v>
      </c>
      <c r="I33" s="15">
        <f t="shared" si="2"/>
        <v>7.0000000000000001E-3</v>
      </c>
      <c r="J33" s="15">
        <f>ROUND(G33/13939-1,2)</f>
        <v>-0.2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148280</v>
      </c>
      <c r="F34" s="10"/>
      <c r="G34" s="10">
        <f t="shared" si="0"/>
        <v>148280</v>
      </c>
      <c r="H34" s="16">
        <f t="shared" si="1"/>
        <v>26.1</v>
      </c>
      <c r="I34" s="15">
        <f t="shared" si="2"/>
        <v>9.0999999999999998E-2</v>
      </c>
      <c r="J34" s="15">
        <f>ROUND(G34/119970-1,2)</f>
        <v>0.24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9700</v>
      </c>
      <c r="F35" s="10"/>
      <c r="G35" s="10">
        <f t="shared" si="0"/>
        <v>9700</v>
      </c>
      <c r="H35" s="16">
        <f t="shared" si="1"/>
        <v>1.71</v>
      </c>
      <c r="I35" s="15">
        <f t="shared" si="2"/>
        <v>6.0000000000000001E-3</v>
      </c>
      <c r="J35" s="15">
        <f>ROUND(G35/8300-1,2)</f>
        <v>0.17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44970</v>
      </c>
      <c r="F36" s="10"/>
      <c r="G36" s="10">
        <f t="shared" si="0"/>
        <v>44970</v>
      </c>
      <c r="H36" s="16">
        <f t="shared" si="1"/>
        <v>7.91</v>
      </c>
      <c r="I36" s="15">
        <f t="shared" si="2"/>
        <v>2.7E-2</v>
      </c>
      <c r="J36" s="15">
        <f>ROUND(G36/51490-1,2)</f>
        <v>-0.13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119940</v>
      </c>
      <c r="F37" s="10"/>
      <c r="G37" s="10">
        <f t="shared" si="0"/>
        <v>119940</v>
      </c>
      <c r="H37" s="16">
        <f t="shared" si="1"/>
        <v>21.11</v>
      </c>
      <c r="I37" s="15">
        <f t="shared" si="2"/>
        <v>7.2999999999999995E-2</v>
      </c>
      <c r="J37" s="15">
        <f>ROUND(G37/65460-1,2)</f>
        <v>0.83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ROUND(G38/394-1,2)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ROUND(G39/3360-1,2)</f>
        <v>-1</v>
      </c>
    </row>
    <row r="40" spans="1:10" x14ac:dyDescent="0.25">
      <c r="A40" s="1" t="s">
        <v>16</v>
      </c>
      <c r="B40" s="1" t="s">
        <v>262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16</v>
      </c>
      <c r="B41" s="1" t="s">
        <v>129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44</v>
      </c>
      <c r="B42" s="1" t="s">
        <v>45</v>
      </c>
      <c r="C42" s="10">
        <v>424060</v>
      </c>
      <c r="D42" s="10">
        <v>14380</v>
      </c>
      <c r="E42" s="10"/>
      <c r="F42" s="10">
        <v>6840</v>
      </c>
      <c r="G42" s="10">
        <f t="shared" si="0"/>
        <v>445280</v>
      </c>
      <c r="H42" s="16">
        <f t="shared" si="1"/>
        <v>78.37</v>
      </c>
      <c r="I42" s="15">
        <f t="shared" si="2"/>
        <v>0.27200000000000002</v>
      </c>
      <c r="J42" s="15">
        <f>ROUND(G42/430340-1,2)</f>
        <v>0.03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8080</v>
      </c>
      <c r="G43" s="10">
        <f t="shared" si="0"/>
        <v>8080</v>
      </c>
      <c r="H43" s="16">
        <f t="shared" si="1"/>
        <v>1.42</v>
      </c>
      <c r="I43" s="15">
        <f t="shared" si="2"/>
        <v>5.0000000000000001E-3</v>
      </c>
      <c r="J43" s="15">
        <f>ROUND(G43/1420-1,2)</f>
        <v>4.6900000000000004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90710</v>
      </c>
      <c r="F44" s="10"/>
      <c r="G44" s="10">
        <f t="shared" si="0"/>
        <v>90710</v>
      </c>
      <c r="H44" s="16">
        <f t="shared" si="1"/>
        <v>15.96</v>
      </c>
      <c r="I44" s="15">
        <f t="shared" si="2"/>
        <v>5.5E-2</v>
      </c>
      <c r="J44" s="15">
        <f>ROUND(G44/69160-1,2)</f>
        <v>0.31</v>
      </c>
    </row>
    <row r="45" spans="1:10" x14ac:dyDescent="0.25">
      <c r="A45" s="1" t="s">
        <v>48</v>
      </c>
      <c r="B45" s="1" t="s">
        <v>51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86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50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49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23" t="s">
        <v>12</v>
      </c>
      <c r="B49" s="23"/>
      <c r="C49" s="11">
        <f t="shared" ref="C49:H49" si="3">SUM(C8:C48)</f>
        <v>1064155</v>
      </c>
      <c r="D49" s="11">
        <f t="shared" si="3"/>
        <v>14486</v>
      </c>
      <c r="E49" s="11">
        <f t="shared" si="3"/>
        <v>535772</v>
      </c>
      <c r="F49" s="11">
        <f t="shared" si="3"/>
        <v>23875</v>
      </c>
      <c r="G49" s="11">
        <f t="shared" si="3"/>
        <v>1638288</v>
      </c>
      <c r="H49" s="14">
        <f t="shared" si="3"/>
        <v>288.33999999999997</v>
      </c>
      <c r="I49" s="17"/>
      <c r="J49" s="17"/>
    </row>
    <row r="50" spans="1:10" x14ac:dyDescent="0.25">
      <c r="A50" s="23" t="s">
        <v>14</v>
      </c>
      <c r="B50" s="23"/>
      <c r="C50" s="12">
        <f>ROUND(C49/G49,2)</f>
        <v>0.65</v>
      </c>
      <c r="D50" s="12">
        <f>ROUND(D49/G49,2)</f>
        <v>0.01</v>
      </c>
      <c r="E50" s="12">
        <f>ROUND(E49/G49,2)</f>
        <v>0.33</v>
      </c>
      <c r="F50" s="12">
        <f>ROUND(F49/G49,2)</f>
        <v>0.01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3" t="s">
        <v>53</v>
      </c>
      <c r="B55" s="23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2" t="s">
        <v>54</v>
      </c>
      <c r="B56" s="22"/>
      <c r="C56" s="10">
        <v>640095</v>
      </c>
      <c r="D56" s="10">
        <v>106</v>
      </c>
      <c r="E56" s="10">
        <v>445062</v>
      </c>
      <c r="F56" s="10">
        <v>8955</v>
      </c>
      <c r="G56" s="10">
        <f>SUM(C56:F56)</f>
        <v>1094218</v>
      </c>
      <c r="H56" s="16">
        <f>ROUND(G56/5682,2)</f>
        <v>192.58</v>
      </c>
      <c r="I56" s="9"/>
      <c r="J56" s="9"/>
    </row>
    <row r="57" spans="1:10" x14ac:dyDescent="0.25">
      <c r="A57" s="22" t="s">
        <v>55</v>
      </c>
      <c r="B57" s="22"/>
      <c r="C57" s="10">
        <v>424060</v>
      </c>
      <c r="D57" s="10">
        <v>14380</v>
      </c>
      <c r="E57" s="10">
        <v>90710</v>
      </c>
      <c r="F57" s="10">
        <v>14920</v>
      </c>
      <c r="G57" s="10">
        <f>SUM(C57:F57)</f>
        <v>544070</v>
      </c>
      <c r="H57" s="16">
        <f>ROUND(G57/5682,2)</f>
        <v>95.75</v>
      </c>
      <c r="I57" s="9"/>
      <c r="J57" s="9"/>
    </row>
    <row r="58" spans="1:10" x14ac:dyDescent="0.25">
      <c r="A58" s="22" t="s">
        <v>56</v>
      </c>
      <c r="B58" s="22"/>
      <c r="C58" s="10">
        <v>0</v>
      </c>
      <c r="D58" s="10">
        <v>0</v>
      </c>
      <c r="E58" s="10">
        <v>0</v>
      </c>
      <c r="F58" s="10">
        <v>0</v>
      </c>
      <c r="G58" s="10">
        <f>SUM(C58:F58)</f>
        <v>0</v>
      </c>
      <c r="H58" s="16">
        <f>ROUND(G58/5682,2)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57</v>
      </c>
      <c r="B63" s="23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2" t="s">
        <v>58</v>
      </c>
      <c r="B64" s="22"/>
      <c r="C64" s="15">
        <f>ROUND(0.6635, 4)</f>
        <v>0.66349999999999998</v>
      </c>
      <c r="D64" s="15">
        <f>ROUND(0.6585, 4)</f>
        <v>0.65849999999999997</v>
      </c>
      <c r="E64" s="15">
        <f>ROUND(0.777, 4)</f>
        <v>0.77700000000000002</v>
      </c>
      <c r="F64" s="8"/>
      <c r="G64" s="14" t="s">
        <v>62</v>
      </c>
      <c r="H64" s="26" t="s">
        <v>63</v>
      </c>
      <c r="I64" s="24" t="s">
        <v>64</v>
      </c>
      <c r="J64" s="24" t="s">
        <v>65</v>
      </c>
    </row>
    <row r="65" spans="1:10" x14ac:dyDescent="0.25">
      <c r="A65" s="22" t="s">
        <v>66</v>
      </c>
      <c r="B65" s="22"/>
      <c r="C65" s="15">
        <f>ROUND(0.6544, 4)</f>
        <v>0.65439999999999998</v>
      </c>
      <c r="D65" s="15">
        <f>ROUND(0.6486, 4)</f>
        <v>0.64859999999999995</v>
      </c>
      <c r="E65" s="15">
        <f>ROUND(0.7608, 4)</f>
        <v>0.76080000000000003</v>
      </c>
      <c r="F65" s="8"/>
      <c r="G65" s="14" t="s">
        <v>67</v>
      </c>
      <c r="H65" s="27"/>
      <c r="I65" s="25"/>
      <c r="J65" s="25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68</v>
      </c>
      <c r="B69" s="23"/>
      <c r="C69" s="14" t="s">
        <v>2</v>
      </c>
      <c r="D69" s="14" t="s">
        <v>298</v>
      </c>
      <c r="E69" s="14" t="s">
        <v>70</v>
      </c>
      <c r="F69" s="14" t="s">
        <v>71</v>
      </c>
      <c r="G69" s="14" t="s">
        <v>72</v>
      </c>
      <c r="H69" s="13"/>
      <c r="I69" s="17"/>
      <c r="J69" s="17"/>
    </row>
    <row r="70" spans="1:10" x14ac:dyDescent="0.25">
      <c r="A70" s="22" t="s">
        <v>73</v>
      </c>
      <c r="B70" s="22"/>
      <c r="C70" s="16">
        <v>78.37</v>
      </c>
      <c r="D70" s="16">
        <v>95.04</v>
      </c>
      <c r="E70" s="16">
        <v>89.58</v>
      </c>
      <c r="F70" s="16">
        <v>53.73</v>
      </c>
      <c r="G70" s="16">
        <f>12/9*C70</f>
        <v>104.49333333333334</v>
      </c>
      <c r="H70" s="8"/>
      <c r="I70" s="9"/>
      <c r="J70" s="9"/>
    </row>
    <row r="71" spans="1:10" x14ac:dyDescent="0.25">
      <c r="A71" s="22" t="s">
        <v>74</v>
      </c>
      <c r="B71" s="22"/>
      <c r="C71" s="16">
        <v>33.67</v>
      </c>
      <c r="D71" s="16">
        <v>43.75</v>
      </c>
      <c r="E71" s="16">
        <v>60.32</v>
      </c>
      <c r="F71" s="16">
        <v>61.62</v>
      </c>
      <c r="G71" s="16">
        <f>12/9*C71</f>
        <v>44.893333333333331</v>
      </c>
      <c r="H71" s="8"/>
      <c r="I71" s="9"/>
      <c r="J71" s="9"/>
    </row>
    <row r="72" spans="1:10" x14ac:dyDescent="0.25">
      <c r="A72" s="22" t="s">
        <v>75</v>
      </c>
      <c r="B72" s="22"/>
      <c r="C72" s="16">
        <v>192.58</v>
      </c>
      <c r="D72" s="16">
        <v>242.43</v>
      </c>
      <c r="E72" s="16">
        <v>282.8</v>
      </c>
      <c r="F72" s="16">
        <v>273.33</v>
      </c>
      <c r="G72" s="16">
        <f>12/9*C72</f>
        <v>256.77333333333331</v>
      </c>
      <c r="H72" s="8"/>
      <c r="I72" s="9"/>
      <c r="J72" s="9"/>
    </row>
    <row r="73" spans="1:10" x14ac:dyDescent="0.25">
      <c r="A73" s="22" t="s">
        <v>76</v>
      </c>
      <c r="B73" s="22"/>
      <c r="C73" s="16">
        <v>95.75</v>
      </c>
      <c r="D73" s="16">
        <v>111.27</v>
      </c>
      <c r="E73" s="16">
        <v>112.72</v>
      </c>
      <c r="F73" s="16">
        <v>76.52</v>
      </c>
      <c r="G73" s="16">
        <f>12/9*C73</f>
        <v>127.66666666666666</v>
      </c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21" t="s">
        <v>60</v>
      </c>
      <c r="B76" s="28"/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77</v>
      </c>
      <c r="B77" s="1" t="s">
        <v>299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A71:B71"/>
    <mergeCell ref="A72:B72"/>
    <mergeCell ref="A73:B73"/>
    <mergeCell ref="A76:B76"/>
    <mergeCell ref="I64:I65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C7:G7"/>
    <mergeCell ref="A49:B49"/>
    <mergeCell ref="A50:B50"/>
    <mergeCell ref="A55:B55"/>
    <mergeCell ref="A56:B5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5"/>
  <dimension ref="A2:J77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71.140625" bestFit="1" customWidth="1"/>
    <col min="3" max="3" width="14" bestFit="1" customWidth="1"/>
    <col min="4" max="4" width="40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300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6007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289</v>
      </c>
      <c r="G9" s="10">
        <f t="shared" ref="G9:G45" si="0">SUM(C9:F9)</f>
        <v>289</v>
      </c>
      <c r="H9" s="16">
        <f t="shared" ref="H9:H45" si="1">ROUND(G9/6007,2)</f>
        <v>0.05</v>
      </c>
      <c r="I9" s="15">
        <f t="shared" ref="I9:I45" si="2">ROUND(G9/$G$46,3)</f>
        <v>0</v>
      </c>
      <c r="J9" s="15">
        <f>ROUND(G9/185-1,2)</f>
        <v>0.56000000000000005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86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49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129</v>
      </c>
      <c r="F13" s="10"/>
      <c r="G13" s="10">
        <f t="shared" si="0"/>
        <v>129</v>
      </c>
      <c r="H13" s="16">
        <f t="shared" si="1"/>
        <v>0.02</v>
      </c>
      <c r="I13" s="15">
        <f t="shared" si="2"/>
        <v>0</v>
      </c>
      <c r="J13" s="15">
        <f>ROUND(G13/84-1,2)</f>
        <v>0.54</v>
      </c>
    </row>
    <row r="14" spans="1:10" x14ac:dyDescent="0.25">
      <c r="A14" s="1" t="s">
        <v>16</v>
      </c>
      <c r="B14" s="1" t="s">
        <v>19</v>
      </c>
      <c r="C14" s="10">
        <v>184480</v>
      </c>
      <c r="D14" s="10"/>
      <c r="E14" s="10">
        <v>2870</v>
      </c>
      <c r="F14" s="10"/>
      <c r="G14" s="10">
        <f t="shared" si="0"/>
        <v>187350</v>
      </c>
      <c r="H14" s="16">
        <f t="shared" si="1"/>
        <v>31.19</v>
      </c>
      <c r="I14" s="15">
        <f t="shared" si="2"/>
        <v>0.104</v>
      </c>
      <c r="J14" s="15">
        <f>ROUND(G14/186400-1,2)</f>
        <v>0.01</v>
      </c>
    </row>
    <row r="15" spans="1:10" x14ac:dyDescent="0.25">
      <c r="A15" s="1" t="s">
        <v>16</v>
      </c>
      <c r="B15" s="1" t="s">
        <v>20</v>
      </c>
      <c r="C15" s="10">
        <v>164230</v>
      </c>
      <c r="D15" s="10"/>
      <c r="E15" s="10"/>
      <c r="F15" s="10"/>
      <c r="G15" s="10">
        <f t="shared" si="0"/>
        <v>164230</v>
      </c>
      <c r="H15" s="16">
        <f t="shared" si="1"/>
        <v>27.34</v>
      </c>
      <c r="I15" s="15">
        <f t="shared" si="2"/>
        <v>9.0999999999999998E-2</v>
      </c>
      <c r="J15" s="15">
        <f>ROUND(G15/169350-1,2)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289</v>
      </c>
      <c r="F16" s="10"/>
      <c r="G16" s="10">
        <f t="shared" si="0"/>
        <v>289</v>
      </c>
      <c r="H16" s="16">
        <f t="shared" si="1"/>
        <v>0.05</v>
      </c>
      <c r="I16" s="15">
        <f t="shared" si="2"/>
        <v>0</v>
      </c>
      <c r="J16" s="15">
        <f>ROUND(G16/154-1,2)</f>
        <v>0.88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146</v>
      </c>
      <c r="F17" s="10"/>
      <c r="G17" s="10">
        <f t="shared" si="0"/>
        <v>146</v>
      </c>
      <c r="H17" s="16">
        <f t="shared" si="1"/>
        <v>0.02</v>
      </c>
      <c r="I17" s="15">
        <f t="shared" si="2"/>
        <v>0</v>
      </c>
      <c r="J17" s="15">
        <f>ROUND(G17/160-1,2)</f>
        <v>-0.09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2660</v>
      </c>
      <c r="F18" s="10"/>
      <c r="G18" s="10">
        <f t="shared" si="0"/>
        <v>2660</v>
      </c>
      <c r="H18" s="16">
        <f t="shared" si="1"/>
        <v>0.44</v>
      </c>
      <c r="I18" s="15">
        <f t="shared" si="2"/>
        <v>1E-3</v>
      </c>
      <c r="J18" s="15">
        <f>ROUND(G18/1000-1,2)</f>
        <v>1.66</v>
      </c>
    </row>
    <row r="19" spans="1:10" x14ac:dyDescent="0.25">
      <c r="A19" s="1" t="s">
        <v>16</v>
      </c>
      <c r="B19" s="1" t="s">
        <v>301</v>
      </c>
      <c r="C19" s="10"/>
      <c r="D19" s="10"/>
      <c r="E19" s="10">
        <v>7070</v>
      </c>
      <c r="F19" s="10"/>
      <c r="G19" s="10">
        <f t="shared" si="0"/>
        <v>7070</v>
      </c>
      <c r="H19" s="16">
        <f t="shared" si="1"/>
        <v>1.18</v>
      </c>
      <c r="I19" s="15">
        <f t="shared" si="2"/>
        <v>4.0000000000000001E-3</v>
      </c>
      <c r="J19" s="15">
        <f>ROUND(G19/7870-1,2)</f>
        <v>-0.1</v>
      </c>
    </row>
    <row r="20" spans="1:10" x14ac:dyDescent="0.25">
      <c r="A20" s="1" t="s">
        <v>16</v>
      </c>
      <c r="B20" s="1" t="s">
        <v>23</v>
      </c>
      <c r="C20" s="10"/>
      <c r="D20" s="10"/>
      <c r="E20" s="10">
        <v>42300</v>
      </c>
      <c r="F20" s="10"/>
      <c r="G20" s="10">
        <f t="shared" si="0"/>
        <v>42300</v>
      </c>
      <c r="H20" s="16">
        <f t="shared" si="1"/>
        <v>7.04</v>
      </c>
      <c r="I20" s="15">
        <f t="shared" si="2"/>
        <v>2.3E-2</v>
      </c>
      <c r="J20" s="15">
        <f>ROUND(G20/35880-1,2)</f>
        <v>0.18</v>
      </c>
    </row>
    <row r="21" spans="1:10" x14ac:dyDescent="0.25">
      <c r="A21" s="1" t="s">
        <v>16</v>
      </c>
      <c r="B21" s="1" t="s">
        <v>24</v>
      </c>
      <c r="C21" s="10">
        <v>244420</v>
      </c>
      <c r="D21" s="10"/>
      <c r="E21" s="10">
        <v>18400</v>
      </c>
      <c r="F21" s="10"/>
      <c r="G21" s="10">
        <f t="shared" si="0"/>
        <v>262820</v>
      </c>
      <c r="H21" s="16">
        <f t="shared" si="1"/>
        <v>43.75</v>
      </c>
      <c r="I21" s="15">
        <f t="shared" si="2"/>
        <v>0.14599999999999999</v>
      </c>
      <c r="J21" s="15">
        <f>ROUND(G21/270690-1,2)</f>
        <v>-0.03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6810</v>
      </c>
      <c r="F22" s="10"/>
      <c r="G22" s="10">
        <f t="shared" si="0"/>
        <v>6810</v>
      </c>
      <c r="H22" s="16">
        <f t="shared" si="1"/>
        <v>1.1299999999999999</v>
      </c>
      <c r="I22" s="15">
        <f t="shared" si="2"/>
        <v>4.0000000000000001E-3</v>
      </c>
      <c r="J22" s="15">
        <f>ROUND(G22/4960-1,2)</f>
        <v>0.37</v>
      </c>
    </row>
    <row r="23" spans="1:10" x14ac:dyDescent="0.25">
      <c r="A23" s="1" t="s">
        <v>16</v>
      </c>
      <c r="B23" s="1" t="s">
        <v>26</v>
      </c>
      <c r="C23" s="10">
        <v>282770</v>
      </c>
      <c r="D23" s="10"/>
      <c r="E23" s="10"/>
      <c r="F23" s="10">
        <v>1490</v>
      </c>
      <c r="G23" s="10">
        <f t="shared" si="0"/>
        <v>284260</v>
      </c>
      <c r="H23" s="16">
        <f t="shared" si="1"/>
        <v>47.32</v>
      </c>
      <c r="I23" s="15">
        <f t="shared" si="2"/>
        <v>0.158</v>
      </c>
      <c r="J23" s="15">
        <f>ROUND(G23/282080-1,2)</f>
        <v>0.01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548</v>
      </c>
      <c r="F24" s="10"/>
      <c r="G24" s="10">
        <f t="shared" si="0"/>
        <v>548</v>
      </c>
      <c r="H24" s="16">
        <f t="shared" si="1"/>
        <v>0.09</v>
      </c>
      <c r="I24" s="15">
        <f t="shared" si="2"/>
        <v>0</v>
      </c>
      <c r="J24" s="15">
        <f>ROUND(G24/795-1,2)</f>
        <v>-0.31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718</v>
      </c>
      <c r="F25" s="10"/>
      <c r="G25" s="10">
        <f t="shared" si="0"/>
        <v>718</v>
      </c>
      <c r="H25" s="16">
        <f t="shared" si="1"/>
        <v>0.12</v>
      </c>
      <c r="I25" s="15">
        <f t="shared" si="2"/>
        <v>0</v>
      </c>
      <c r="J25" s="15">
        <f>ROUND(G25/473-1,2)</f>
        <v>0.52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2770</v>
      </c>
      <c r="F26" s="10"/>
      <c r="G26" s="10">
        <f t="shared" si="0"/>
        <v>2770</v>
      </c>
      <c r="H26" s="16">
        <f t="shared" si="1"/>
        <v>0.46</v>
      </c>
      <c r="I26" s="15">
        <f t="shared" si="2"/>
        <v>2E-3</v>
      </c>
      <c r="J26" s="15">
        <f>ROUND(G26/6460-1,2)</f>
        <v>-0.56999999999999995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1000</v>
      </c>
      <c r="F27" s="10"/>
      <c r="G27" s="10">
        <f t="shared" si="0"/>
        <v>1000</v>
      </c>
      <c r="H27" s="16">
        <f t="shared" si="1"/>
        <v>0.17</v>
      </c>
      <c r="I27" s="15">
        <f t="shared" si="2"/>
        <v>1E-3</v>
      </c>
      <c r="J27" s="15">
        <f>ROUND(G27/820-1,2)</f>
        <v>0.22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930</v>
      </c>
      <c r="F28" s="10"/>
      <c r="G28" s="10">
        <f t="shared" si="0"/>
        <v>930</v>
      </c>
      <c r="H28" s="16">
        <f t="shared" si="1"/>
        <v>0.15</v>
      </c>
      <c r="I28" s="15">
        <f t="shared" si="2"/>
        <v>1E-3</v>
      </c>
      <c r="J28" s="15">
        <f>ROUND(G28/770-1,2)</f>
        <v>0.21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1920</v>
      </c>
      <c r="F29" s="10"/>
      <c r="G29" s="10">
        <f t="shared" si="0"/>
        <v>1920</v>
      </c>
      <c r="H29" s="16">
        <f t="shared" si="1"/>
        <v>0.32</v>
      </c>
      <c r="I29" s="15">
        <f t="shared" si="2"/>
        <v>1E-3</v>
      </c>
      <c r="J29" s="15">
        <f>ROUND(G29/2285-1,2)</f>
        <v>-0.16</v>
      </c>
    </row>
    <row r="30" spans="1:10" x14ac:dyDescent="0.25">
      <c r="A30" s="1" t="s">
        <v>16</v>
      </c>
      <c r="B30" s="1" t="s">
        <v>33</v>
      </c>
      <c r="C30" s="10"/>
      <c r="D30" s="10">
        <v>268</v>
      </c>
      <c r="E30" s="10">
        <v>75</v>
      </c>
      <c r="F30" s="10"/>
      <c r="G30" s="10">
        <f t="shared" si="0"/>
        <v>343</v>
      </c>
      <c r="H30" s="16">
        <f t="shared" si="1"/>
        <v>0.06</v>
      </c>
      <c r="I30" s="15">
        <f t="shared" si="2"/>
        <v>0</v>
      </c>
      <c r="J30" s="15">
        <f>ROUND(G30/307-1,2)</f>
        <v>0.12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1120</v>
      </c>
      <c r="F31" s="10"/>
      <c r="G31" s="10">
        <f t="shared" si="0"/>
        <v>1120</v>
      </c>
      <c r="H31" s="16">
        <f t="shared" si="1"/>
        <v>0.19</v>
      </c>
      <c r="I31" s="15">
        <f t="shared" si="2"/>
        <v>1E-3</v>
      </c>
      <c r="J31" s="15"/>
    </row>
    <row r="32" spans="1:10" x14ac:dyDescent="0.25">
      <c r="A32" s="1" t="s">
        <v>16</v>
      </c>
      <c r="B32" s="1" t="s">
        <v>43</v>
      </c>
      <c r="C32" s="10"/>
      <c r="D32" s="10"/>
      <c r="E32" s="10">
        <v>4200</v>
      </c>
      <c r="F32" s="10"/>
      <c r="G32" s="10">
        <f t="shared" si="0"/>
        <v>4200</v>
      </c>
      <c r="H32" s="16">
        <f t="shared" si="1"/>
        <v>0.7</v>
      </c>
      <c r="I32" s="15">
        <f t="shared" si="2"/>
        <v>2E-3</v>
      </c>
      <c r="J32" s="15">
        <f>ROUND(G32/6524-1,2)</f>
        <v>-0.36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5200</v>
      </c>
      <c r="F33" s="10"/>
      <c r="G33" s="10">
        <f t="shared" si="0"/>
        <v>5200</v>
      </c>
      <c r="H33" s="16">
        <f t="shared" si="1"/>
        <v>0.87</v>
      </c>
      <c r="I33" s="15">
        <f t="shared" si="2"/>
        <v>3.0000000000000001E-3</v>
      </c>
      <c r="J33" s="15">
        <f>ROUND(G33/5496-1,2)</f>
        <v>-0.05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118400</v>
      </c>
      <c r="F34" s="10"/>
      <c r="G34" s="10">
        <f t="shared" si="0"/>
        <v>118400</v>
      </c>
      <c r="H34" s="16">
        <f t="shared" si="1"/>
        <v>19.71</v>
      </c>
      <c r="I34" s="15">
        <f t="shared" si="2"/>
        <v>6.6000000000000003E-2</v>
      </c>
      <c r="J34" s="15">
        <f>ROUND(G34/121500-1,2)</f>
        <v>-0.03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5830</v>
      </c>
      <c r="F35" s="10"/>
      <c r="G35" s="10">
        <f t="shared" si="0"/>
        <v>5830</v>
      </c>
      <c r="H35" s="16">
        <f t="shared" si="1"/>
        <v>0.97</v>
      </c>
      <c r="I35" s="15">
        <f t="shared" si="2"/>
        <v>3.0000000000000001E-3</v>
      </c>
      <c r="J35" s="15">
        <f>ROUND(G35/14580-1,2)</f>
        <v>-0.6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17620</v>
      </c>
      <c r="F36" s="10"/>
      <c r="G36" s="10">
        <f t="shared" si="0"/>
        <v>17620</v>
      </c>
      <c r="H36" s="16">
        <f t="shared" si="1"/>
        <v>2.93</v>
      </c>
      <c r="I36" s="15">
        <f t="shared" si="2"/>
        <v>0.01</v>
      </c>
      <c r="J36" s="15">
        <f>ROUND(G36/13230-1,2)</f>
        <v>0.33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329100</v>
      </c>
      <c r="F37" s="10"/>
      <c r="G37" s="10">
        <f t="shared" si="0"/>
        <v>329100</v>
      </c>
      <c r="H37" s="16">
        <f t="shared" si="1"/>
        <v>54.79</v>
      </c>
      <c r="I37" s="15">
        <f t="shared" si="2"/>
        <v>0.183</v>
      </c>
      <c r="J37" s="15">
        <f>ROUND(G37/234460-1,2)</f>
        <v>0.4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ROUND(G38/89-1,2)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ROUND(G39/3870-1,2)</f>
        <v>-1</v>
      </c>
    </row>
    <row r="40" spans="1:10" x14ac:dyDescent="0.25">
      <c r="A40" s="1" t="s">
        <v>16</v>
      </c>
      <c r="B40" s="1" t="s">
        <v>35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16</v>
      </c>
      <c r="B41" s="1" t="s">
        <v>96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302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255540</v>
      </c>
      <c r="D43" s="10"/>
      <c r="E43" s="10"/>
      <c r="F43" s="10"/>
      <c r="G43" s="10">
        <f t="shared" si="0"/>
        <v>255540</v>
      </c>
      <c r="H43" s="16">
        <f t="shared" si="1"/>
        <v>42.54</v>
      </c>
      <c r="I43" s="15">
        <f t="shared" si="2"/>
        <v>0.14199999999999999</v>
      </c>
      <c r="J43" s="15">
        <f>ROUND(G43/263490-1,2)</f>
        <v>-0.03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33690</v>
      </c>
      <c r="G44" s="10">
        <f t="shared" si="0"/>
        <v>33690</v>
      </c>
      <c r="H44" s="16">
        <f t="shared" si="1"/>
        <v>5.61</v>
      </c>
      <c r="I44" s="15">
        <f t="shared" si="2"/>
        <v>1.9E-2</v>
      </c>
      <c r="J44" s="15">
        <f>ROUND(G44/28040-1,2)</f>
        <v>0.2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64865</v>
      </c>
      <c r="F45" s="10"/>
      <c r="G45" s="10">
        <f t="shared" si="0"/>
        <v>64865</v>
      </c>
      <c r="H45" s="16">
        <f t="shared" si="1"/>
        <v>10.8</v>
      </c>
      <c r="I45" s="15">
        <f t="shared" si="2"/>
        <v>3.5999999999999997E-2</v>
      </c>
      <c r="J45" s="15">
        <f>ROUND(G45/64840-1,2)</f>
        <v>0</v>
      </c>
    </row>
    <row r="46" spans="1:10" x14ac:dyDescent="0.25">
      <c r="A46" s="23" t="s">
        <v>12</v>
      </c>
      <c r="B46" s="23"/>
      <c r="C46" s="11">
        <f t="shared" ref="C46:H46" si="3">SUM(C8:C45)</f>
        <v>1131440</v>
      </c>
      <c r="D46" s="11">
        <f t="shared" si="3"/>
        <v>268</v>
      </c>
      <c r="E46" s="11">
        <f t="shared" si="3"/>
        <v>634970</v>
      </c>
      <c r="F46" s="11">
        <f t="shared" si="3"/>
        <v>35469</v>
      </c>
      <c r="G46" s="11">
        <f t="shared" si="3"/>
        <v>1802147</v>
      </c>
      <c r="H46" s="14">
        <f t="shared" si="3"/>
        <v>300.01000000000005</v>
      </c>
      <c r="I46" s="17"/>
      <c r="J46" s="17"/>
    </row>
    <row r="47" spans="1:10" x14ac:dyDescent="0.25">
      <c r="A47" s="23" t="s">
        <v>14</v>
      </c>
      <c r="B47" s="23"/>
      <c r="C47" s="12">
        <f>ROUND(C46/G46,2)</f>
        <v>0.63</v>
      </c>
      <c r="D47" s="12">
        <f>ROUND(D46/G46,2)</f>
        <v>0</v>
      </c>
      <c r="E47" s="12">
        <f>ROUND(E46/G46,2)</f>
        <v>0.35</v>
      </c>
      <c r="F47" s="12">
        <f>ROUND(F46/G46,2)</f>
        <v>0.02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53</v>
      </c>
      <c r="B52" s="23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2" t="s">
        <v>54</v>
      </c>
      <c r="B53" s="22"/>
      <c r="C53" s="10">
        <v>875900</v>
      </c>
      <c r="D53" s="10">
        <v>268</v>
      </c>
      <c r="E53" s="10">
        <v>570105</v>
      </c>
      <c r="F53" s="10">
        <v>1490</v>
      </c>
      <c r="G53" s="10">
        <f>SUM(C53:F53)</f>
        <v>1447763</v>
      </c>
      <c r="H53" s="16">
        <f>ROUND(G53/6007,2)</f>
        <v>241.01</v>
      </c>
      <c r="I53" s="9"/>
      <c r="J53" s="9"/>
    </row>
    <row r="54" spans="1:10" x14ac:dyDescent="0.25">
      <c r="A54" s="22" t="s">
        <v>55</v>
      </c>
      <c r="B54" s="22"/>
      <c r="C54" s="10">
        <v>255540</v>
      </c>
      <c r="D54" s="10">
        <v>0</v>
      </c>
      <c r="E54" s="10">
        <v>64865</v>
      </c>
      <c r="F54" s="10">
        <v>33690</v>
      </c>
      <c r="G54" s="10">
        <f>SUM(C54:F54)</f>
        <v>354095</v>
      </c>
      <c r="H54" s="16">
        <f>ROUND(G54/6007,2)</f>
        <v>58.95</v>
      </c>
      <c r="I54" s="9"/>
      <c r="J54" s="9"/>
    </row>
    <row r="55" spans="1:10" x14ac:dyDescent="0.25">
      <c r="A55" s="22" t="s">
        <v>56</v>
      </c>
      <c r="B55" s="22"/>
      <c r="C55" s="10">
        <v>0</v>
      </c>
      <c r="D55" s="10">
        <v>0</v>
      </c>
      <c r="E55" s="10">
        <v>0</v>
      </c>
      <c r="F55" s="10">
        <v>289</v>
      </c>
      <c r="G55" s="10">
        <f>SUM(C55:F55)</f>
        <v>289</v>
      </c>
      <c r="H55" s="16">
        <f>ROUND(G55/6007,2)</f>
        <v>0.05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57</v>
      </c>
      <c r="B60" s="23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2" t="s">
        <v>58</v>
      </c>
      <c r="B61" s="22"/>
      <c r="C61" s="15">
        <f>ROUND(0.8483, 4)</f>
        <v>0.84830000000000005</v>
      </c>
      <c r="D61" s="15">
        <f>ROUND(0.833, 4)</f>
        <v>0.83299999999999996</v>
      </c>
      <c r="E61" s="15">
        <f>ROUND(0.777, 4)</f>
        <v>0.77700000000000002</v>
      </c>
      <c r="F61" s="8"/>
      <c r="G61" s="14" t="s">
        <v>62</v>
      </c>
      <c r="H61" s="26" t="s">
        <v>63</v>
      </c>
      <c r="I61" s="24" t="s">
        <v>64</v>
      </c>
      <c r="J61" s="24" t="s">
        <v>65</v>
      </c>
    </row>
    <row r="62" spans="1:10" x14ac:dyDescent="0.25">
      <c r="A62" s="22" t="s">
        <v>66</v>
      </c>
      <c r="B62" s="22"/>
      <c r="C62" s="15">
        <f>ROUND(0.8346, 4)</f>
        <v>0.83460000000000001</v>
      </c>
      <c r="D62" s="15">
        <f>ROUND(0.8183, 4)</f>
        <v>0.81830000000000003</v>
      </c>
      <c r="E62" s="15">
        <f>ROUND(0.7608, 4)</f>
        <v>0.76080000000000003</v>
      </c>
      <c r="F62" s="8"/>
      <c r="G62" s="14" t="s">
        <v>67</v>
      </c>
      <c r="H62" s="27"/>
      <c r="I62" s="25"/>
      <c r="J62" s="25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68</v>
      </c>
      <c r="B66" s="23"/>
      <c r="C66" s="14" t="s">
        <v>2</v>
      </c>
      <c r="D66" s="14" t="s">
        <v>303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2" t="s">
        <v>73</v>
      </c>
      <c r="B67" s="22"/>
      <c r="C67" s="16">
        <v>42.54</v>
      </c>
      <c r="D67" s="16">
        <v>69.819999999999993</v>
      </c>
      <c r="E67" s="16">
        <v>89.58</v>
      </c>
      <c r="F67" s="16">
        <v>53.73</v>
      </c>
      <c r="G67" s="16">
        <f>12/9*C67</f>
        <v>56.72</v>
      </c>
      <c r="H67" s="8"/>
      <c r="I67" s="9"/>
      <c r="J67" s="9"/>
    </row>
    <row r="68" spans="1:10" x14ac:dyDescent="0.25">
      <c r="A68" s="22" t="s">
        <v>74</v>
      </c>
      <c r="B68" s="22"/>
      <c r="C68" s="16">
        <v>47.32</v>
      </c>
      <c r="D68" s="16">
        <v>59.17</v>
      </c>
      <c r="E68" s="16">
        <v>60.32</v>
      </c>
      <c r="F68" s="16">
        <v>61.62</v>
      </c>
      <c r="G68" s="16">
        <f>12/9*C68</f>
        <v>63.093333333333334</v>
      </c>
      <c r="H68" s="8"/>
      <c r="I68" s="9"/>
      <c r="J68" s="9"/>
    </row>
    <row r="69" spans="1:10" x14ac:dyDescent="0.25">
      <c r="A69" s="22" t="s">
        <v>75</v>
      </c>
      <c r="B69" s="22"/>
      <c r="C69" s="16">
        <v>241.01</v>
      </c>
      <c r="D69" s="16">
        <v>315.16000000000003</v>
      </c>
      <c r="E69" s="16">
        <v>282.8</v>
      </c>
      <c r="F69" s="16">
        <v>273.33</v>
      </c>
      <c r="G69" s="16">
        <f>12/9*C69</f>
        <v>321.34666666666664</v>
      </c>
      <c r="H69" s="8"/>
      <c r="I69" s="9"/>
      <c r="J69" s="9"/>
    </row>
    <row r="70" spans="1:10" x14ac:dyDescent="0.25">
      <c r="A70" s="22" t="s">
        <v>76</v>
      </c>
      <c r="B70" s="22"/>
      <c r="C70" s="1">
        <v>58.95</v>
      </c>
      <c r="D70" s="1">
        <v>94.19</v>
      </c>
      <c r="E70" s="1">
        <v>112.72</v>
      </c>
      <c r="F70" s="1">
        <v>76.52</v>
      </c>
      <c r="G70" s="1">
        <f>12/9*C70</f>
        <v>78.599999999999994</v>
      </c>
    </row>
    <row r="73" spans="1:10" x14ac:dyDescent="0.25">
      <c r="A73" s="21" t="s">
        <v>60</v>
      </c>
      <c r="B73" s="28"/>
    </row>
    <row r="74" spans="1:10" x14ac:dyDescent="0.25">
      <c r="A74" s="3" t="s">
        <v>77</v>
      </c>
      <c r="B74" s="1" t="s">
        <v>304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A68:B68"/>
    <mergeCell ref="A69:B69"/>
    <mergeCell ref="A70:B70"/>
    <mergeCell ref="A73:B73"/>
    <mergeCell ref="I61:I62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C7:G7"/>
    <mergeCell ref="A46:B46"/>
    <mergeCell ref="A47:B47"/>
    <mergeCell ref="A52:B52"/>
    <mergeCell ref="A53:B5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6"/>
  <dimension ref="A2:J73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5.140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1668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</v>
      </c>
      <c r="F9" s="10"/>
      <c r="G9" s="10">
        <f t="shared" ref="G9:G37" si="0">SUM(C9:F9)</f>
        <v>21</v>
      </c>
      <c r="H9" s="16">
        <f t="shared" ref="H9:H37" si="1">ROUND(G9/1668,2)</f>
        <v>0.01</v>
      </c>
      <c r="I9" s="15">
        <f t="shared" ref="I9:I37" si="2">ROUND(G9/$G$38,3)</f>
        <v>0</v>
      </c>
      <c r="J9" s="15">
        <f>ROUND(G9/17-1,2)</f>
        <v>0.24</v>
      </c>
    </row>
    <row r="10" spans="1:10" x14ac:dyDescent="0.25">
      <c r="A10" s="1" t="s">
        <v>16</v>
      </c>
      <c r="B10" s="1" t="s">
        <v>19</v>
      </c>
      <c r="C10" s="10">
        <v>39910</v>
      </c>
      <c r="D10" s="10"/>
      <c r="E10" s="10"/>
      <c r="F10" s="10">
        <v>180</v>
      </c>
      <c r="G10" s="10">
        <f t="shared" si="0"/>
        <v>40090</v>
      </c>
      <c r="H10" s="16">
        <f t="shared" si="1"/>
        <v>24.03</v>
      </c>
      <c r="I10" s="15">
        <f t="shared" si="2"/>
        <v>0.108</v>
      </c>
      <c r="J10" s="15">
        <f>ROUND(G10/39200-1,2)</f>
        <v>0.02</v>
      </c>
    </row>
    <row r="11" spans="1:10" x14ac:dyDescent="0.25">
      <c r="A11" s="1" t="s">
        <v>16</v>
      </c>
      <c r="B11" s="1" t="s">
        <v>20</v>
      </c>
      <c r="C11" s="10">
        <v>66570</v>
      </c>
      <c r="D11" s="10"/>
      <c r="E11" s="10"/>
      <c r="F11" s="10">
        <v>480</v>
      </c>
      <c r="G11" s="10">
        <f t="shared" si="0"/>
        <v>67050</v>
      </c>
      <c r="H11" s="16">
        <f t="shared" si="1"/>
        <v>40.200000000000003</v>
      </c>
      <c r="I11" s="15">
        <f t="shared" si="2"/>
        <v>0.18</v>
      </c>
      <c r="J11" s="15">
        <f>ROUND(G11/60970-1,2)</f>
        <v>0.1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58</v>
      </c>
      <c r="F12" s="10"/>
      <c r="G12" s="10">
        <f t="shared" si="0"/>
        <v>58</v>
      </c>
      <c r="H12" s="16">
        <f t="shared" si="1"/>
        <v>0.03</v>
      </c>
      <c r="I12" s="15">
        <f t="shared" si="2"/>
        <v>0</v>
      </c>
      <c r="J12" s="15">
        <f>ROUND(G12/43-1,2)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65</v>
      </c>
      <c r="F13" s="10"/>
      <c r="G13" s="10">
        <f t="shared" si="0"/>
        <v>65</v>
      </c>
      <c r="H13" s="16">
        <f t="shared" si="1"/>
        <v>0.04</v>
      </c>
      <c r="I13" s="15">
        <f t="shared" si="2"/>
        <v>0</v>
      </c>
      <c r="J13" s="15">
        <f>ROUND(G13/90-1,2)</f>
        <v>-0.28000000000000003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12600</v>
      </c>
      <c r="F14" s="10"/>
      <c r="G14" s="10">
        <f t="shared" si="0"/>
        <v>12600</v>
      </c>
      <c r="H14" s="16">
        <f t="shared" si="1"/>
        <v>7.55</v>
      </c>
      <c r="I14" s="15">
        <f t="shared" si="2"/>
        <v>3.4000000000000002E-2</v>
      </c>
      <c r="J14" s="15">
        <f>ROUND(G14/8820-1,2)</f>
        <v>0.43</v>
      </c>
    </row>
    <row r="15" spans="1:10" x14ac:dyDescent="0.25">
      <c r="A15" s="1" t="s">
        <v>16</v>
      </c>
      <c r="B15" s="1" t="s">
        <v>24</v>
      </c>
      <c r="C15" s="10">
        <v>47480</v>
      </c>
      <c r="D15" s="10"/>
      <c r="E15" s="10"/>
      <c r="F15" s="10">
        <v>60</v>
      </c>
      <c r="G15" s="10">
        <f t="shared" si="0"/>
        <v>47540</v>
      </c>
      <c r="H15" s="16">
        <f t="shared" si="1"/>
        <v>28.5</v>
      </c>
      <c r="I15" s="15">
        <f t="shared" si="2"/>
        <v>0.128</v>
      </c>
      <c r="J15" s="15">
        <f>ROUND(G15/50550-1,2)</f>
        <v>-0.06</v>
      </c>
    </row>
    <row r="16" spans="1:10" x14ac:dyDescent="0.25">
      <c r="A16" s="1" t="s">
        <v>16</v>
      </c>
      <c r="B16" s="1" t="s">
        <v>26</v>
      </c>
      <c r="C16" s="10">
        <v>80250</v>
      </c>
      <c r="D16" s="10"/>
      <c r="E16" s="10"/>
      <c r="F16" s="10">
        <v>470</v>
      </c>
      <c r="G16" s="10">
        <f t="shared" si="0"/>
        <v>80720</v>
      </c>
      <c r="H16" s="16">
        <f t="shared" si="1"/>
        <v>48.39</v>
      </c>
      <c r="I16" s="15">
        <f t="shared" si="2"/>
        <v>0.217</v>
      </c>
      <c r="J16" s="15">
        <f>ROUND(G16/76670-1,2)</f>
        <v>0.05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115</v>
      </c>
      <c r="F17" s="10"/>
      <c r="G17" s="10">
        <f t="shared" si="0"/>
        <v>115</v>
      </c>
      <c r="H17" s="16">
        <f t="shared" si="1"/>
        <v>7.0000000000000007E-2</v>
      </c>
      <c r="I17" s="15">
        <f t="shared" si="2"/>
        <v>0</v>
      </c>
      <c r="J17" s="15">
        <f>ROUND(G17/173-1,2)</f>
        <v>-0.34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150</v>
      </c>
      <c r="F18" s="10"/>
      <c r="G18" s="10">
        <f t="shared" si="0"/>
        <v>150</v>
      </c>
      <c r="H18" s="16">
        <f t="shared" si="1"/>
        <v>0.09</v>
      </c>
      <c r="I18" s="15">
        <f t="shared" si="2"/>
        <v>0</v>
      </c>
      <c r="J18" s="15">
        <f>ROUND(G18/115-1,2)</f>
        <v>0.3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940</v>
      </c>
      <c r="F19" s="10"/>
      <c r="G19" s="10">
        <f t="shared" si="0"/>
        <v>940</v>
      </c>
      <c r="H19" s="16">
        <f t="shared" si="1"/>
        <v>0.56000000000000005</v>
      </c>
      <c r="I19" s="15">
        <f t="shared" si="2"/>
        <v>3.0000000000000001E-3</v>
      </c>
      <c r="J19" s="15">
        <f>ROUND(G19/1660-1,2)</f>
        <v>-0.43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400</v>
      </c>
      <c r="F20" s="10"/>
      <c r="G20" s="10">
        <f t="shared" si="0"/>
        <v>400</v>
      </c>
      <c r="H20" s="16">
        <f t="shared" si="1"/>
        <v>0.24</v>
      </c>
      <c r="I20" s="15">
        <f t="shared" si="2"/>
        <v>1E-3</v>
      </c>
      <c r="J20" s="15">
        <f>ROUND(G20/300-1,2)</f>
        <v>0.33</v>
      </c>
    </row>
    <row r="21" spans="1:10" x14ac:dyDescent="0.25">
      <c r="A21" s="1" t="s">
        <v>16</v>
      </c>
      <c r="B21" s="1" t="s">
        <v>32</v>
      </c>
      <c r="C21" s="10"/>
      <c r="D21" s="10"/>
      <c r="E21" s="10">
        <v>170</v>
      </c>
      <c r="F21" s="10"/>
      <c r="G21" s="10">
        <f t="shared" si="0"/>
        <v>170</v>
      </c>
      <c r="H21" s="16">
        <f t="shared" si="1"/>
        <v>0.1</v>
      </c>
      <c r="I21" s="15">
        <f t="shared" si="2"/>
        <v>0</v>
      </c>
      <c r="J21" s="15">
        <f>ROUND(G21/670-1,2)</f>
        <v>-0.75</v>
      </c>
    </row>
    <row r="22" spans="1:10" x14ac:dyDescent="0.25">
      <c r="A22" s="1" t="s">
        <v>16</v>
      </c>
      <c r="B22" s="1" t="s">
        <v>33</v>
      </c>
      <c r="C22" s="10"/>
      <c r="D22" s="10">
        <v>154</v>
      </c>
      <c r="E22" s="10">
        <v>13</v>
      </c>
      <c r="F22" s="10"/>
      <c r="G22" s="10">
        <f t="shared" si="0"/>
        <v>167</v>
      </c>
      <c r="H22" s="16">
        <f t="shared" si="1"/>
        <v>0.1</v>
      </c>
      <c r="I22" s="15">
        <f t="shared" si="2"/>
        <v>0</v>
      </c>
      <c r="J22" s="15">
        <f>ROUND(G22/213-1,2)</f>
        <v>-0.22</v>
      </c>
    </row>
    <row r="23" spans="1:10" x14ac:dyDescent="0.25">
      <c r="A23" s="1" t="s">
        <v>16</v>
      </c>
      <c r="B23" s="1" t="s">
        <v>35</v>
      </c>
      <c r="C23" s="10"/>
      <c r="D23" s="10">
        <v>50</v>
      </c>
      <c r="E23" s="10"/>
      <c r="F23" s="10"/>
      <c r="G23" s="10">
        <f t="shared" si="0"/>
        <v>50</v>
      </c>
      <c r="H23" s="16">
        <f t="shared" si="1"/>
        <v>0.03</v>
      </c>
      <c r="I23" s="15">
        <f t="shared" si="2"/>
        <v>0</v>
      </c>
      <c r="J23" s="15">
        <f>ROUND(G23/155-1,2)</f>
        <v>-0.68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1370</v>
      </c>
      <c r="F24" s="10"/>
      <c r="G24" s="10">
        <f t="shared" si="0"/>
        <v>1370</v>
      </c>
      <c r="H24" s="16">
        <f t="shared" si="1"/>
        <v>0.82</v>
      </c>
      <c r="I24" s="15">
        <f t="shared" si="2"/>
        <v>4.0000000000000001E-3</v>
      </c>
      <c r="J24" s="15">
        <f>ROUND(G24/700-1,2)</f>
        <v>0.96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17940</v>
      </c>
      <c r="F25" s="10"/>
      <c r="G25" s="10">
        <f t="shared" si="0"/>
        <v>17940</v>
      </c>
      <c r="H25" s="16">
        <f t="shared" si="1"/>
        <v>10.76</v>
      </c>
      <c r="I25" s="15">
        <f t="shared" si="2"/>
        <v>4.8000000000000001E-2</v>
      </c>
      <c r="J25" s="15">
        <f>ROUND(G25/20460-1,2)</f>
        <v>-0.12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6130</v>
      </c>
      <c r="F26" s="10"/>
      <c r="G26" s="10">
        <f t="shared" si="0"/>
        <v>6130</v>
      </c>
      <c r="H26" s="16">
        <f t="shared" si="1"/>
        <v>3.68</v>
      </c>
      <c r="I26" s="15">
        <f t="shared" si="2"/>
        <v>1.6E-2</v>
      </c>
      <c r="J26" s="15">
        <f>ROUND(G26/2690-1,2)</f>
        <v>1.28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10700</v>
      </c>
      <c r="F27" s="10"/>
      <c r="G27" s="10">
        <f t="shared" si="0"/>
        <v>10700</v>
      </c>
      <c r="H27" s="16">
        <f t="shared" si="1"/>
        <v>6.41</v>
      </c>
      <c r="I27" s="15">
        <f t="shared" si="2"/>
        <v>2.9000000000000001E-2</v>
      </c>
      <c r="J27" s="15">
        <f>ROUND(G27/10620-1,2)</f>
        <v>0.01</v>
      </c>
    </row>
    <row r="28" spans="1:10" x14ac:dyDescent="0.25">
      <c r="A28" s="1" t="s">
        <v>16</v>
      </c>
      <c r="B28" s="1" t="s">
        <v>25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ROUND(G28/2930-1,2)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ROUND(G30/700-1,2)</f>
        <v>-1</v>
      </c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ROUND(G31/120-1,2)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ROUND(G32/131-1,2)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ROUND(G33/1150-1,2)</f>
        <v>-1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ROUND(G34/550-1,2)</f>
        <v>-1</v>
      </c>
    </row>
    <row r="35" spans="1:10" x14ac:dyDescent="0.25">
      <c r="A35" s="1" t="s">
        <v>44</v>
      </c>
      <c r="B35" s="1" t="s">
        <v>45</v>
      </c>
      <c r="C35" s="10">
        <v>61860</v>
      </c>
      <c r="D35" s="10"/>
      <c r="E35" s="10"/>
      <c r="F35" s="10"/>
      <c r="G35" s="10">
        <f t="shared" si="0"/>
        <v>61860</v>
      </c>
      <c r="H35" s="16">
        <f t="shared" si="1"/>
        <v>37.090000000000003</v>
      </c>
      <c r="I35" s="15">
        <f t="shared" si="2"/>
        <v>0.16600000000000001</v>
      </c>
      <c r="J35" s="15">
        <f>ROUND(G35/58430-1,2)</f>
        <v>0.06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24350</v>
      </c>
      <c r="F36" s="10"/>
      <c r="G36" s="10">
        <f t="shared" si="0"/>
        <v>24350</v>
      </c>
      <c r="H36" s="16">
        <f t="shared" si="1"/>
        <v>14.6</v>
      </c>
      <c r="I36" s="15">
        <f t="shared" si="2"/>
        <v>6.5000000000000002E-2</v>
      </c>
      <c r="J36" s="15">
        <f>ROUND(G36/22500-1,2)</f>
        <v>0.08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296070</v>
      </c>
      <c r="D38" s="11">
        <f t="shared" si="3"/>
        <v>204</v>
      </c>
      <c r="E38" s="11">
        <f t="shared" si="3"/>
        <v>75022</v>
      </c>
      <c r="F38" s="11">
        <f t="shared" si="3"/>
        <v>1190</v>
      </c>
      <c r="G38" s="11">
        <f t="shared" si="3"/>
        <v>372486</v>
      </c>
      <c r="H38" s="14">
        <f t="shared" si="3"/>
        <v>223.29999999999998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0.79</v>
      </c>
      <c r="D39" s="12">
        <f>ROUND(D38/G38,2)</f>
        <v>0</v>
      </c>
      <c r="E39" s="12">
        <f>ROUND(E38/G38,2)</f>
        <v>0.2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234210</v>
      </c>
      <c r="D45" s="10">
        <v>204</v>
      </c>
      <c r="E45" s="10">
        <v>50672</v>
      </c>
      <c r="F45" s="10">
        <v>1190</v>
      </c>
      <c r="G45" s="10">
        <f>SUM(C45:F45)</f>
        <v>286276</v>
      </c>
      <c r="H45" s="16">
        <f>ROUND(G45/1668,2)</f>
        <v>171.63</v>
      </c>
      <c r="I45" s="9"/>
      <c r="J45" s="9"/>
    </row>
    <row r="46" spans="1:10" x14ac:dyDescent="0.25">
      <c r="A46" s="22" t="s">
        <v>55</v>
      </c>
      <c r="B46" s="22"/>
      <c r="C46" s="10">
        <v>61860</v>
      </c>
      <c r="D46" s="10">
        <v>0</v>
      </c>
      <c r="E46" s="10">
        <v>24350</v>
      </c>
      <c r="F46" s="10">
        <v>0</v>
      </c>
      <c r="G46" s="10">
        <f>SUM(C46:F46)</f>
        <v>86210</v>
      </c>
      <c r="H46" s="16">
        <f>ROUND(G46/1668,2)</f>
        <v>51.68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ROUND(G47/1668,2)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ROUND(0.8271, 4)</f>
        <v>0.82709999999999995</v>
      </c>
      <c r="D53" s="15">
        <f>ROUND(0.8246, 4)</f>
        <v>0.8246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ROUND(0.8128, 4)</f>
        <v>0.81279999999999997</v>
      </c>
      <c r="D54" s="15">
        <f>ROUND(0.8105, 4)</f>
        <v>0.8105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306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37.090000000000003</v>
      </c>
      <c r="D59" s="16">
        <v>40.32</v>
      </c>
      <c r="E59" s="16">
        <v>89.58</v>
      </c>
      <c r="F59" s="16">
        <v>53.73</v>
      </c>
      <c r="G59" s="16">
        <f>12/9*C59</f>
        <v>49.453333333333333</v>
      </c>
      <c r="H59" s="8"/>
      <c r="I59" s="9"/>
      <c r="J59" s="9"/>
    </row>
    <row r="60" spans="1:10" x14ac:dyDescent="0.25">
      <c r="A60" s="22" t="s">
        <v>74</v>
      </c>
      <c r="B60" s="22"/>
      <c r="C60" s="16">
        <v>48.39</v>
      </c>
      <c r="D60" s="16">
        <v>59.83</v>
      </c>
      <c r="E60" s="16">
        <v>60.32</v>
      </c>
      <c r="F60" s="16">
        <v>61.62</v>
      </c>
      <c r="G60" s="16">
        <f>12/9*C60</f>
        <v>64.52</v>
      </c>
      <c r="H60" s="8"/>
      <c r="I60" s="9"/>
      <c r="J60" s="9"/>
    </row>
    <row r="61" spans="1:10" x14ac:dyDescent="0.25">
      <c r="A61" s="22" t="s">
        <v>75</v>
      </c>
      <c r="B61" s="22"/>
      <c r="C61" s="16">
        <v>171.63</v>
      </c>
      <c r="D61" s="16">
        <v>221.05</v>
      </c>
      <c r="E61" s="16">
        <v>282.8</v>
      </c>
      <c r="F61" s="16">
        <v>273.33</v>
      </c>
      <c r="G61" s="16">
        <f>12/9*C61</f>
        <v>228.83999999999997</v>
      </c>
      <c r="H61" s="8"/>
      <c r="I61" s="9"/>
      <c r="J61" s="9"/>
    </row>
    <row r="62" spans="1:10" x14ac:dyDescent="0.25">
      <c r="A62" s="22" t="s">
        <v>76</v>
      </c>
      <c r="B62" s="22"/>
      <c r="C62" s="16">
        <v>51.68</v>
      </c>
      <c r="D62" s="16">
        <v>58.7</v>
      </c>
      <c r="E62" s="16">
        <v>112.72</v>
      </c>
      <c r="F62" s="16">
        <v>76.52</v>
      </c>
      <c r="G62" s="16">
        <f>12/9*C62</f>
        <v>68.906666666666666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307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7"/>
  <dimension ref="A2:J73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1311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5340</v>
      </c>
      <c r="D9" s="10">
        <v>60860</v>
      </c>
      <c r="E9" s="10"/>
      <c r="F9" s="10"/>
      <c r="G9" s="10">
        <f t="shared" ref="G9:G41" si="0">SUM(C9:F9)</f>
        <v>66200</v>
      </c>
      <c r="H9" s="16">
        <f t="shared" ref="H9:H41" si="1">ROUND(G9/1311,2)</f>
        <v>50.5</v>
      </c>
      <c r="I9" s="15">
        <f t="shared" ref="I9:I41" si="2">ROUND(G9/$G$42,3)</f>
        <v>7.5999999999999998E-2</v>
      </c>
      <c r="J9" s="15">
        <f>ROUND(G9/80290-1,2)</f>
        <v>-0.18</v>
      </c>
    </row>
    <row r="10" spans="1:10" x14ac:dyDescent="0.25">
      <c r="A10" s="1" t="s">
        <v>16</v>
      </c>
      <c r="B10" s="1" t="s">
        <v>20</v>
      </c>
      <c r="C10" s="10"/>
      <c r="D10" s="10">
        <v>120460</v>
      </c>
      <c r="E10" s="10"/>
      <c r="F10" s="10"/>
      <c r="G10" s="10">
        <f t="shared" si="0"/>
        <v>120460</v>
      </c>
      <c r="H10" s="16">
        <f t="shared" si="1"/>
        <v>91.88</v>
      </c>
      <c r="I10" s="15">
        <f t="shared" si="2"/>
        <v>0.13900000000000001</v>
      </c>
      <c r="J10" s="15">
        <f>ROUND(G10/110320-1,2)</f>
        <v>0.09</v>
      </c>
    </row>
    <row r="11" spans="1:10" x14ac:dyDescent="0.25">
      <c r="A11" s="1" t="s">
        <v>16</v>
      </c>
      <c r="B11" s="1" t="s">
        <v>22</v>
      </c>
      <c r="C11" s="10"/>
      <c r="D11" s="10"/>
      <c r="E11" s="10">
        <v>1420</v>
      </c>
      <c r="F11" s="10"/>
      <c r="G11" s="10">
        <f t="shared" si="0"/>
        <v>1420</v>
      </c>
      <c r="H11" s="16">
        <f t="shared" si="1"/>
        <v>1.08</v>
      </c>
      <c r="I11" s="15">
        <f t="shared" si="2"/>
        <v>2E-3</v>
      </c>
      <c r="J11" s="15">
        <f>ROUND(G11/2700-1,2)</f>
        <v>-0.47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32460</v>
      </c>
      <c r="F12" s="10"/>
      <c r="G12" s="10">
        <f t="shared" si="0"/>
        <v>32460</v>
      </c>
      <c r="H12" s="16">
        <f t="shared" si="1"/>
        <v>24.76</v>
      </c>
      <c r="I12" s="15">
        <f t="shared" si="2"/>
        <v>3.6999999999999998E-2</v>
      </c>
      <c r="J12" s="15">
        <f>ROUND(G12/8770-1,2)</f>
        <v>2.7</v>
      </c>
    </row>
    <row r="13" spans="1:10" x14ac:dyDescent="0.25">
      <c r="A13" s="1" t="s">
        <v>16</v>
      </c>
      <c r="B13" s="1" t="s">
        <v>24</v>
      </c>
      <c r="C13" s="10"/>
      <c r="D13" s="10">
        <v>110500</v>
      </c>
      <c r="E13" s="10">
        <v>8510</v>
      </c>
      <c r="F13" s="10"/>
      <c r="G13" s="10">
        <f t="shared" si="0"/>
        <v>119010</v>
      </c>
      <c r="H13" s="16">
        <f t="shared" si="1"/>
        <v>90.78</v>
      </c>
      <c r="I13" s="15">
        <f t="shared" si="2"/>
        <v>0.13700000000000001</v>
      </c>
      <c r="J13" s="15">
        <f>ROUND(G13/110860-1,2)</f>
        <v>7.0000000000000007E-2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2400</v>
      </c>
      <c r="F14" s="10"/>
      <c r="G14" s="10">
        <f t="shared" si="0"/>
        <v>2400</v>
      </c>
      <c r="H14" s="16">
        <f t="shared" si="1"/>
        <v>1.83</v>
      </c>
      <c r="I14" s="15">
        <f t="shared" si="2"/>
        <v>3.0000000000000001E-3</v>
      </c>
      <c r="J14" s="15"/>
    </row>
    <row r="15" spans="1:10" x14ac:dyDescent="0.25">
      <c r="A15" s="1" t="s">
        <v>16</v>
      </c>
      <c r="B15" s="1" t="s">
        <v>26</v>
      </c>
      <c r="C15" s="10"/>
      <c r="D15" s="10">
        <v>102220</v>
      </c>
      <c r="E15" s="10"/>
      <c r="F15" s="10"/>
      <c r="G15" s="10">
        <f t="shared" si="0"/>
        <v>102220</v>
      </c>
      <c r="H15" s="16">
        <f t="shared" si="1"/>
        <v>77.97</v>
      </c>
      <c r="I15" s="15">
        <f t="shared" si="2"/>
        <v>0.11799999999999999</v>
      </c>
      <c r="J15" s="15">
        <f>ROUND(G15/104300-1,2)</f>
        <v>-0.02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1890</v>
      </c>
      <c r="F16" s="10"/>
      <c r="G16" s="10">
        <f t="shared" si="0"/>
        <v>1890</v>
      </c>
      <c r="H16" s="16">
        <f t="shared" si="1"/>
        <v>1.44</v>
      </c>
      <c r="I16" s="15">
        <f t="shared" si="2"/>
        <v>2E-3</v>
      </c>
      <c r="J16" s="15"/>
    </row>
    <row r="17" spans="1:10" x14ac:dyDescent="0.25">
      <c r="A17" s="1" t="s">
        <v>16</v>
      </c>
      <c r="B17" s="1" t="s">
        <v>32</v>
      </c>
      <c r="C17" s="10"/>
      <c r="D17" s="10"/>
      <c r="E17" s="10">
        <v>680</v>
      </c>
      <c r="F17" s="10"/>
      <c r="G17" s="10">
        <f t="shared" si="0"/>
        <v>680</v>
      </c>
      <c r="H17" s="16">
        <f t="shared" si="1"/>
        <v>0.52</v>
      </c>
      <c r="I17" s="15">
        <f t="shared" si="2"/>
        <v>1E-3</v>
      </c>
      <c r="J17" s="15"/>
    </row>
    <row r="18" spans="1:10" x14ac:dyDescent="0.25">
      <c r="A18" s="1" t="s">
        <v>16</v>
      </c>
      <c r="B18" s="1" t="s">
        <v>33</v>
      </c>
      <c r="C18" s="10"/>
      <c r="D18" s="10"/>
      <c r="E18" s="10">
        <v>75</v>
      </c>
      <c r="F18" s="10"/>
      <c r="G18" s="10">
        <f t="shared" si="0"/>
        <v>75</v>
      </c>
      <c r="H18" s="16">
        <f t="shared" si="1"/>
        <v>0.06</v>
      </c>
      <c r="I18" s="15">
        <f t="shared" si="2"/>
        <v>0</v>
      </c>
      <c r="J18" s="15">
        <f>ROUND(G18/255-1,2)</f>
        <v>-0.71</v>
      </c>
    </row>
    <row r="19" spans="1:10" x14ac:dyDescent="0.25">
      <c r="A19" s="1" t="s">
        <v>16</v>
      </c>
      <c r="B19" s="1" t="s">
        <v>34</v>
      </c>
      <c r="C19" s="10"/>
      <c r="D19" s="10"/>
      <c r="E19" s="10">
        <v>300</v>
      </c>
      <c r="F19" s="10"/>
      <c r="G19" s="10">
        <f t="shared" si="0"/>
        <v>300</v>
      </c>
      <c r="H19" s="16">
        <f t="shared" si="1"/>
        <v>0.23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37</v>
      </c>
      <c r="C20" s="10"/>
      <c r="D20" s="10"/>
      <c r="E20" s="10">
        <v>2430</v>
      </c>
      <c r="F20" s="10"/>
      <c r="G20" s="10">
        <f t="shared" si="0"/>
        <v>2430</v>
      </c>
      <c r="H20" s="16">
        <f t="shared" si="1"/>
        <v>1.85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43</v>
      </c>
      <c r="C21" s="10"/>
      <c r="D21" s="10"/>
      <c r="E21" s="10">
        <v>2309</v>
      </c>
      <c r="F21" s="10"/>
      <c r="G21" s="10">
        <f t="shared" si="0"/>
        <v>2309</v>
      </c>
      <c r="H21" s="16">
        <f t="shared" si="1"/>
        <v>1.76</v>
      </c>
      <c r="I21" s="15">
        <f t="shared" si="2"/>
        <v>3.0000000000000001E-3</v>
      </c>
      <c r="J21" s="15">
        <f>ROUND(G21/1092-1,2)</f>
        <v>1.1100000000000001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70965</v>
      </c>
      <c r="F22" s="10"/>
      <c r="G22" s="10">
        <f t="shared" si="0"/>
        <v>70965</v>
      </c>
      <c r="H22" s="16">
        <f t="shared" si="1"/>
        <v>54.13</v>
      </c>
      <c r="I22" s="15">
        <f t="shared" si="2"/>
        <v>8.2000000000000003E-2</v>
      </c>
      <c r="J22" s="15">
        <f>ROUND(G22/31980-1,2)</f>
        <v>1.22</v>
      </c>
    </row>
    <row r="23" spans="1:10" x14ac:dyDescent="0.25">
      <c r="A23" s="1" t="s">
        <v>16</v>
      </c>
      <c r="B23" s="1" t="s">
        <v>39</v>
      </c>
      <c r="C23" s="10"/>
      <c r="D23" s="10"/>
      <c r="E23" s="10">
        <v>2760</v>
      </c>
      <c r="F23" s="10"/>
      <c r="G23" s="10">
        <f t="shared" si="0"/>
        <v>2760</v>
      </c>
      <c r="H23" s="16">
        <f t="shared" si="1"/>
        <v>2.11</v>
      </c>
      <c r="I23" s="15">
        <f t="shared" si="2"/>
        <v>3.0000000000000001E-3</v>
      </c>
      <c r="J23" s="15">
        <f>ROUND(G23/4120-1,2)</f>
        <v>-0.33</v>
      </c>
    </row>
    <row r="24" spans="1:10" x14ac:dyDescent="0.25">
      <c r="A24" s="1" t="s">
        <v>16</v>
      </c>
      <c r="B24" s="1" t="s">
        <v>40</v>
      </c>
      <c r="C24" s="10"/>
      <c r="D24" s="10"/>
      <c r="E24" s="10">
        <v>13740</v>
      </c>
      <c r="F24" s="10"/>
      <c r="G24" s="10">
        <f t="shared" si="0"/>
        <v>13740</v>
      </c>
      <c r="H24" s="16">
        <f t="shared" si="1"/>
        <v>10.48</v>
      </c>
      <c r="I24" s="15">
        <f t="shared" si="2"/>
        <v>1.6E-2</v>
      </c>
      <c r="J24" s="15">
        <f>ROUND(G24/3570-1,2)</f>
        <v>2.85</v>
      </c>
    </row>
    <row r="25" spans="1:10" x14ac:dyDescent="0.25">
      <c r="A25" s="1" t="s">
        <v>16</v>
      </c>
      <c r="B25" s="1" t="s">
        <v>41</v>
      </c>
      <c r="C25" s="10"/>
      <c r="D25" s="10"/>
      <c r="E25" s="10">
        <v>15180</v>
      </c>
      <c r="F25" s="10"/>
      <c r="G25" s="10">
        <f t="shared" si="0"/>
        <v>15180</v>
      </c>
      <c r="H25" s="16">
        <f t="shared" si="1"/>
        <v>11.58</v>
      </c>
      <c r="I25" s="15">
        <f t="shared" si="2"/>
        <v>1.7000000000000001E-2</v>
      </c>
      <c r="J25" s="15">
        <f>ROUND(G25/1170-1,2)</f>
        <v>11.97</v>
      </c>
    </row>
    <row r="26" spans="1:10" x14ac:dyDescent="0.25">
      <c r="A26" s="1" t="s">
        <v>16</v>
      </c>
      <c r="B26" s="1" t="s">
        <v>18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ROUND(G26/3160-1,2)</f>
        <v>-1</v>
      </c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ROUND(G27/1450-1,2)</f>
        <v>-1</v>
      </c>
    </row>
    <row r="28" spans="1:10" x14ac:dyDescent="0.25">
      <c r="A28" s="1" t="s">
        <v>16</v>
      </c>
      <c r="B28" s="1" t="s">
        <v>30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ROUND(G28/90-1,2)</f>
        <v>-1</v>
      </c>
    </row>
    <row r="29" spans="1:10" x14ac:dyDescent="0.25">
      <c r="A29" s="1" t="s">
        <v>16</v>
      </c>
      <c r="B29" s="1" t="s">
        <v>35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ROUND(G29/491-1,2)</f>
        <v>-1</v>
      </c>
    </row>
    <row r="30" spans="1:10" x14ac:dyDescent="0.25">
      <c r="A30" s="1" t="s">
        <v>16</v>
      </c>
      <c r="B30" s="1" t="s">
        <v>96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ROUND(G30/77-1,2)</f>
        <v>-1</v>
      </c>
    </row>
    <row r="31" spans="1:10" x14ac:dyDescent="0.25">
      <c r="A31" s="1" t="s">
        <v>16</v>
      </c>
      <c r="B31" s="1" t="s">
        <v>98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ROUND(G31/127-1,2)</f>
        <v>-1</v>
      </c>
    </row>
    <row r="32" spans="1:10" x14ac:dyDescent="0.25">
      <c r="A32" s="1" t="s">
        <v>16</v>
      </c>
      <c r="B32" s="1" t="s">
        <v>116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ROUND(G32/60140-1,2)</f>
        <v>-1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21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/>
      <c r="D36" s="10">
        <v>292550</v>
      </c>
      <c r="E36" s="10"/>
      <c r="F36" s="10"/>
      <c r="G36" s="10">
        <f t="shared" si="0"/>
        <v>292550</v>
      </c>
      <c r="H36" s="16">
        <f t="shared" si="1"/>
        <v>223.15</v>
      </c>
      <c r="I36" s="15">
        <f t="shared" si="2"/>
        <v>0.33700000000000002</v>
      </c>
      <c r="J36" s="15">
        <f>ROUND(G36/286870-1,2)</f>
        <v>0.02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22290</v>
      </c>
      <c r="F37" s="10"/>
      <c r="G37" s="10">
        <f t="shared" si="0"/>
        <v>22290</v>
      </c>
      <c r="H37" s="16">
        <f t="shared" si="1"/>
        <v>17</v>
      </c>
      <c r="I37" s="15">
        <f t="shared" si="2"/>
        <v>2.5999999999999999E-2</v>
      </c>
      <c r="J37" s="15">
        <f>ROUND(G37/19620-1,2)</f>
        <v>0.14000000000000001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ROUND(G40/196-1,2)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3" t="s">
        <v>12</v>
      </c>
      <c r="B42" s="23"/>
      <c r="C42" s="11">
        <f t="shared" ref="C42:H42" si="3">SUM(C8:C41)</f>
        <v>5340</v>
      </c>
      <c r="D42" s="11">
        <f t="shared" si="3"/>
        <v>686590</v>
      </c>
      <c r="E42" s="11">
        <f t="shared" si="3"/>
        <v>177409</v>
      </c>
      <c r="F42" s="11">
        <f t="shared" si="3"/>
        <v>0</v>
      </c>
      <c r="G42" s="11">
        <f t="shared" si="3"/>
        <v>869339</v>
      </c>
      <c r="H42" s="14">
        <f t="shared" si="3"/>
        <v>663.11</v>
      </c>
      <c r="I42" s="17"/>
      <c r="J42" s="17"/>
    </row>
    <row r="43" spans="1:10" x14ac:dyDescent="0.25">
      <c r="A43" s="23" t="s">
        <v>14</v>
      </c>
      <c r="B43" s="23"/>
      <c r="C43" s="12">
        <f>ROUND(C42/G42,2)</f>
        <v>0.01</v>
      </c>
      <c r="D43" s="12">
        <f>ROUND(D42/G42,2)</f>
        <v>0.79</v>
      </c>
      <c r="E43" s="12">
        <f>ROUND(E42/G42,2)</f>
        <v>0.2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53</v>
      </c>
      <c r="B48" s="23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5340</v>
      </c>
      <c r="D49" s="10">
        <v>394040</v>
      </c>
      <c r="E49" s="10">
        <v>155119</v>
      </c>
      <c r="F49" s="10">
        <v>0</v>
      </c>
      <c r="G49" s="10">
        <f>SUM(C49:F49)</f>
        <v>554499</v>
      </c>
      <c r="H49" s="16">
        <f>ROUND(G49/1311,2)</f>
        <v>422.96</v>
      </c>
      <c r="I49" s="9"/>
      <c r="J49" s="9"/>
    </row>
    <row r="50" spans="1:10" x14ac:dyDescent="0.25">
      <c r="A50" s="22" t="s">
        <v>55</v>
      </c>
      <c r="B50" s="22"/>
      <c r="C50" s="10">
        <v>0</v>
      </c>
      <c r="D50" s="10">
        <v>292550</v>
      </c>
      <c r="E50" s="10">
        <v>22290</v>
      </c>
      <c r="F50" s="10">
        <v>0</v>
      </c>
      <c r="G50" s="10">
        <f>SUM(C50:F50)</f>
        <v>314840</v>
      </c>
      <c r="H50" s="16">
        <f>ROUND(G50/1311,2)</f>
        <v>240.15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ROUND(G51/1311,2)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57</v>
      </c>
      <c r="B56" s="23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ROUND(0.647, 4)</f>
        <v>0.64700000000000002</v>
      </c>
      <c r="D57" s="15">
        <f>ROUND(0.6459, 4)</f>
        <v>0.64590000000000003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4" t="s">
        <v>64</v>
      </c>
      <c r="J57" s="24" t="s">
        <v>65</v>
      </c>
    </row>
    <row r="58" spans="1:10" x14ac:dyDescent="0.25">
      <c r="A58" s="22" t="s">
        <v>66</v>
      </c>
      <c r="B58" s="22"/>
      <c r="C58" s="15">
        <f>ROUND(0.6175, 4)</f>
        <v>0.61750000000000005</v>
      </c>
      <c r="D58" s="15">
        <f>ROUND(0.6087, 4)</f>
        <v>0.60870000000000002</v>
      </c>
      <c r="E58" s="15">
        <f>ROUND(0.7608, 4)</f>
        <v>0.76080000000000003</v>
      </c>
      <c r="F58" s="8"/>
      <c r="G58" s="14" t="s">
        <v>67</v>
      </c>
      <c r="H58" s="27"/>
      <c r="I58" s="25"/>
      <c r="J58" s="25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68</v>
      </c>
      <c r="B62" s="23"/>
      <c r="C62" s="14" t="s">
        <v>2</v>
      </c>
      <c r="D62" s="14" t="s">
        <v>309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223.15</v>
      </c>
      <c r="D63" s="16">
        <v>246.05</v>
      </c>
      <c r="E63" s="16">
        <v>89.58</v>
      </c>
      <c r="F63" s="16">
        <v>53.73</v>
      </c>
      <c r="G63" s="16">
        <f>12/9*C63</f>
        <v>297.5333333333333</v>
      </c>
      <c r="H63" s="8"/>
      <c r="I63" s="9"/>
      <c r="J63" s="9"/>
    </row>
    <row r="64" spans="1:10" x14ac:dyDescent="0.25">
      <c r="A64" s="22" t="s">
        <v>74</v>
      </c>
      <c r="B64" s="22"/>
      <c r="C64" s="16">
        <v>77.97</v>
      </c>
      <c r="D64" s="16">
        <v>91.96</v>
      </c>
      <c r="E64" s="16">
        <v>60.32</v>
      </c>
      <c r="F64" s="16">
        <v>61.62</v>
      </c>
      <c r="G64" s="16">
        <f>12/9*C64</f>
        <v>103.96</v>
      </c>
      <c r="H64" s="8"/>
      <c r="I64" s="9"/>
      <c r="J64" s="9"/>
    </row>
    <row r="65" spans="1:10" x14ac:dyDescent="0.25">
      <c r="A65" s="22" t="s">
        <v>75</v>
      </c>
      <c r="B65" s="22"/>
      <c r="C65" s="16">
        <v>422.96</v>
      </c>
      <c r="D65" s="16">
        <v>487.8</v>
      </c>
      <c r="E65" s="16">
        <v>282.8</v>
      </c>
      <c r="F65" s="16">
        <v>273.33</v>
      </c>
      <c r="G65" s="16">
        <f>12/9*C65</f>
        <v>563.9466666666666</v>
      </c>
      <c r="H65" s="8"/>
      <c r="I65" s="9"/>
      <c r="J65" s="9"/>
    </row>
    <row r="66" spans="1:10" x14ac:dyDescent="0.25">
      <c r="A66" s="22" t="s">
        <v>76</v>
      </c>
      <c r="B66" s="22"/>
      <c r="C66" s="16">
        <v>240.15</v>
      </c>
      <c r="D66" s="16">
        <v>272.98</v>
      </c>
      <c r="E66" s="16">
        <v>112.72</v>
      </c>
      <c r="F66" s="16">
        <v>76.52</v>
      </c>
      <c r="G66" s="16">
        <f>12/9*C66</f>
        <v>320.2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8"/>
    </row>
    <row r="70" spans="1:10" x14ac:dyDescent="0.25">
      <c r="A70" s="3" t="s">
        <v>77</v>
      </c>
      <c r="B70" s="1" t="s">
        <v>310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8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392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20190</v>
      </c>
      <c r="D9" s="10"/>
      <c r="E9" s="10"/>
      <c r="F9" s="10"/>
      <c r="G9" s="10">
        <f t="shared" ref="G9:G36" si="0">SUM(C9:F9)</f>
        <v>20190</v>
      </c>
      <c r="H9" s="16">
        <f t="shared" ref="H9:H36" si="1">ROUND(G9/392,2)</f>
        <v>51.51</v>
      </c>
      <c r="I9" s="15">
        <f t="shared" ref="I9:I36" si="2">ROUND(G9/$G$37,3)</f>
        <v>0.1</v>
      </c>
      <c r="J9" s="15">
        <f>ROUND(G9/21580-1,2)</f>
        <v>-0.06</v>
      </c>
    </row>
    <row r="10" spans="1:10" x14ac:dyDescent="0.25">
      <c r="A10" s="1" t="s">
        <v>16</v>
      </c>
      <c r="B10" s="1" t="s">
        <v>20</v>
      </c>
      <c r="C10" s="10">
        <v>40455</v>
      </c>
      <c r="D10" s="10"/>
      <c r="E10" s="10"/>
      <c r="F10" s="10"/>
      <c r="G10" s="10">
        <f t="shared" si="0"/>
        <v>40455</v>
      </c>
      <c r="H10" s="16">
        <f t="shared" si="1"/>
        <v>103.2</v>
      </c>
      <c r="I10" s="15">
        <f t="shared" si="2"/>
        <v>0.2</v>
      </c>
      <c r="J10" s="15">
        <f>ROUND(G10/38620-1,2)</f>
        <v>0.05</v>
      </c>
    </row>
    <row r="11" spans="1:10" x14ac:dyDescent="0.25">
      <c r="A11" s="1" t="s">
        <v>16</v>
      </c>
      <c r="B11" s="1" t="s">
        <v>23</v>
      </c>
      <c r="C11" s="10"/>
      <c r="D11" s="10"/>
      <c r="E11" s="10">
        <v>7660</v>
      </c>
      <c r="F11" s="10"/>
      <c r="G11" s="10">
        <f t="shared" si="0"/>
        <v>7660</v>
      </c>
      <c r="H11" s="16">
        <f t="shared" si="1"/>
        <v>19.54</v>
      </c>
      <c r="I11" s="15">
        <f t="shared" si="2"/>
        <v>3.7999999999999999E-2</v>
      </c>
      <c r="J11" s="15">
        <f>ROUND(G11/18420-1,2)</f>
        <v>-0.57999999999999996</v>
      </c>
    </row>
    <row r="12" spans="1:10" x14ac:dyDescent="0.25">
      <c r="A12" s="1" t="s">
        <v>16</v>
      </c>
      <c r="B12" s="1" t="s">
        <v>24</v>
      </c>
      <c r="C12" s="10">
        <v>32100</v>
      </c>
      <c r="D12" s="10"/>
      <c r="E12" s="10"/>
      <c r="F12" s="10">
        <v>100</v>
      </c>
      <c r="G12" s="10">
        <f t="shared" si="0"/>
        <v>32200</v>
      </c>
      <c r="H12" s="16">
        <f t="shared" si="1"/>
        <v>82.14</v>
      </c>
      <c r="I12" s="15">
        <f t="shared" si="2"/>
        <v>0.159</v>
      </c>
      <c r="J12" s="15">
        <f>ROUND(G12/28900-1,2)</f>
        <v>0.11</v>
      </c>
    </row>
    <row r="13" spans="1:10" x14ac:dyDescent="0.25">
      <c r="A13" s="1" t="s">
        <v>16</v>
      </c>
      <c r="B13" s="1" t="s">
        <v>26</v>
      </c>
      <c r="C13" s="10">
        <v>26840</v>
      </c>
      <c r="D13" s="10"/>
      <c r="E13" s="10"/>
      <c r="F13" s="10">
        <v>1100</v>
      </c>
      <c r="G13" s="10">
        <f t="shared" si="0"/>
        <v>27940</v>
      </c>
      <c r="H13" s="16">
        <f t="shared" si="1"/>
        <v>71.28</v>
      </c>
      <c r="I13" s="15">
        <f t="shared" si="2"/>
        <v>0.13800000000000001</v>
      </c>
      <c r="J13" s="15">
        <f>ROUND(G13/33580-1,2)</f>
        <v>-0.17</v>
      </c>
    </row>
    <row r="14" spans="1:10" x14ac:dyDescent="0.25">
      <c r="A14" s="1" t="s">
        <v>16</v>
      </c>
      <c r="B14" s="1" t="s">
        <v>33</v>
      </c>
      <c r="C14" s="10"/>
      <c r="D14" s="10"/>
      <c r="E14" s="10">
        <v>48</v>
      </c>
      <c r="F14" s="10"/>
      <c r="G14" s="10">
        <f t="shared" si="0"/>
        <v>48</v>
      </c>
      <c r="H14" s="16">
        <f t="shared" si="1"/>
        <v>0.12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38</v>
      </c>
      <c r="C15" s="10"/>
      <c r="D15" s="10"/>
      <c r="E15" s="10">
        <v>9960</v>
      </c>
      <c r="F15" s="10"/>
      <c r="G15" s="10">
        <f t="shared" si="0"/>
        <v>9960</v>
      </c>
      <c r="H15" s="16">
        <f t="shared" si="1"/>
        <v>25.41</v>
      </c>
      <c r="I15" s="15">
        <f t="shared" si="2"/>
        <v>4.9000000000000002E-2</v>
      </c>
      <c r="J15" s="15">
        <f>ROUND(G15/12195-1,2)</f>
        <v>-0.18</v>
      </c>
    </row>
    <row r="16" spans="1:10" x14ac:dyDescent="0.25">
      <c r="A16" s="1" t="s">
        <v>16</v>
      </c>
      <c r="B16" s="1" t="s">
        <v>40</v>
      </c>
      <c r="C16" s="10"/>
      <c r="D16" s="10"/>
      <c r="E16" s="10">
        <v>3530</v>
      </c>
      <c r="F16" s="10"/>
      <c r="G16" s="10">
        <f t="shared" si="0"/>
        <v>3530</v>
      </c>
      <c r="H16" s="16">
        <f t="shared" si="1"/>
        <v>9.01</v>
      </c>
      <c r="I16" s="15">
        <f t="shared" si="2"/>
        <v>1.7000000000000001E-2</v>
      </c>
      <c r="J16" s="15">
        <f>ROUND(G16/4830-1,2)</f>
        <v>-0.27</v>
      </c>
    </row>
    <row r="17" spans="1:10" x14ac:dyDescent="0.25">
      <c r="A17" s="1" t="s">
        <v>16</v>
      </c>
      <c r="B17" s="1" t="s">
        <v>42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29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>
        <f>ROUND(G18/1460-1,2)</f>
        <v>-1</v>
      </c>
    </row>
    <row r="19" spans="1:10" x14ac:dyDescent="0.25">
      <c r="A19" s="1" t="s">
        <v>16</v>
      </c>
      <c r="B19" s="1" t="s">
        <v>37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>
        <f>ROUND(G19/1720-1,2)</f>
        <v>-1</v>
      </c>
    </row>
    <row r="20" spans="1:10" x14ac:dyDescent="0.25">
      <c r="A20" s="1" t="s">
        <v>16</v>
      </c>
      <c r="B20" s="1" t="s">
        <v>43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>
        <f>ROUND(G20/1840-1,2)</f>
        <v>-1</v>
      </c>
    </row>
    <row r="21" spans="1:10" x14ac:dyDescent="0.25">
      <c r="A21" s="1" t="s">
        <v>16</v>
      </c>
      <c r="B21" s="1" t="s">
        <v>30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>
        <f>ROUND(G21/200-1,2)</f>
        <v>-1</v>
      </c>
    </row>
    <row r="22" spans="1:10" x14ac:dyDescent="0.25">
      <c r="A22" s="1" t="s">
        <v>16</v>
      </c>
      <c r="B22" s="1" t="s">
        <v>41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>
        <f>ROUND(G22/1460-1,2)</f>
        <v>-1</v>
      </c>
    </row>
    <row r="23" spans="1:10" x14ac:dyDescent="0.25">
      <c r="A23" s="1" t="s">
        <v>16</v>
      </c>
      <c r="B23" s="1" t="s">
        <v>98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ROUND(G23/100-1,2)</f>
        <v>-1</v>
      </c>
    </row>
    <row r="24" spans="1:10" x14ac:dyDescent="0.25">
      <c r="A24" s="1" t="s">
        <v>16</v>
      </c>
      <c r="B24" s="1" t="s">
        <v>36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>
        <f>ROUND(G24/710-1,2)</f>
        <v>-1</v>
      </c>
    </row>
    <row r="25" spans="1:10" x14ac:dyDescent="0.25">
      <c r="A25" s="1" t="s">
        <v>16</v>
      </c>
      <c r="B25" s="1" t="s">
        <v>25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ROUND(G25/1390-1,2)</f>
        <v>-1</v>
      </c>
    </row>
    <row r="26" spans="1:10" x14ac:dyDescent="0.25">
      <c r="A26" s="1" t="s">
        <v>16</v>
      </c>
      <c r="B26" s="1" t="s">
        <v>21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32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120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22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52180</v>
      </c>
      <c r="D33" s="10"/>
      <c r="E33" s="10"/>
      <c r="F33" s="10">
        <v>80</v>
      </c>
      <c r="G33" s="10">
        <f t="shared" si="0"/>
        <v>52260</v>
      </c>
      <c r="H33" s="16">
        <f t="shared" si="1"/>
        <v>133.32</v>
      </c>
      <c r="I33" s="15">
        <f t="shared" si="2"/>
        <v>0.25800000000000001</v>
      </c>
      <c r="J33" s="15">
        <f>ROUND(G33/61860-1,2)</f>
        <v>-0.16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8230</v>
      </c>
      <c r="F34" s="10"/>
      <c r="G34" s="10">
        <f t="shared" si="0"/>
        <v>8230</v>
      </c>
      <c r="H34" s="16">
        <f t="shared" si="1"/>
        <v>20.99</v>
      </c>
      <c r="I34" s="15">
        <f t="shared" si="2"/>
        <v>4.1000000000000002E-2</v>
      </c>
      <c r="J34" s="15">
        <f>ROUND(G34/8930-1,2)</f>
        <v>-0.08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ROUND(G36/4-1,2)</f>
        <v>-1</v>
      </c>
    </row>
    <row r="37" spans="1:10" x14ac:dyDescent="0.25">
      <c r="A37" s="23" t="s">
        <v>12</v>
      </c>
      <c r="B37" s="23"/>
      <c r="C37" s="11">
        <f t="shared" ref="C37:H37" si="3">SUM(C8:C36)</f>
        <v>171765</v>
      </c>
      <c r="D37" s="11">
        <f t="shared" si="3"/>
        <v>0</v>
      </c>
      <c r="E37" s="11">
        <f t="shared" si="3"/>
        <v>29428</v>
      </c>
      <c r="F37" s="11">
        <f t="shared" si="3"/>
        <v>1280</v>
      </c>
      <c r="G37" s="11">
        <f t="shared" si="3"/>
        <v>202473</v>
      </c>
      <c r="H37" s="14">
        <f t="shared" si="3"/>
        <v>516.52</v>
      </c>
      <c r="I37" s="17"/>
      <c r="J37" s="17"/>
    </row>
    <row r="38" spans="1:10" x14ac:dyDescent="0.25">
      <c r="A38" s="23" t="s">
        <v>14</v>
      </c>
      <c r="B38" s="23"/>
      <c r="C38" s="12">
        <f>ROUND(C37/G37,2)</f>
        <v>0.85</v>
      </c>
      <c r="D38" s="12">
        <f>ROUND(D37/G37,2)</f>
        <v>0</v>
      </c>
      <c r="E38" s="12">
        <f>ROUND(E37/G37,2)</f>
        <v>0.15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3" t="s">
        <v>53</v>
      </c>
      <c r="B43" s="23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119585</v>
      </c>
      <c r="D44" s="10">
        <v>0</v>
      </c>
      <c r="E44" s="10">
        <v>21198</v>
      </c>
      <c r="F44" s="10">
        <v>1200</v>
      </c>
      <c r="G44" s="10">
        <f>SUM(C44:F44)</f>
        <v>141983</v>
      </c>
      <c r="H44" s="16">
        <f>ROUND(G44/392,2)</f>
        <v>362.2</v>
      </c>
      <c r="I44" s="9"/>
      <c r="J44" s="9"/>
    </row>
    <row r="45" spans="1:10" x14ac:dyDescent="0.25">
      <c r="A45" s="22" t="s">
        <v>55</v>
      </c>
      <c r="B45" s="22"/>
      <c r="C45" s="10">
        <v>52180</v>
      </c>
      <c r="D45" s="10">
        <v>0</v>
      </c>
      <c r="E45" s="10">
        <v>8230</v>
      </c>
      <c r="F45" s="10">
        <v>80</v>
      </c>
      <c r="G45" s="10">
        <f>SUM(C45:F45)</f>
        <v>60490</v>
      </c>
      <c r="H45" s="16">
        <f>ROUND(G45/392,2)</f>
        <v>154.31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ROUND(G46/392,2)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57</v>
      </c>
      <c r="B51" s="23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ROUND(0.7272, 4)</f>
        <v>0.72719999999999996</v>
      </c>
      <c r="D52" s="15">
        <f>ROUND(0.7232, 4)</f>
        <v>0.72319999999999995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4" t="s">
        <v>64</v>
      </c>
      <c r="J52" s="24" t="s">
        <v>65</v>
      </c>
    </row>
    <row r="53" spans="1:10" x14ac:dyDescent="0.25">
      <c r="A53" s="22" t="s">
        <v>66</v>
      </c>
      <c r="B53" s="22"/>
      <c r="C53" s="15">
        <f>ROUND(0.6887, 4)</f>
        <v>0.68869999999999998</v>
      </c>
      <c r="D53" s="15">
        <f>ROUND(0.6889, 4)</f>
        <v>0.68889999999999996</v>
      </c>
      <c r="E53" s="15">
        <f>ROUND(0.7608, 4)</f>
        <v>0.76080000000000003</v>
      </c>
      <c r="F53" s="8"/>
      <c r="G53" s="14" t="s">
        <v>67</v>
      </c>
      <c r="H53" s="27"/>
      <c r="I53" s="25"/>
      <c r="J53" s="25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68</v>
      </c>
      <c r="B57" s="23"/>
      <c r="C57" s="14" t="s">
        <v>2</v>
      </c>
      <c r="D57" s="14" t="s">
        <v>312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133.32</v>
      </c>
      <c r="D58" s="16">
        <v>180.7</v>
      </c>
      <c r="E58" s="16">
        <v>89.58</v>
      </c>
      <c r="F58" s="16">
        <v>53.73</v>
      </c>
      <c r="G58" s="16">
        <f>12/9*C58</f>
        <v>177.76</v>
      </c>
      <c r="H58" s="8"/>
      <c r="I58" s="9"/>
      <c r="J58" s="9"/>
    </row>
    <row r="59" spans="1:10" x14ac:dyDescent="0.25">
      <c r="A59" s="22" t="s">
        <v>74</v>
      </c>
      <c r="B59" s="22"/>
      <c r="C59" s="16">
        <v>71.28</v>
      </c>
      <c r="D59" s="16">
        <v>94.83</v>
      </c>
      <c r="E59" s="16">
        <v>60.32</v>
      </c>
      <c r="F59" s="16">
        <v>61.62</v>
      </c>
      <c r="G59" s="16">
        <f>12/9*C59</f>
        <v>95.039999999999992</v>
      </c>
      <c r="H59" s="8"/>
      <c r="I59" s="9"/>
      <c r="J59" s="9"/>
    </row>
    <row r="60" spans="1:10" x14ac:dyDescent="0.25">
      <c r="A60" s="22" t="s">
        <v>75</v>
      </c>
      <c r="B60" s="22"/>
      <c r="C60" s="16">
        <v>362.2</v>
      </c>
      <c r="D60" s="16">
        <v>482.16</v>
      </c>
      <c r="E60" s="16">
        <v>282.8</v>
      </c>
      <c r="F60" s="16">
        <v>273.33</v>
      </c>
      <c r="G60" s="16">
        <f>12/9*C60</f>
        <v>482.93333333333328</v>
      </c>
      <c r="H60" s="8"/>
      <c r="I60" s="9"/>
      <c r="J60" s="9"/>
    </row>
    <row r="61" spans="1:10" x14ac:dyDescent="0.25">
      <c r="A61" s="22" t="s">
        <v>76</v>
      </c>
      <c r="B61" s="22"/>
      <c r="C61" s="16">
        <v>154.31</v>
      </c>
      <c r="D61" s="16">
        <v>237.89</v>
      </c>
      <c r="E61" s="16">
        <v>112.72</v>
      </c>
      <c r="F61" s="16">
        <v>76.52</v>
      </c>
      <c r="G61" s="16">
        <f>12/9*C61</f>
        <v>205.74666666666667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8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313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9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3688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20</v>
      </c>
      <c r="F9" s="10"/>
      <c r="G9" s="10">
        <f t="shared" ref="G9:G44" si="0">SUM(C9:F9)</f>
        <v>20</v>
      </c>
      <c r="H9" s="16">
        <f t="shared" ref="H9:H44" si="1">ROUND(G9/3688,2)</f>
        <v>0.01</v>
      </c>
      <c r="I9" s="15">
        <f t="shared" ref="I9:I44" si="2">ROUND(G9/$G$45,3)</f>
        <v>0</v>
      </c>
      <c r="J9" s="15">
        <f>ROUND(G9/30-1,2)</f>
        <v>-0.33</v>
      </c>
    </row>
    <row r="10" spans="1:10" x14ac:dyDescent="0.25">
      <c r="A10" s="1" t="s">
        <v>16</v>
      </c>
      <c r="B10" s="1" t="s">
        <v>19</v>
      </c>
      <c r="C10" s="10">
        <v>103840</v>
      </c>
      <c r="D10" s="10"/>
      <c r="E10" s="10">
        <v>2640</v>
      </c>
      <c r="F10" s="10">
        <v>540</v>
      </c>
      <c r="G10" s="10">
        <f t="shared" si="0"/>
        <v>107020</v>
      </c>
      <c r="H10" s="16">
        <f t="shared" si="1"/>
        <v>29.02</v>
      </c>
      <c r="I10" s="15">
        <f t="shared" si="2"/>
        <v>0.121</v>
      </c>
      <c r="J10" s="15">
        <f>ROUND(G10/92670-1,2)</f>
        <v>0.15</v>
      </c>
    </row>
    <row r="11" spans="1:10" x14ac:dyDescent="0.25">
      <c r="A11" s="1" t="s">
        <v>16</v>
      </c>
      <c r="B11" s="1" t="s">
        <v>20</v>
      </c>
      <c r="C11" s="10">
        <v>107890</v>
      </c>
      <c r="D11" s="10"/>
      <c r="E11" s="10"/>
      <c r="F11" s="10"/>
      <c r="G11" s="10">
        <f t="shared" si="0"/>
        <v>107890</v>
      </c>
      <c r="H11" s="16">
        <f t="shared" si="1"/>
        <v>29.25</v>
      </c>
      <c r="I11" s="15">
        <f t="shared" si="2"/>
        <v>0.122</v>
      </c>
      <c r="J11" s="15">
        <f>ROUND(G11/109770-1,2)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26</v>
      </c>
      <c r="F12" s="10"/>
      <c r="G12" s="10">
        <f t="shared" si="0"/>
        <v>26</v>
      </c>
      <c r="H12" s="16">
        <f t="shared" si="1"/>
        <v>0.01</v>
      </c>
      <c r="I12" s="15">
        <f t="shared" si="2"/>
        <v>0</v>
      </c>
      <c r="J12" s="15">
        <f>ROUND(G12/48-1,2)</f>
        <v>-0.46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116</v>
      </c>
      <c r="F13" s="10"/>
      <c r="G13" s="10">
        <f t="shared" si="0"/>
        <v>116</v>
      </c>
      <c r="H13" s="16">
        <f t="shared" si="1"/>
        <v>0.03</v>
      </c>
      <c r="I13" s="15">
        <f t="shared" si="2"/>
        <v>0</v>
      </c>
      <c r="J13" s="15">
        <f>ROUND(G13/65-1,2)</f>
        <v>0.78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37960</v>
      </c>
      <c r="F14" s="10"/>
      <c r="G14" s="10">
        <f t="shared" si="0"/>
        <v>37960</v>
      </c>
      <c r="H14" s="16">
        <f t="shared" si="1"/>
        <v>10.29</v>
      </c>
      <c r="I14" s="15">
        <f t="shared" si="2"/>
        <v>4.2999999999999997E-2</v>
      </c>
      <c r="J14" s="15">
        <f>ROUND(G14/35480-1,2)</f>
        <v>7.0000000000000007E-2</v>
      </c>
    </row>
    <row r="15" spans="1:10" x14ac:dyDescent="0.25">
      <c r="A15" s="1" t="s">
        <v>16</v>
      </c>
      <c r="B15" s="1" t="s">
        <v>24</v>
      </c>
      <c r="C15" s="10">
        <v>122220</v>
      </c>
      <c r="D15" s="10"/>
      <c r="E15" s="10">
        <v>8900</v>
      </c>
      <c r="F15" s="10"/>
      <c r="G15" s="10">
        <f t="shared" si="0"/>
        <v>131120</v>
      </c>
      <c r="H15" s="16">
        <f t="shared" si="1"/>
        <v>35.549999999999997</v>
      </c>
      <c r="I15" s="15">
        <f t="shared" si="2"/>
        <v>0.14899999999999999</v>
      </c>
      <c r="J15" s="15">
        <f>ROUND(G15/135890-1,2)</f>
        <v>-0.04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1750</v>
      </c>
      <c r="F16" s="10"/>
      <c r="G16" s="10">
        <f t="shared" si="0"/>
        <v>1750</v>
      </c>
      <c r="H16" s="16">
        <f t="shared" si="1"/>
        <v>0.47</v>
      </c>
      <c r="I16" s="15">
        <f t="shared" si="2"/>
        <v>2E-3</v>
      </c>
      <c r="J16" s="15">
        <f>ROUND(G16/1350-1,2)</f>
        <v>0.3</v>
      </c>
    </row>
    <row r="17" spans="1:10" x14ac:dyDescent="0.25">
      <c r="A17" s="1" t="s">
        <v>16</v>
      </c>
      <c r="B17" s="1" t="s">
        <v>26</v>
      </c>
      <c r="C17" s="10">
        <v>135220</v>
      </c>
      <c r="D17" s="10"/>
      <c r="E17" s="10"/>
      <c r="F17" s="10">
        <v>1200</v>
      </c>
      <c r="G17" s="10">
        <f t="shared" si="0"/>
        <v>136420</v>
      </c>
      <c r="H17" s="16">
        <f t="shared" si="1"/>
        <v>36.99</v>
      </c>
      <c r="I17" s="15">
        <f t="shared" si="2"/>
        <v>0.155</v>
      </c>
      <c r="J17" s="15">
        <f>ROUND(G17/130720-1,2)</f>
        <v>0.04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220</v>
      </c>
      <c r="F18" s="10"/>
      <c r="G18" s="10">
        <f t="shared" si="0"/>
        <v>220</v>
      </c>
      <c r="H18" s="16">
        <f t="shared" si="1"/>
        <v>0.06</v>
      </c>
      <c r="I18" s="15">
        <f t="shared" si="2"/>
        <v>0</v>
      </c>
      <c r="J18" s="15">
        <f>ROUND(G18/784-1,2)</f>
        <v>-0.72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139</v>
      </c>
      <c r="F19" s="10"/>
      <c r="G19" s="10">
        <f t="shared" si="0"/>
        <v>139</v>
      </c>
      <c r="H19" s="16">
        <f t="shared" si="1"/>
        <v>0.04</v>
      </c>
      <c r="I19" s="15">
        <f t="shared" si="2"/>
        <v>0</v>
      </c>
      <c r="J19" s="15">
        <f>ROUND(G19/175-1,2)</f>
        <v>-0.21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4210</v>
      </c>
      <c r="F20" s="10"/>
      <c r="G20" s="10">
        <f t="shared" si="0"/>
        <v>4210</v>
      </c>
      <c r="H20" s="16">
        <f t="shared" si="1"/>
        <v>1.1399999999999999</v>
      </c>
      <c r="I20" s="15">
        <f t="shared" si="2"/>
        <v>5.0000000000000001E-3</v>
      </c>
      <c r="J20" s="15">
        <f>ROUND(G20/5380-1,2)</f>
        <v>-0.22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1000</v>
      </c>
      <c r="F21" s="10"/>
      <c r="G21" s="10">
        <f t="shared" si="0"/>
        <v>1000</v>
      </c>
      <c r="H21" s="16">
        <f t="shared" si="1"/>
        <v>0.27</v>
      </c>
      <c r="I21" s="15">
        <f t="shared" si="2"/>
        <v>1E-3</v>
      </c>
      <c r="J21" s="15">
        <f>ROUND(G21/560-1,2)</f>
        <v>0.79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400</v>
      </c>
      <c r="F22" s="10"/>
      <c r="G22" s="10">
        <f t="shared" si="0"/>
        <v>400</v>
      </c>
      <c r="H22" s="16">
        <f t="shared" si="1"/>
        <v>0.11</v>
      </c>
      <c r="I22" s="15">
        <f t="shared" si="2"/>
        <v>0</v>
      </c>
      <c r="J22" s="15">
        <f>ROUND(G22/300-1,2)</f>
        <v>0.33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1950</v>
      </c>
      <c r="F23" s="10"/>
      <c r="G23" s="10">
        <f t="shared" si="0"/>
        <v>1950</v>
      </c>
      <c r="H23" s="16">
        <f t="shared" si="1"/>
        <v>0.53</v>
      </c>
      <c r="I23" s="15">
        <f t="shared" si="2"/>
        <v>2E-3</v>
      </c>
      <c r="J23" s="15">
        <f>ROUND(G23/1785-1,2)</f>
        <v>0.09</v>
      </c>
    </row>
    <row r="24" spans="1:10" x14ac:dyDescent="0.25">
      <c r="A24" s="1" t="s">
        <v>16</v>
      </c>
      <c r="B24" s="1" t="s">
        <v>33</v>
      </c>
      <c r="C24" s="10"/>
      <c r="D24" s="10">
        <v>343</v>
      </c>
      <c r="E24" s="10"/>
      <c r="F24" s="10"/>
      <c r="G24" s="10">
        <f t="shared" si="0"/>
        <v>343</v>
      </c>
      <c r="H24" s="16">
        <f t="shared" si="1"/>
        <v>0.09</v>
      </c>
      <c r="I24" s="15">
        <f t="shared" si="2"/>
        <v>0</v>
      </c>
      <c r="J24" s="15">
        <f>ROUND(G24/282-1,2)</f>
        <v>0.22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265</v>
      </c>
      <c r="F25" s="10"/>
      <c r="G25" s="10">
        <f t="shared" si="0"/>
        <v>265</v>
      </c>
      <c r="H25" s="16">
        <f t="shared" si="1"/>
        <v>7.0000000000000007E-2</v>
      </c>
      <c r="I25" s="15">
        <f t="shared" si="2"/>
        <v>0</v>
      </c>
      <c r="J25" s="15">
        <f>ROUND(G25/25-1,2)</f>
        <v>9.6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1740</v>
      </c>
      <c r="F26" s="10"/>
      <c r="G26" s="10">
        <f t="shared" si="0"/>
        <v>1740</v>
      </c>
      <c r="H26" s="16">
        <f t="shared" si="1"/>
        <v>0.47</v>
      </c>
      <c r="I26" s="15">
        <f t="shared" si="2"/>
        <v>2E-3</v>
      </c>
      <c r="J26" s="15">
        <f>ROUND(G26/1800-1,2)</f>
        <v>-0.03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11510</v>
      </c>
      <c r="F27" s="10"/>
      <c r="G27" s="10">
        <f t="shared" si="0"/>
        <v>11510</v>
      </c>
      <c r="H27" s="16">
        <f t="shared" si="1"/>
        <v>3.12</v>
      </c>
      <c r="I27" s="15">
        <f t="shared" si="2"/>
        <v>1.2999999999999999E-2</v>
      </c>
      <c r="J27" s="15">
        <f>ROUND(G27/6434-1,2)</f>
        <v>0.79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3745</v>
      </c>
      <c r="F28" s="10"/>
      <c r="G28" s="10">
        <f t="shared" si="0"/>
        <v>3745</v>
      </c>
      <c r="H28" s="16">
        <f t="shared" si="1"/>
        <v>1.02</v>
      </c>
      <c r="I28" s="15">
        <f t="shared" si="2"/>
        <v>4.0000000000000001E-3</v>
      </c>
      <c r="J28" s="15">
        <f>ROUND(G28/11049-1,2)</f>
        <v>-0.66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56880</v>
      </c>
      <c r="F29" s="10"/>
      <c r="G29" s="10">
        <f t="shared" si="0"/>
        <v>56880</v>
      </c>
      <c r="H29" s="16">
        <f t="shared" si="1"/>
        <v>15.42</v>
      </c>
      <c r="I29" s="15">
        <f t="shared" si="2"/>
        <v>6.5000000000000002E-2</v>
      </c>
      <c r="J29" s="15">
        <f>ROUND(G29/39320-1,2)</f>
        <v>0.45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4630</v>
      </c>
      <c r="F30" s="10"/>
      <c r="G30" s="10">
        <f t="shared" si="0"/>
        <v>4630</v>
      </c>
      <c r="H30" s="16">
        <f t="shared" si="1"/>
        <v>1.26</v>
      </c>
      <c r="I30" s="15">
        <f t="shared" si="2"/>
        <v>5.0000000000000001E-3</v>
      </c>
      <c r="J30" s="15">
        <f>ROUND(G30/4270-1,2)</f>
        <v>0.08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20270</v>
      </c>
      <c r="F31" s="10"/>
      <c r="G31" s="10">
        <f t="shared" si="0"/>
        <v>20270</v>
      </c>
      <c r="H31" s="16">
        <f t="shared" si="1"/>
        <v>5.5</v>
      </c>
      <c r="I31" s="15">
        <f t="shared" si="2"/>
        <v>2.3E-2</v>
      </c>
      <c r="J31" s="15">
        <f>ROUND(G31/20900-1,2)</f>
        <v>-0.03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33260</v>
      </c>
      <c r="F32" s="10"/>
      <c r="G32" s="10">
        <f t="shared" si="0"/>
        <v>33260</v>
      </c>
      <c r="H32" s="16">
        <f t="shared" si="1"/>
        <v>9.02</v>
      </c>
      <c r="I32" s="15">
        <f t="shared" si="2"/>
        <v>3.7999999999999999E-2</v>
      </c>
      <c r="J32" s="15">
        <f>ROUND(G32/34000-1,2)</f>
        <v>-0.02</v>
      </c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ROUND(G33/125-1,2)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ROUND(G34/2624-1,2)</f>
        <v>-1</v>
      </c>
    </row>
    <row r="35" spans="1:10" x14ac:dyDescent="0.25">
      <c r="A35" s="1" t="s">
        <v>16</v>
      </c>
      <c r="B35" s="1" t="s">
        <v>22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219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ROUND(G37/157-1,2)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128750</v>
      </c>
      <c r="D40" s="10"/>
      <c r="E40" s="10"/>
      <c r="F40" s="10"/>
      <c r="G40" s="10">
        <f t="shared" si="0"/>
        <v>128750</v>
      </c>
      <c r="H40" s="16">
        <f t="shared" si="1"/>
        <v>34.909999999999997</v>
      </c>
      <c r="I40" s="15">
        <f t="shared" si="2"/>
        <v>0.14599999999999999</v>
      </c>
      <c r="J40" s="15">
        <f>ROUND(G40/127110-1,2)</f>
        <v>0.01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26650</v>
      </c>
      <c r="G41" s="10">
        <f t="shared" si="0"/>
        <v>26650</v>
      </c>
      <c r="H41" s="16">
        <f t="shared" si="1"/>
        <v>7.23</v>
      </c>
      <c r="I41" s="15">
        <f t="shared" si="2"/>
        <v>0.03</v>
      </c>
      <c r="J41" s="15">
        <f>ROUND(G41/37130-1,2)</f>
        <v>-0.28000000000000003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63320</v>
      </c>
      <c r="F42" s="10"/>
      <c r="G42" s="10">
        <f t="shared" si="0"/>
        <v>63320</v>
      </c>
      <c r="H42" s="16">
        <f t="shared" si="1"/>
        <v>17.170000000000002</v>
      </c>
      <c r="I42" s="15">
        <f t="shared" si="2"/>
        <v>7.1999999999999995E-2</v>
      </c>
      <c r="J42" s="15">
        <f>ROUND(G42/55460-1,2)</f>
        <v>0.14000000000000001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ROUND(G43/505-1,2)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3" t="s">
        <v>12</v>
      </c>
      <c r="B45" s="23"/>
      <c r="C45" s="11">
        <f t="shared" ref="C45:H45" si="3">SUM(C8:C44)</f>
        <v>597920</v>
      </c>
      <c r="D45" s="11">
        <f t="shared" si="3"/>
        <v>343</v>
      </c>
      <c r="E45" s="11">
        <f t="shared" si="3"/>
        <v>254951</v>
      </c>
      <c r="F45" s="11">
        <f t="shared" si="3"/>
        <v>28390</v>
      </c>
      <c r="G45" s="11">
        <f t="shared" si="3"/>
        <v>881604</v>
      </c>
      <c r="H45" s="14">
        <f t="shared" si="3"/>
        <v>239.05</v>
      </c>
      <c r="I45" s="17"/>
      <c r="J45" s="17"/>
    </row>
    <row r="46" spans="1:10" x14ac:dyDescent="0.25">
      <c r="A46" s="23" t="s">
        <v>14</v>
      </c>
      <c r="B46" s="23"/>
      <c r="C46" s="12">
        <f>ROUND(C45/G45,2)</f>
        <v>0.68</v>
      </c>
      <c r="D46" s="12">
        <f>ROUND(D45/G45,2)</f>
        <v>0</v>
      </c>
      <c r="E46" s="12">
        <f>ROUND(E45/G45,2)</f>
        <v>0.28999999999999998</v>
      </c>
      <c r="F46" s="12">
        <f>ROUND(F45/G45,2)</f>
        <v>0.03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53</v>
      </c>
      <c r="B51" s="23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469170</v>
      </c>
      <c r="D52" s="10">
        <v>343</v>
      </c>
      <c r="E52" s="10">
        <v>191631</v>
      </c>
      <c r="F52" s="10">
        <v>1740</v>
      </c>
      <c r="G52" s="10">
        <f>SUM(C52:F52)</f>
        <v>662884</v>
      </c>
      <c r="H52" s="16">
        <f>ROUND(G52/3688,2)</f>
        <v>179.74</v>
      </c>
      <c r="I52" s="9"/>
      <c r="J52" s="9"/>
    </row>
    <row r="53" spans="1:10" x14ac:dyDescent="0.25">
      <c r="A53" s="22" t="s">
        <v>55</v>
      </c>
      <c r="B53" s="22"/>
      <c r="C53" s="10">
        <v>128750</v>
      </c>
      <c r="D53" s="10">
        <v>0</v>
      </c>
      <c r="E53" s="10">
        <v>63320</v>
      </c>
      <c r="F53" s="10">
        <v>26650</v>
      </c>
      <c r="G53" s="10">
        <f>SUM(C53:F53)</f>
        <v>218720</v>
      </c>
      <c r="H53" s="16">
        <f>ROUND(G53/3688,2)</f>
        <v>59.31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ROUND(G54/3688,2)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57</v>
      </c>
      <c r="B59" s="23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2" t="s">
        <v>58</v>
      </c>
      <c r="B60" s="22"/>
      <c r="C60" s="15">
        <f>ROUND(0.8388, 4)</f>
        <v>0.83879999999999999</v>
      </c>
      <c r="D60" s="15">
        <f>ROUND(0.8281, 4)</f>
        <v>0.82809999999999995</v>
      </c>
      <c r="E60" s="15">
        <f>ROUND(0.777, 4)</f>
        <v>0.77700000000000002</v>
      </c>
      <c r="F60" s="8"/>
      <c r="G60" s="14" t="s">
        <v>62</v>
      </c>
      <c r="H60" s="26" t="s">
        <v>63</v>
      </c>
      <c r="I60" s="24" t="s">
        <v>64</v>
      </c>
      <c r="J60" s="24" t="s">
        <v>65</v>
      </c>
    </row>
    <row r="61" spans="1:10" x14ac:dyDescent="0.25">
      <c r="A61" s="22" t="s">
        <v>66</v>
      </c>
      <c r="B61" s="22"/>
      <c r="C61" s="15">
        <f>ROUND(0.8225, 4)</f>
        <v>0.82250000000000001</v>
      </c>
      <c r="D61" s="15">
        <f>ROUND(0.8133, 4)</f>
        <v>0.81330000000000002</v>
      </c>
      <c r="E61" s="15">
        <f>ROUND(0.7608, 4)</f>
        <v>0.76080000000000003</v>
      </c>
      <c r="F61" s="8"/>
      <c r="G61" s="14" t="s">
        <v>67</v>
      </c>
      <c r="H61" s="27"/>
      <c r="I61" s="25"/>
      <c r="J61" s="25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68</v>
      </c>
      <c r="B65" s="23"/>
      <c r="C65" s="14" t="s">
        <v>2</v>
      </c>
      <c r="D65" s="14" t="s">
        <v>315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2" t="s">
        <v>73</v>
      </c>
      <c r="B66" s="22"/>
      <c r="C66" s="16">
        <v>34.909999999999997</v>
      </c>
      <c r="D66" s="16">
        <v>62.78</v>
      </c>
      <c r="E66" s="16">
        <v>89.58</v>
      </c>
      <c r="F66" s="16">
        <v>53.73</v>
      </c>
      <c r="G66" s="16">
        <f>12/9*C66</f>
        <v>46.54666666666666</v>
      </c>
      <c r="H66" s="8"/>
      <c r="I66" s="9"/>
      <c r="J66" s="9"/>
    </row>
    <row r="67" spans="1:10" x14ac:dyDescent="0.25">
      <c r="A67" s="22" t="s">
        <v>74</v>
      </c>
      <c r="B67" s="22"/>
      <c r="C67" s="16">
        <v>36.99</v>
      </c>
      <c r="D67" s="16">
        <v>45.96</v>
      </c>
      <c r="E67" s="16">
        <v>60.32</v>
      </c>
      <c r="F67" s="16">
        <v>61.62</v>
      </c>
      <c r="G67" s="16">
        <f>12/9*C67</f>
        <v>49.32</v>
      </c>
      <c r="H67" s="8"/>
      <c r="I67" s="9"/>
      <c r="J67" s="9"/>
    </row>
    <row r="68" spans="1:10" x14ac:dyDescent="0.25">
      <c r="A68" s="22" t="s">
        <v>75</v>
      </c>
      <c r="B68" s="22"/>
      <c r="C68" s="16">
        <v>179.74</v>
      </c>
      <c r="D68" s="16">
        <v>232.16</v>
      </c>
      <c r="E68" s="16">
        <v>282.8</v>
      </c>
      <c r="F68" s="16">
        <v>273.33</v>
      </c>
      <c r="G68" s="16">
        <f>12/9*C68</f>
        <v>239.65333333333334</v>
      </c>
      <c r="H68" s="8"/>
      <c r="I68" s="9"/>
      <c r="J68" s="9"/>
    </row>
    <row r="69" spans="1:10" x14ac:dyDescent="0.25">
      <c r="A69" s="22" t="s">
        <v>76</v>
      </c>
      <c r="B69" s="22"/>
      <c r="C69" s="16">
        <v>59.31</v>
      </c>
      <c r="D69" s="16">
        <v>89.28</v>
      </c>
      <c r="E69" s="16">
        <v>112.72</v>
      </c>
      <c r="F69" s="16">
        <v>76.52</v>
      </c>
      <c r="G69" s="16">
        <f>12/9*C69</f>
        <v>79.08</v>
      </c>
      <c r="H69" s="8"/>
      <c r="I69" s="9"/>
      <c r="J69" s="9"/>
    </row>
    <row r="72" spans="1:10" x14ac:dyDescent="0.25">
      <c r="A72" s="21" t="s">
        <v>60</v>
      </c>
      <c r="B72" s="28"/>
    </row>
    <row r="73" spans="1:10" x14ac:dyDescent="0.25">
      <c r="A73" s="3" t="s">
        <v>77</v>
      </c>
      <c r="B73" s="1" t="s">
        <v>316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Foglio70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5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872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ROUND(G9/872,2)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20350</v>
      </c>
      <c r="D10" s="10"/>
      <c r="E10" s="10">
        <v>3487</v>
      </c>
      <c r="F10" s="10">
        <v>80</v>
      </c>
      <c r="G10" s="10">
        <f t="shared" si="0"/>
        <v>23917</v>
      </c>
      <c r="H10" s="16">
        <f t="shared" si="1"/>
        <v>27.43</v>
      </c>
      <c r="I10" s="15">
        <f t="shared" si="2"/>
        <v>9.7000000000000003E-2</v>
      </c>
      <c r="J10" s="15">
        <f>ROUND(G10/22661.18-1,2)</f>
        <v>0.06</v>
      </c>
    </row>
    <row r="11" spans="1:10" x14ac:dyDescent="0.25">
      <c r="A11" s="1" t="s">
        <v>16</v>
      </c>
      <c r="B11" s="1" t="s">
        <v>20</v>
      </c>
      <c r="C11" s="10">
        <v>27340</v>
      </c>
      <c r="D11" s="10"/>
      <c r="E11" s="10"/>
      <c r="F11" s="10"/>
      <c r="G11" s="10">
        <f t="shared" si="0"/>
        <v>27340</v>
      </c>
      <c r="H11" s="16">
        <f t="shared" si="1"/>
        <v>31.35</v>
      </c>
      <c r="I11" s="15">
        <f t="shared" si="2"/>
        <v>0.11</v>
      </c>
      <c r="J11" s="15">
        <f>ROUND(G11/31540-1,2)</f>
        <v>-0.13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61</v>
      </c>
      <c r="F12" s="10"/>
      <c r="G12" s="10">
        <f t="shared" si="0"/>
        <v>61</v>
      </c>
      <c r="H12" s="16">
        <f t="shared" si="1"/>
        <v>7.0000000000000007E-2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965</v>
      </c>
      <c r="F13" s="10"/>
      <c r="G13" s="10">
        <f t="shared" si="0"/>
        <v>965</v>
      </c>
      <c r="H13" s="16">
        <f t="shared" si="1"/>
        <v>1.1100000000000001</v>
      </c>
      <c r="I13" s="15">
        <f t="shared" si="2"/>
        <v>4.0000000000000001E-3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19369</v>
      </c>
      <c r="F14" s="10"/>
      <c r="G14" s="10">
        <f t="shared" si="0"/>
        <v>19369</v>
      </c>
      <c r="H14" s="16">
        <f t="shared" si="1"/>
        <v>22.21</v>
      </c>
      <c r="I14" s="15">
        <f t="shared" si="2"/>
        <v>7.8E-2</v>
      </c>
      <c r="J14" s="15">
        <f>ROUND(G14/6192.14-1,2)</f>
        <v>2.13</v>
      </c>
    </row>
    <row r="15" spans="1:10" x14ac:dyDescent="0.25">
      <c r="A15" s="1" t="s">
        <v>16</v>
      </c>
      <c r="B15" s="1" t="s">
        <v>24</v>
      </c>
      <c r="C15" s="10">
        <v>22530</v>
      </c>
      <c r="D15" s="10"/>
      <c r="E15" s="10">
        <v>7798</v>
      </c>
      <c r="F15" s="10"/>
      <c r="G15" s="10">
        <f t="shared" si="0"/>
        <v>30328</v>
      </c>
      <c r="H15" s="16">
        <f t="shared" si="1"/>
        <v>34.78</v>
      </c>
      <c r="I15" s="15">
        <f t="shared" si="2"/>
        <v>0.122</v>
      </c>
      <c r="J15" s="15">
        <f>ROUND(G15/25717.15-1,2)</f>
        <v>0.18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1412</v>
      </c>
      <c r="F16" s="10"/>
      <c r="G16" s="10">
        <f t="shared" si="0"/>
        <v>1412</v>
      </c>
      <c r="H16" s="16">
        <f t="shared" si="1"/>
        <v>1.62</v>
      </c>
      <c r="I16" s="15">
        <f t="shared" si="2"/>
        <v>6.0000000000000001E-3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25870</v>
      </c>
      <c r="D17" s="10"/>
      <c r="E17" s="10"/>
      <c r="F17" s="10">
        <v>10</v>
      </c>
      <c r="G17" s="10">
        <f t="shared" si="0"/>
        <v>25880</v>
      </c>
      <c r="H17" s="16">
        <f t="shared" si="1"/>
        <v>29.68</v>
      </c>
      <c r="I17" s="15">
        <f t="shared" si="2"/>
        <v>0.104</v>
      </c>
      <c r="J17" s="15">
        <f>ROUND(G17/28610-1,2)</f>
        <v>-0.1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228</v>
      </c>
      <c r="F18" s="10"/>
      <c r="G18" s="10">
        <f t="shared" si="0"/>
        <v>228</v>
      </c>
      <c r="H18" s="16">
        <f t="shared" si="1"/>
        <v>0.26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138</v>
      </c>
      <c r="F19" s="10"/>
      <c r="G19" s="10">
        <f t="shared" si="0"/>
        <v>138</v>
      </c>
      <c r="H19" s="16">
        <f t="shared" si="1"/>
        <v>0.16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667</v>
      </c>
      <c r="F21" s="10"/>
      <c r="G21" s="10">
        <f t="shared" si="0"/>
        <v>667</v>
      </c>
      <c r="H21" s="16">
        <f t="shared" si="1"/>
        <v>0.76</v>
      </c>
      <c r="I21" s="15">
        <f t="shared" si="2"/>
        <v>3.0000000000000001E-3</v>
      </c>
      <c r="J21" s="15">
        <f>ROUND(G21/1053.75-1,2)</f>
        <v>-0.37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159</v>
      </c>
      <c r="F22" s="10"/>
      <c r="G22" s="10">
        <f t="shared" si="0"/>
        <v>159</v>
      </c>
      <c r="H22" s="16">
        <f t="shared" si="1"/>
        <v>0.18</v>
      </c>
      <c r="I22" s="15">
        <f t="shared" si="2"/>
        <v>1E-3</v>
      </c>
      <c r="J22" s="15">
        <f>ROUND(G22/104.12-1,2)</f>
        <v>0.53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77</v>
      </c>
      <c r="F23" s="10"/>
      <c r="G23" s="10">
        <f t="shared" si="0"/>
        <v>77</v>
      </c>
      <c r="H23" s="16">
        <f t="shared" si="1"/>
        <v>0.09</v>
      </c>
      <c r="I23" s="15">
        <f t="shared" si="2"/>
        <v>0</v>
      </c>
      <c r="J23" s="15">
        <f>ROUND(G23/30-1,2)</f>
        <v>1.57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423</v>
      </c>
      <c r="F24" s="10"/>
      <c r="G24" s="10">
        <f t="shared" si="0"/>
        <v>423</v>
      </c>
      <c r="H24" s="16">
        <f t="shared" si="1"/>
        <v>0.49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73</v>
      </c>
      <c r="F25" s="10"/>
      <c r="G25" s="10">
        <f t="shared" si="0"/>
        <v>73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1197</v>
      </c>
      <c r="F26" s="10"/>
      <c r="G26" s="10">
        <f t="shared" si="0"/>
        <v>1197</v>
      </c>
      <c r="H26" s="16">
        <f t="shared" si="1"/>
        <v>1.37</v>
      </c>
      <c r="I26" s="15">
        <f t="shared" si="2"/>
        <v>5.0000000000000001E-3</v>
      </c>
      <c r="J26" s="15">
        <f>ROUND(G26/220.47-1,2)</f>
        <v>4.43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1181</v>
      </c>
      <c r="F27" s="10"/>
      <c r="G27" s="10">
        <f t="shared" si="0"/>
        <v>1181</v>
      </c>
      <c r="H27" s="16">
        <f t="shared" si="1"/>
        <v>1.35</v>
      </c>
      <c r="I27" s="15">
        <f t="shared" si="2"/>
        <v>5.0000000000000001E-3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19314</v>
      </c>
      <c r="F28" s="10"/>
      <c r="G28" s="10">
        <f t="shared" si="0"/>
        <v>19314</v>
      </c>
      <c r="H28" s="16">
        <f t="shared" si="1"/>
        <v>22.15</v>
      </c>
      <c r="I28" s="15">
        <f t="shared" si="2"/>
        <v>7.8E-2</v>
      </c>
      <c r="J28" s="15">
        <f>ROUND(G28/8212.37-1,2)</f>
        <v>1.35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7219</v>
      </c>
      <c r="F29" s="10"/>
      <c r="G29" s="10">
        <f t="shared" si="0"/>
        <v>7219</v>
      </c>
      <c r="H29" s="16">
        <f t="shared" si="1"/>
        <v>8.2799999999999994</v>
      </c>
      <c r="I29" s="15">
        <f t="shared" si="2"/>
        <v>2.9000000000000001E-2</v>
      </c>
      <c r="J29" s="15">
        <f>ROUND(G29/3584.75-1,2)</f>
        <v>1.01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13796</v>
      </c>
      <c r="F30" s="10"/>
      <c r="G30" s="10">
        <f t="shared" si="0"/>
        <v>13796</v>
      </c>
      <c r="H30" s="16">
        <f t="shared" si="1"/>
        <v>15.82</v>
      </c>
      <c r="I30" s="15">
        <f t="shared" si="2"/>
        <v>5.6000000000000001E-2</v>
      </c>
      <c r="J30" s="15">
        <f>ROUND(G30/704.07-1,2)</f>
        <v>18.59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55660</v>
      </c>
      <c r="D34" s="10"/>
      <c r="E34" s="10"/>
      <c r="F34" s="10">
        <v>40</v>
      </c>
      <c r="G34" s="10">
        <f t="shared" si="0"/>
        <v>55700</v>
      </c>
      <c r="H34" s="16">
        <f t="shared" si="1"/>
        <v>63.88</v>
      </c>
      <c r="I34" s="15">
        <f t="shared" si="2"/>
        <v>0.22500000000000001</v>
      </c>
      <c r="J34" s="15">
        <f>ROUND(G34/62310-1,2)</f>
        <v>-0.11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>
        <v>6370</v>
      </c>
      <c r="G35" s="10">
        <f t="shared" si="0"/>
        <v>6370</v>
      </c>
      <c r="H35" s="16">
        <f t="shared" si="1"/>
        <v>7.31</v>
      </c>
      <c r="I35" s="15">
        <f t="shared" si="2"/>
        <v>2.5999999999999999E-2</v>
      </c>
      <c r="J35" s="15"/>
    </row>
    <row r="36" spans="1:10" x14ac:dyDescent="0.25">
      <c r="A36" s="1" t="s">
        <v>44</v>
      </c>
      <c r="B36" s="1" t="s">
        <v>46</v>
      </c>
      <c r="C36" s="10"/>
      <c r="D36" s="10"/>
      <c r="E36" s="10">
        <v>11832</v>
      </c>
      <c r="F36" s="10"/>
      <c r="G36" s="10">
        <f t="shared" si="0"/>
        <v>11832</v>
      </c>
      <c r="H36" s="16">
        <f t="shared" si="1"/>
        <v>13.57</v>
      </c>
      <c r="I36" s="15">
        <f t="shared" si="2"/>
        <v>4.8000000000000001E-2</v>
      </c>
      <c r="J36" s="15">
        <f>ROUND(G36/4719.52-1,2)</f>
        <v>1.51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3" t="s">
        <v>12</v>
      </c>
      <c r="B38" s="23"/>
      <c r="C38" s="11">
        <f t="shared" ref="C38:H38" si="3">SUM(C8:C37)</f>
        <v>151750</v>
      </c>
      <c r="D38" s="11">
        <f t="shared" si="3"/>
        <v>0</v>
      </c>
      <c r="E38" s="11">
        <f t="shared" si="3"/>
        <v>89444</v>
      </c>
      <c r="F38" s="11">
        <f t="shared" si="3"/>
        <v>6500</v>
      </c>
      <c r="G38" s="11">
        <f t="shared" si="3"/>
        <v>247694</v>
      </c>
      <c r="H38" s="14">
        <f t="shared" si="3"/>
        <v>284.05</v>
      </c>
      <c r="I38" s="17"/>
      <c r="J38" s="17"/>
    </row>
    <row r="39" spans="1:10" x14ac:dyDescent="0.25">
      <c r="A39" s="23" t="s">
        <v>14</v>
      </c>
      <c r="B39" s="23"/>
      <c r="C39" s="12">
        <f>ROUND(C38/G38,2)</f>
        <v>0.61</v>
      </c>
      <c r="D39" s="12">
        <f>ROUND(D38/G38,2)</f>
        <v>0</v>
      </c>
      <c r="E39" s="12">
        <f>ROUND(E38/G38,2)</f>
        <v>0.36</v>
      </c>
      <c r="F39" s="12">
        <f>ROUND(F38/G38,2)</f>
        <v>0.03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3" t="s">
        <v>53</v>
      </c>
      <c r="B44" s="23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96090</v>
      </c>
      <c r="D45" s="10">
        <v>0</v>
      </c>
      <c r="E45" s="10">
        <v>77612</v>
      </c>
      <c r="F45" s="10">
        <v>90</v>
      </c>
      <c r="G45" s="10">
        <f>SUM(C45:F45)</f>
        <v>173792</v>
      </c>
      <c r="H45" s="16">
        <f>ROUND(G45/872,2)</f>
        <v>199.3</v>
      </c>
      <c r="I45" s="9"/>
      <c r="J45" s="9"/>
    </row>
    <row r="46" spans="1:10" x14ac:dyDescent="0.25">
      <c r="A46" s="22" t="s">
        <v>55</v>
      </c>
      <c r="B46" s="22"/>
      <c r="C46" s="10">
        <v>55660</v>
      </c>
      <c r="D46" s="10">
        <v>0</v>
      </c>
      <c r="E46" s="10">
        <v>11832</v>
      </c>
      <c r="F46" s="10">
        <v>6410</v>
      </c>
      <c r="G46" s="10">
        <f>SUM(C46:F46)</f>
        <v>73902</v>
      </c>
      <c r="H46" s="16">
        <f>ROUND(G46/872,2)</f>
        <v>84.75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ROUND(G47/872,2)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3" t="s">
        <v>57</v>
      </c>
      <c r="B52" s="23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ROUND(0.7481, 4)</f>
        <v>0.74809999999999999</v>
      </c>
      <c r="D53" s="15">
        <f>ROUND(0.6403, 4)</f>
        <v>0.64029999999999998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4" t="s">
        <v>64</v>
      </c>
      <c r="J53" s="24" t="s">
        <v>65</v>
      </c>
    </row>
    <row r="54" spans="1:10" x14ac:dyDescent="0.25">
      <c r="A54" s="22" t="s">
        <v>66</v>
      </c>
      <c r="B54" s="22"/>
      <c r="C54" s="15">
        <f>ROUND(0.709, 4)</f>
        <v>0.70899999999999996</v>
      </c>
      <c r="D54" s="15">
        <f>ROUND(0.5967, 4)</f>
        <v>0.59670000000000001</v>
      </c>
      <c r="E54" s="15">
        <f>ROUND(0.7608, 4)</f>
        <v>0.76080000000000003</v>
      </c>
      <c r="F54" s="8"/>
      <c r="G54" s="14" t="s">
        <v>67</v>
      </c>
      <c r="H54" s="27"/>
      <c r="I54" s="25"/>
      <c r="J54" s="25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68</v>
      </c>
      <c r="B58" s="23"/>
      <c r="C58" s="14" t="s">
        <v>2</v>
      </c>
      <c r="D58" s="14" t="s">
        <v>318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63.88</v>
      </c>
      <c r="D59" s="16">
        <v>83.83</v>
      </c>
      <c r="E59" s="16">
        <v>89.58</v>
      </c>
      <c r="F59" s="16">
        <v>53.73</v>
      </c>
      <c r="G59" s="16">
        <f>12/9*C59</f>
        <v>85.173333333333332</v>
      </c>
      <c r="H59" s="8"/>
      <c r="I59" s="9"/>
      <c r="J59" s="9"/>
    </row>
    <row r="60" spans="1:10" x14ac:dyDescent="0.25">
      <c r="A60" s="22" t="s">
        <v>74</v>
      </c>
      <c r="B60" s="22"/>
      <c r="C60" s="16">
        <v>29.68</v>
      </c>
      <c r="D60" s="16">
        <v>43.94</v>
      </c>
      <c r="E60" s="16">
        <v>60.32</v>
      </c>
      <c r="F60" s="16">
        <v>61.62</v>
      </c>
      <c r="G60" s="16">
        <f>12/9*C60</f>
        <v>39.573333333333331</v>
      </c>
      <c r="H60" s="8"/>
      <c r="I60" s="9"/>
      <c r="J60" s="9"/>
    </row>
    <row r="61" spans="1:10" x14ac:dyDescent="0.25">
      <c r="A61" s="22" t="s">
        <v>75</v>
      </c>
      <c r="B61" s="22"/>
      <c r="C61" s="16">
        <v>199.3</v>
      </c>
      <c r="D61" s="16">
        <v>204.44</v>
      </c>
      <c r="E61" s="16">
        <v>282.8</v>
      </c>
      <c r="F61" s="16">
        <v>273.33</v>
      </c>
      <c r="G61" s="16">
        <f>12/9*C61</f>
        <v>265.73333333333335</v>
      </c>
      <c r="H61" s="8"/>
      <c r="I61" s="9"/>
      <c r="J61" s="9"/>
    </row>
    <row r="62" spans="1:10" x14ac:dyDescent="0.25">
      <c r="A62" s="22" t="s">
        <v>76</v>
      </c>
      <c r="B62" s="22"/>
      <c r="C62" s="16">
        <v>84.75</v>
      </c>
      <c r="D62" s="16">
        <v>101.26</v>
      </c>
      <c r="E62" s="16">
        <v>112.72</v>
      </c>
      <c r="F62" s="16">
        <v>76.52</v>
      </c>
      <c r="G62" s="16">
        <f>12/9*C62</f>
        <v>113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8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319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Foglio71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2.285156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320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1228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44" si="0">SUM(C9:F9)</f>
        <v>25</v>
      </c>
      <c r="H9" s="16">
        <f t="shared" ref="H9:H44" si="1">ROUND(G9/1228,2)</f>
        <v>0.02</v>
      </c>
      <c r="I9" s="15">
        <f t="shared" ref="I9:I44" si="2">ROUND(G9/$G$45,3)</f>
        <v>0</v>
      </c>
      <c r="J9" s="15">
        <f>ROUND(G9/75-1,2)</f>
        <v>-0.67</v>
      </c>
    </row>
    <row r="10" spans="1:10" x14ac:dyDescent="0.25">
      <c r="A10" s="1" t="s">
        <v>16</v>
      </c>
      <c r="B10" s="1" t="s">
        <v>19</v>
      </c>
      <c r="C10" s="10">
        <v>32220</v>
      </c>
      <c r="D10" s="10"/>
      <c r="E10" s="10">
        <v>4238</v>
      </c>
      <c r="F10" s="10"/>
      <c r="G10" s="10">
        <f t="shared" si="0"/>
        <v>36458</v>
      </c>
      <c r="H10" s="16">
        <f t="shared" si="1"/>
        <v>29.69</v>
      </c>
      <c r="I10" s="15">
        <f t="shared" si="2"/>
        <v>7.8E-2</v>
      </c>
      <c r="J10" s="15">
        <f>ROUND(G10/47268.06-1,2)</f>
        <v>-0.23</v>
      </c>
    </row>
    <row r="11" spans="1:10" x14ac:dyDescent="0.25">
      <c r="A11" s="1" t="s">
        <v>16</v>
      </c>
      <c r="B11" s="1" t="s">
        <v>20</v>
      </c>
      <c r="C11" s="10">
        <v>49870</v>
      </c>
      <c r="D11" s="10"/>
      <c r="E11" s="10"/>
      <c r="F11" s="10"/>
      <c r="G11" s="10">
        <f t="shared" si="0"/>
        <v>49870</v>
      </c>
      <c r="H11" s="16">
        <f t="shared" si="1"/>
        <v>40.61</v>
      </c>
      <c r="I11" s="15">
        <f t="shared" si="2"/>
        <v>0.107</v>
      </c>
      <c r="J11" s="15">
        <f>ROUND(G11/50365-1,2)</f>
        <v>-0.01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117</v>
      </c>
      <c r="F12" s="10"/>
      <c r="G12" s="10">
        <f t="shared" si="0"/>
        <v>117</v>
      </c>
      <c r="H12" s="16">
        <f t="shared" si="1"/>
        <v>0.1</v>
      </c>
      <c r="I12" s="15">
        <f t="shared" si="2"/>
        <v>0</v>
      </c>
      <c r="J12" s="15">
        <f>ROUND(G12/244.28-1,2)</f>
        <v>-0.52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879</v>
      </c>
      <c r="F13" s="10"/>
      <c r="G13" s="10">
        <f t="shared" si="0"/>
        <v>879</v>
      </c>
      <c r="H13" s="16">
        <f t="shared" si="1"/>
        <v>0.72</v>
      </c>
      <c r="I13" s="15">
        <f t="shared" si="2"/>
        <v>2E-3</v>
      </c>
      <c r="J13" s="15">
        <f>ROUND(G13/2045.72-1,2)</f>
        <v>-0.56999999999999995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40016</v>
      </c>
      <c r="F14" s="10"/>
      <c r="G14" s="10">
        <f t="shared" si="0"/>
        <v>40016</v>
      </c>
      <c r="H14" s="16">
        <f t="shared" si="1"/>
        <v>32.590000000000003</v>
      </c>
      <c r="I14" s="15">
        <f t="shared" si="2"/>
        <v>8.5999999999999993E-2</v>
      </c>
      <c r="J14" s="15">
        <f>ROUND(G14/82985.97-1,2)</f>
        <v>-0.52</v>
      </c>
    </row>
    <row r="15" spans="1:10" x14ac:dyDescent="0.25">
      <c r="A15" s="1" t="s">
        <v>16</v>
      </c>
      <c r="B15" s="1" t="s">
        <v>24</v>
      </c>
      <c r="C15" s="10">
        <v>42190</v>
      </c>
      <c r="D15" s="10"/>
      <c r="E15" s="10">
        <v>13583</v>
      </c>
      <c r="F15" s="10"/>
      <c r="G15" s="10">
        <f t="shared" si="0"/>
        <v>55773</v>
      </c>
      <c r="H15" s="16">
        <f t="shared" si="1"/>
        <v>45.42</v>
      </c>
      <c r="I15" s="15">
        <f t="shared" si="2"/>
        <v>0.12</v>
      </c>
      <c r="J15" s="15">
        <f>ROUND(G15/65376.67-1,2)</f>
        <v>-0.15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3926</v>
      </c>
      <c r="F16" s="10"/>
      <c r="G16" s="10">
        <f t="shared" si="0"/>
        <v>3926</v>
      </c>
      <c r="H16" s="16">
        <f t="shared" si="1"/>
        <v>3.2</v>
      </c>
      <c r="I16" s="15">
        <f t="shared" si="2"/>
        <v>8.0000000000000002E-3</v>
      </c>
      <c r="J16" s="15">
        <f>ROUND(G16/8010-1,2)</f>
        <v>-0.51</v>
      </c>
    </row>
    <row r="17" spans="1:10" x14ac:dyDescent="0.25">
      <c r="A17" s="1" t="s">
        <v>16</v>
      </c>
      <c r="B17" s="1" t="s">
        <v>26</v>
      </c>
      <c r="C17" s="10">
        <v>28980</v>
      </c>
      <c r="D17" s="10"/>
      <c r="E17" s="10"/>
      <c r="F17" s="10"/>
      <c r="G17" s="10">
        <f t="shared" si="0"/>
        <v>28980</v>
      </c>
      <c r="H17" s="16">
        <f t="shared" si="1"/>
        <v>23.6</v>
      </c>
      <c r="I17" s="15">
        <f t="shared" si="2"/>
        <v>6.2E-2</v>
      </c>
      <c r="J17" s="15">
        <f>ROUND(G17/33750-1,2)</f>
        <v>-0.14000000000000001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422</v>
      </c>
      <c r="F18" s="10"/>
      <c r="G18" s="10">
        <f t="shared" si="0"/>
        <v>422</v>
      </c>
      <c r="H18" s="16">
        <f t="shared" si="1"/>
        <v>0.34</v>
      </c>
      <c r="I18" s="15">
        <f t="shared" si="2"/>
        <v>1E-3</v>
      </c>
      <c r="J18" s="15">
        <f>ROUND(G18/1137-1,2)</f>
        <v>-0.63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227</v>
      </c>
      <c r="F19" s="10"/>
      <c r="G19" s="10">
        <f t="shared" si="0"/>
        <v>227</v>
      </c>
      <c r="H19" s="16">
        <f t="shared" si="1"/>
        <v>0.18</v>
      </c>
      <c r="I19" s="15">
        <f t="shared" si="2"/>
        <v>0</v>
      </c>
      <c r="J19" s="15">
        <f>ROUND(G19/729-1,2)</f>
        <v>-0.69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67</v>
      </c>
      <c r="F20" s="10"/>
      <c r="G20" s="10">
        <f t="shared" si="0"/>
        <v>67</v>
      </c>
      <c r="H20" s="16">
        <f t="shared" si="1"/>
        <v>0.05</v>
      </c>
      <c r="I20" s="15">
        <f t="shared" si="2"/>
        <v>0</v>
      </c>
      <c r="J20" s="15">
        <f>ROUND(G20/51.48-1,2)</f>
        <v>0.3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794</v>
      </c>
      <c r="F21" s="10"/>
      <c r="G21" s="10">
        <f t="shared" si="0"/>
        <v>794</v>
      </c>
      <c r="H21" s="16">
        <f t="shared" si="1"/>
        <v>0.65</v>
      </c>
      <c r="I21" s="15">
        <f t="shared" si="2"/>
        <v>2E-3</v>
      </c>
      <c r="J21" s="15">
        <f>ROUND(G21/2945.39-1,2)</f>
        <v>-0.73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228</v>
      </c>
      <c r="F22" s="10"/>
      <c r="G22" s="10">
        <f t="shared" si="0"/>
        <v>228</v>
      </c>
      <c r="H22" s="16">
        <f t="shared" si="1"/>
        <v>0.19</v>
      </c>
      <c r="I22" s="15">
        <f t="shared" si="2"/>
        <v>0</v>
      </c>
      <c r="J22" s="15">
        <f>ROUND(G22/585.6-1,2)</f>
        <v>-0.61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1047</v>
      </c>
      <c r="F23" s="10"/>
      <c r="G23" s="10">
        <f t="shared" si="0"/>
        <v>1047</v>
      </c>
      <c r="H23" s="16">
        <f t="shared" si="1"/>
        <v>0.85</v>
      </c>
      <c r="I23" s="15">
        <f t="shared" si="2"/>
        <v>2E-3</v>
      </c>
      <c r="J23" s="15">
        <f>ROUND(G23/1682.37-1,2)</f>
        <v>-0.38</v>
      </c>
    </row>
    <row r="24" spans="1:10" x14ac:dyDescent="0.25">
      <c r="A24" s="1" t="s">
        <v>16</v>
      </c>
      <c r="B24" s="1" t="s">
        <v>33</v>
      </c>
      <c r="C24" s="10"/>
      <c r="D24" s="10">
        <v>87</v>
      </c>
      <c r="E24" s="10">
        <v>92</v>
      </c>
      <c r="F24" s="10"/>
      <c r="G24" s="10">
        <f t="shared" si="0"/>
        <v>179</v>
      </c>
      <c r="H24" s="16">
        <f t="shared" si="1"/>
        <v>0.15</v>
      </c>
      <c r="I24" s="15">
        <f t="shared" si="2"/>
        <v>0</v>
      </c>
      <c r="J24" s="15">
        <f>ROUND(G24/232.73-1,2)</f>
        <v>-0.23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133</v>
      </c>
      <c r="F25" s="10"/>
      <c r="G25" s="10">
        <f t="shared" si="0"/>
        <v>133</v>
      </c>
      <c r="H25" s="16">
        <f t="shared" si="1"/>
        <v>0.11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35</v>
      </c>
      <c r="C26" s="10"/>
      <c r="D26" s="10"/>
      <c r="E26" s="10">
        <v>199</v>
      </c>
      <c r="F26" s="10"/>
      <c r="G26" s="10">
        <f t="shared" si="0"/>
        <v>199</v>
      </c>
      <c r="H26" s="16">
        <f t="shared" si="1"/>
        <v>0.16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43</v>
      </c>
      <c r="C27" s="10"/>
      <c r="D27" s="10"/>
      <c r="E27" s="10">
        <v>1384</v>
      </c>
      <c r="F27" s="10"/>
      <c r="G27" s="10">
        <f t="shared" si="0"/>
        <v>1384</v>
      </c>
      <c r="H27" s="16">
        <f t="shared" si="1"/>
        <v>1.1299999999999999</v>
      </c>
      <c r="I27" s="15">
        <f t="shared" si="2"/>
        <v>3.0000000000000001E-3</v>
      </c>
      <c r="J27" s="15">
        <f>ROUND(G27/12825-1,2)</f>
        <v>-0.89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2469</v>
      </c>
      <c r="F28" s="10"/>
      <c r="G28" s="10">
        <f t="shared" si="0"/>
        <v>2469</v>
      </c>
      <c r="H28" s="16">
        <f t="shared" si="1"/>
        <v>2.0099999999999998</v>
      </c>
      <c r="I28" s="15">
        <f t="shared" si="2"/>
        <v>5.0000000000000001E-3</v>
      </c>
      <c r="J28" s="15">
        <f>ROUND(G28/6133.66-1,2)</f>
        <v>-0.6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34841</v>
      </c>
      <c r="F29" s="10"/>
      <c r="G29" s="10">
        <f t="shared" si="0"/>
        <v>34841</v>
      </c>
      <c r="H29" s="16">
        <f t="shared" si="1"/>
        <v>28.37</v>
      </c>
      <c r="I29" s="15">
        <f t="shared" si="2"/>
        <v>7.4999999999999997E-2</v>
      </c>
      <c r="J29" s="15">
        <f>ROUND(G29/90008.73-1,2)</f>
        <v>-0.61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2922</v>
      </c>
      <c r="F30" s="10"/>
      <c r="G30" s="10">
        <f t="shared" si="0"/>
        <v>2922</v>
      </c>
      <c r="H30" s="16">
        <f t="shared" si="1"/>
        <v>2.38</v>
      </c>
      <c r="I30" s="15">
        <f t="shared" si="2"/>
        <v>6.0000000000000001E-3</v>
      </c>
      <c r="J30" s="15">
        <f>ROUND(G30/4951.35-1,2)</f>
        <v>-0.41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8976</v>
      </c>
      <c r="F31" s="10"/>
      <c r="G31" s="10">
        <f t="shared" si="0"/>
        <v>8976</v>
      </c>
      <c r="H31" s="16">
        <f t="shared" si="1"/>
        <v>7.31</v>
      </c>
      <c r="I31" s="15">
        <f t="shared" si="2"/>
        <v>1.9E-2</v>
      </c>
      <c r="J31" s="15">
        <f>ROUND(G31/23537.41-1,2)</f>
        <v>-0.62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11247</v>
      </c>
      <c r="F32" s="10"/>
      <c r="G32" s="10">
        <f t="shared" si="0"/>
        <v>11247</v>
      </c>
      <c r="H32" s="16">
        <f t="shared" si="1"/>
        <v>9.16</v>
      </c>
      <c r="I32" s="15">
        <f t="shared" si="2"/>
        <v>2.4E-2</v>
      </c>
      <c r="J32" s="15">
        <f>ROUND(G32/25134.47-1,2)</f>
        <v>-0.55000000000000004</v>
      </c>
    </row>
    <row r="33" spans="1:10" x14ac:dyDescent="0.25">
      <c r="A33" s="1" t="s">
        <v>16</v>
      </c>
      <c r="B33" s="1" t="s">
        <v>18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ROUND(G33/4600-1,2)</f>
        <v>-1</v>
      </c>
    </row>
    <row r="34" spans="1:10" x14ac:dyDescent="0.25">
      <c r="A34" s="1" t="s">
        <v>16</v>
      </c>
      <c r="B34" s="1" t="s">
        <v>243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ROUND(G34/1540-1,2)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ROUND(G35/2023.26-1,2)</f>
        <v>-1</v>
      </c>
    </row>
    <row r="36" spans="1:10" x14ac:dyDescent="0.25">
      <c r="A36" s="1" t="s">
        <v>16</v>
      </c>
      <c r="B36" s="1" t="s">
        <v>95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ROUND(G36/60-1,2)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ROUND(G37/65-1,2)</f>
        <v>-1</v>
      </c>
    </row>
    <row r="38" spans="1:10" x14ac:dyDescent="0.25">
      <c r="A38" s="1" t="s">
        <v>16</v>
      </c>
      <c r="B38" s="1" t="s">
        <v>31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164830</v>
      </c>
      <c r="D39" s="10"/>
      <c r="E39" s="10"/>
      <c r="F39" s="10"/>
      <c r="G39" s="10">
        <f t="shared" si="0"/>
        <v>164830</v>
      </c>
      <c r="H39" s="16">
        <f t="shared" si="1"/>
        <v>134.22999999999999</v>
      </c>
      <c r="I39" s="15">
        <f t="shared" si="2"/>
        <v>0.35399999999999998</v>
      </c>
      <c r="J39" s="15">
        <f>ROUND(G39/146180-1,2)</f>
        <v>0.13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19929</v>
      </c>
      <c r="F40" s="10"/>
      <c r="G40" s="10">
        <f t="shared" si="0"/>
        <v>19929</v>
      </c>
      <c r="H40" s="16">
        <f t="shared" si="1"/>
        <v>16.23</v>
      </c>
      <c r="I40" s="15">
        <f t="shared" si="2"/>
        <v>4.2999999999999997E-2</v>
      </c>
      <c r="J40" s="15">
        <f>ROUND(G40/33357.92-1,2)</f>
        <v>-0.4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ROUND(G42/12-1,2)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ROUND(G43/270-1,2)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ROUND(G44/33-1,2)</f>
        <v>-1</v>
      </c>
    </row>
    <row r="45" spans="1:10" x14ac:dyDescent="0.25">
      <c r="A45" s="23" t="s">
        <v>12</v>
      </c>
      <c r="B45" s="23"/>
      <c r="C45" s="11">
        <f t="shared" ref="C45:H45" si="3">SUM(C8:C44)</f>
        <v>318090</v>
      </c>
      <c r="D45" s="11">
        <f t="shared" si="3"/>
        <v>87</v>
      </c>
      <c r="E45" s="11">
        <f t="shared" si="3"/>
        <v>147761</v>
      </c>
      <c r="F45" s="11">
        <f t="shared" si="3"/>
        <v>0</v>
      </c>
      <c r="G45" s="11">
        <f t="shared" si="3"/>
        <v>465938</v>
      </c>
      <c r="H45" s="14">
        <f t="shared" si="3"/>
        <v>379.45</v>
      </c>
      <c r="I45" s="17"/>
      <c r="J45" s="17"/>
    </row>
    <row r="46" spans="1:10" x14ac:dyDescent="0.25">
      <c r="A46" s="23" t="s">
        <v>14</v>
      </c>
      <c r="B46" s="23"/>
      <c r="C46" s="12">
        <f>ROUND(C45/G45,2)</f>
        <v>0.68</v>
      </c>
      <c r="D46" s="12">
        <f>ROUND(D45/G45,2)</f>
        <v>0</v>
      </c>
      <c r="E46" s="12">
        <f>ROUND(E45/G45,2)</f>
        <v>0.32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53</v>
      </c>
      <c r="B51" s="23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153260</v>
      </c>
      <c r="D52" s="10">
        <v>87</v>
      </c>
      <c r="E52" s="10">
        <v>127832</v>
      </c>
      <c r="F52" s="10">
        <v>0</v>
      </c>
      <c r="G52" s="10">
        <f>SUM(C52:F52)</f>
        <v>281179</v>
      </c>
      <c r="H52" s="16">
        <f>ROUND(G52/1228,2)</f>
        <v>228.97</v>
      </c>
      <c r="I52" s="9"/>
      <c r="J52" s="9"/>
    </row>
    <row r="53" spans="1:10" x14ac:dyDescent="0.25">
      <c r="A53" s="22" t="s">
        <v>55</v>
      </c>
      <c r="B53" s="22"/>
      <c r="C53" s="10">
        <v>164830</v>
      </c>
      <c r="D53" s="10">
        <v>0</v>
      </c>
      <c r="E53" s="10">
        <v>19929</v>
      </c>
      <c r="F53" s="10">
        <v>0</v>
      </c>
      <c r="G53" s="10">
        <f>SUM(C53:F53)</f>
        <v>184759</v>
      </c>
      <c r="H53" s="16">
        <f>ROUND(G53/1228,2)</f>
        <v>150.46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ROUND(G54/1228,2)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3" t="s">
        <v>57</v>
      </c>
      <c r="B59" s="23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2" t="s">
        <v>58</v>
      </c>
      <c r="B60" s="22"/>
      <c r="C60" s="15">
        <f>ROUND(0.6105, 4)</f>
        <v>0.61050000000000004</v>
      </c>
      <c r="D60" s="15">
        <f>ROUND(0.7347, 4)</f>
        <v>0.73470000000000002</v>
      </c>
      <c r="E60" s="15">
        <f>ROUND(0.777, 4)</f>
        <v>0.77700000000000002</v>
      </c>
      <c r="F60" s="8"/>
      <c r="G60" s="14" t="s">
        <v>62</v>
      </c>
      <c r="H60" s="26" t="s">
        <v>63</v>
      </c>
      <c r="I60" s="24" t="s">
        <v>64</v>
      </c>
      <c r="J60" s="24" t="s">
        <v>65</v>
      </c>
    </row>
    <row r="61" spans="1:10" x14ac:dyDescent="0.25">
      <c r="A61" s="22" t="s">
        <v>66</v>
      </c>
      <c r="B61" s="22"/>
      <c r="C61" s="15">
        <f>ROUND(0.5787, 4)</f>
        <v>0.57869999999999999</v>
      </c>
      <c r="D61" s="15">
        <f>ROUND(0.7053, 4)</f>
        <v>0.70530000000000004</v>
      </c>
      <c r="E61" s="15">
        <f>ROUND(0.7608, 4)</f>
        <v>0.76080000000000003</v>
      </c>
      <c r="F61" s="8"/>
      <c r="G61" s="14" t="s">
        <v>67</v>
      </c>
      <c r="H61" s="27"/>
      <c r="I61" s="25"/>
      <c r="J61" s="25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68</v>
      </c>
      <c r="B65" s="23"/>
      <c r="C65" s="14" t="s">
        <v>2</v>
      </c>
      <c r="D65" s="14" t="s">
        <v>321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2" t="s">
        <v>73</v>
      </c>
      <c r="B66" s="22"/>
      <c r="C66" s="16">
        <v>134.22999999999999</v>
      </c>
      <c r="D66" s="16">
        <v>112.89</v>
      </c>
      <c r="E66" s="16">
        <v>89.58</v>
      </c>
      <c r="F66" s="16">
        <v>53.73</v>
      </c>
      <c r="G66" s="16">
        <f>12/9*C66</f>
        <v>178.9733333333333</v>
      </c>
      <c r="H66" s="8"/>
      <c r="I66" s="9"/>
      <c r="J66" s="9"/>
    </row>
    <row r="67" spans="1:10" x14ac:dyDescent="0.25">
      <c r="A67" s="22" t="s">
        <v>74</v>
      </c>
      <c r="B67" s="22"/>
      <c r="C67" s="16">
        <v>23.6</v>
      </c>
      <c r="D67" s="16">
        <v>46.52</v>
      </c>
      <c r="E67" s="16">
        <v>60.32</v>
      </c>
      <c r="F67" s="16">
        <v>61.62</v>
      </c>
      <c r="G67" s="16">
        <f>12/9*C67</f>
        <v>31.466666666666669</v>
      </c>
      <c r="H67" s="8"/>
      <c r="I67" s="9"/>
      <c r="J67" s="9"/>
    </row>
    <row r="68" spans="1:10" x14ac:dyDescent="0.25">
      <c r="A68" s="22" t="s">
        <v>75</v>
      </c>
      <c r="B68" s="22"/>
      <c r="C68" s="16">
        <v>228.97</v>
      </c>
      <c r="D68" s="16">
        <v>380.32</v>
      </c>
      <c r="E68" s="16">
        <v>282.8</v>
      </c>
      <c r="F68" s="16">
        <v>273.33</v>
      </c>
      <c r="G68" s="16">
        <f>12/9*C68</f>
        <v>305.29333333333329</v>
      </c>
      <c r="H68" s="8"/>
      <c r="I68" s="9"/>
      <c r="J68" s="9"/>
    </row>
    <row r="69" spans="1:10" x14ac:dyDescent="0.25">
      <c r="A69" s="22" t="s">
        <v>76</v>
      </c>
      <c r="B69" s="22"/>
      <c r="C69" s="1">
        <v>150.46</v>
      </c>
      <c r="D69" s="1">
        <v>136.6</v>
      </c>
      <c r="E69" s="1">
        <v>112.72</v>
      </c>
      <c r="F69" s="1">
        <v>76.52</v>
      </c>
      <c r="G69" s="1">
        <f>12/9*C69</f>
        <v>200.61333333333334</v>
      </c>
    </row>
    <row r="72" spans="1:10" x14ac:dyDescent="0.25">
      <c r="A72" s="21" t="s">
        <v>60</v>
      </c>
      <c r="B72" s="28"/>
    </row>
    <row r="73" spans="1:10" x14ac:dyDescent="0.25">
      <c r="A73" s="3" t="s">
        <v>77</v>
      </c>
      <c r="B73" s="1" t="s">
        <v>322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Foglio72"/>
  <dimension ref="A2:J68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568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14710</v>
      </c>
      <c r="D9" s="10"/>
      <c r="E9" s="10"/>
      <c r="F9" s="10"/>
      <c r="G9" s="10">
        <f t="shared" ref="G9:G36" si="0">SUM(C9:F9)</f>
        <v>14710</v>
      </c>
      <c r="H9" s="16">
        <f t="shared" ref="H9:H36" si="1">ROUND(G9/568,2)</f>
        <v>25.9</v>
      </c>
      <c r="I9" s="15">
        <f t="shared" ref="I9:I36" si="2">ROUND(G9/$G$37,3)</f>
        <v>9.6000000000000002E-2</v>
      </c>
      <c r="J9" s="15">
        <f>ROUND(G9/15970-1,2)</f>
        <v>-0.08</v>
      </c>
    </row>
    <row r="10" spans="1:10" x14ac:dyDescent="0.25">
      <c r="A10" s="1" t="s">
        <v>16</v>
      </c>
      <c r="B10" s="1" t="s">
        <v>20</v>
      </c>
      <c r="C10" s="10">
        <v>24080</v>
      </c>
      <c r="D10" s="10"/>
      <c r="E10" s="10"/>
      <c r="F10" s="10"/>
      <c r="G10" s="10">
        <f t="shared" si="0"/>
        <v>24080</v>
      </c>
      <c r="H10" s="16">
        <f t="shared" si="1"/>
        <v>42.39</v>
      </c>
      <c r="I10" s="15">
        <f t="shared" si="2"/>
        <v>0.157</v>
      </c>
      <c r="J10" s="15">
        <f>ROUND(G10/23610-1,2)</f>
        <v>0.02</v>
      </c>
    </row>
    <row r="11" spans="1:10" x14ac:dyDescent="0.25">
      <c r="A11" s="1" t="s">
        <v>16</v>
      </c>
      <c r="B11" s="1" t="s">
        <v>95</v>
      </c>
      <c r="C11" s="10"/>
      <c r="D11" s="10"/>
      <c r="E11" s="10"/>
      <c r="F11" s="10">
        <v>12</v>
      </c>
      <c r="G11" s="10">
        <f t="shared" si="0"/>
        <v>12</v>
      </c>
      <c r="H11" s="16">
        <f t="shared" si="1"/>
        <v>0.02</v>
      </c>
      <c r="I11" s="15">
        <f t="shared" si="2"/>
        <v>0</v>
      </c>
      <c r="J11" s="15">
        <f>ROUND(G11/43-1,2)</f>
        <v>-0.72</v>
      </c>
    </row>
    <row r="12" spans="1:10" x14ac:dyDescent="0.25">
      <c r="A12" s="1" t="s">
        <v>16</v>
      </c>
      <c r="B12" s="1" t="s">
        <v>21</v>
      </c>
      <c r="C12" s="10"/>
      <c r="D12" s="10"/>
      <c r="E12" s="10"/>
      <c r="F12" s="10">
        <v>36</v>
      </c>
      <c r="G12" s="10">
        <f t="shared" si="0"/>
        <v>36</v>
      </c>
      <c r="H12" s="16">
        <f t="shared" si="1"/>
        <v>0.06</v>
      </c>
      <c r="I12" s="15">
        <f t="shared" si="2"/>
        <v>0</v>
      </c>
      <c r="J12" s="15">
        <f>ROUND(G12/19-1,2)</f>
        <v>0.89</v>
      </c>
    </row>
    <row r="13" spans="1:10" x14ac:dyDescent="0.25">
      <c r="A13" s="1" t="s">
        <v>16</v>
      </c>
      <c r="B13" s="1" t="s">
        <v>24</v>
      </c>
      <c r="C13" s="10">
        <v>16760</v>
      </c>
      <c r="D13" s="10"/>
      <c r="E13" s="10"/>
      <c r="F13" s="10"/>
      <c r="G13" s="10">
        <f t="shared" si="0"/>
        <v>16760</v>
      </c>
      <c r="H13" s="16">
        <f t="shared" si="1"/>
        <v>29.51</v>
      </c>
      <c r="I13" s="15">
        <f t="shared" si="2"/>
        <v>0.109</v>
      </c>
      <c r="J13" s="15">
        <f>ROUND(G13/15400-1,2)</f>
        <v>0.09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1000</v>
      </c>
      <c r="F14" s="10"/>
      <c r="G14" s="10">
        <f t="shared" si="0"/>
        <v>1000</v>
      </c>
      <c r="H14" s="16">
        <f t="shared" si="1"/>
        <v>1.76</v>
      </c>
      <c r="I14" s="15">
        <f t="shared" si="2"/>
        <v>7.0000000000000001E-3</v>
      </c>
      <c r="J14" s="15"/>
    </row>
    <row r="15" spans="1:10" x14ac:dyDescent="0.25">
      <c r="A15" s="1" t="s">
        <v>16</v>
      </c>
      <c r="B15" s="1" t="s">
        <v>26</v>
      </c>
      <c r="C15" s="10">
        <v>21940</v>
      </c>
      <c r="D15" s="10"/>
      <c r="E15" s="10"/>
      <c r="F15" s="10">
        <v>240</v>
      </c>
      <c r="G15" s="10">
        <f t="shared" si="0"/>
        <v>22180</v>
      </c>
      <c r="H15" s="16">
        <f t="shared" si="1"/>
        <v>39.049999999999997</v>
      </c>
      <c r="I15" s="15">
        <f t="shared" si="2"/>
        <v>0.14499999999999999</v>
      </c>
      <c r="J15" s="15">
        <f>ROUND(G15/20660-1,2)</f>
        <v>7.0000000000000007E-2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388</v>
      </c>
      <c r="F16" s="10"/>
      <c r="G16" s="10">
        <f t="shared" si="0"/>
        <v>388</v>
      </c>
      <c r="H16" s="16">
        <f t="shared" si="1"/>
        <v>0.68</v>
      </c>
      <c r="I16" s="15">
        <f t="shared" si="2"/>
        <v>3.0000000000000001E-3</v>
      </c>
      <c r="J16" s="15">
        <f>ROUND(G16/625-1,2)</f>
        <v>-0.38</v>
      </c>
    </row>
    <row r="17" spans="1:10" x14ac:dyDescent="0.25">
      <c r="A17" s="1" t="s">
        <v>16</v>
      </c>
      <c r="B17" s="1" t="s">
        <v>42</v>
      </c>
      <c r="C17" s="10"/>
      <c r="D17" s="10"/>
      <c r="E17" s="10">
        <v>20</v>
      </c>
      <c r="F17" s="10"/>
      <c r="G17" s="10">
        <f t="shared" si="0"/>
        <v>20</v>
      </c>
      <c r="H17" s="16">
        <f t="shared" si="1"/>
        <v>0.04</v>
      </c>
      <c r="I17" s="15">
        <f t="shared" si="2"/>
        <v>0</v>
      </c>
      <c r="J17" s="15">
        <f>ROUND(G17/20-1,2)</f>
        <v>0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0.16</v>
      </c>
      <c r="I18" s="15">
        <f t="shared" si="2"/>
        <v>1E-3</v>
      </c>
      <c r="J18" s="15">
        <f>ROUND(G18/120-1,2)</f>
        <v>-0.25</v>
      </c>
    </row>
    <row r="19" spans="1:10" x14ac:dyDescent="0.25">
      <c r="A19" s="1" t="s">
        <v>16</v>
      </c>
      <c r="B19" s="1" t="s">
        <v>31</v>
      </c>
      <c r="C19" s="10"/>
      <c r="D19" s="10"/>
      <c r="E19" s="10">
        <v>80</v>
      </c>
      <c r="F19" s="10"/>
      <c r="G19" s="10">
        <f t="shared" si="0"/>
        <v>80</v>
      </c>
      <c r="H19" s="16">
        <f t="shared" si="1"/>
        <v>0.14000000000000001</v>
      </c>
      <c r="I19" s="15">
        <f t="shared" si="2"/>
        <v>1E-3</v>
      </c>
      <c r="J19" s="15">
        <f>ROUND(G19/120-1,2)</f>
        <v>-0.33</v>
      </c>
    </row>
    <row r="20" spans="1:10" x14ac:dyDescent="0.25">
      <c r="A20" s="1" t="s">
        <v>16</v>
      </c>
      <c r="B20" s="1" t="s">
        <v>32</v>
      </c>
      <c r="C20" s="10"/>
      <c r="D20" s="10"/>
      <c r="E20" s="10"/>
      <c r="F20" s="10">
        <v>465</v>
      </c>
      <c r="G20" s="10">
        <f t="shared" si="0"/>
        <v>465</v>
      </c>
      <c r="H20" s="16">
        <f t="shared" si="1"/>
        <v>0.82</v>
      </c>
      <c r="I20" s="15">
        <f t="shared" si="2"/>
        <v>3.0000000000000001E-3</v>
      </c>
      <c r="J20" s="15">
        <f>ROUND(G20/260-1,2)</f>
        <v>0.79</v>
      </c>
    </row>
    <row r="21" spans="1:10" x14ac:dyDescent="0.25">
      <c r="A21" s="1" t="s">
        <v>16</v>
      </c>
      <c r="B21" s="1" t="s">
        <v>33</v>
      </c>
      <c r="C21" s="10"/>
      <c r="D21" s="10">
        <v>43</v>
      </c>
      <c r="E21" s="10"/>
      <c r="F21" s="10"/>
      <c r="G21" s="10">
        <f t="shared" si="0"/>
        <v>43</v>
      </c>
      <c r="H21" s="16">
        <f t="shared" si="1"/>
        <v>0.08</v>
      </c>
      <c r="I21" s="15">
        <f t="shared" si="2"/>
        <v>0</v>
      </c>
      <c r="J21" s="15">
        <f>ROUND(G21/24-1,2)</f>
        <v>0.79</v>
      </c>
    </row>
    <row r="22" spans="1:10" x14ac:dyDescent="0.25">
      <c r="A22" s="1" t="s">
        <v>16</v>
      </c>
      <c r="B22" s="1" t="s">
        <v>35</v>
      </c>
      <c r="C22" s="10"/>
      <c r="D22" s="10">
        <v>25</v>
      </c>
      <c r="E22" s="10"/>
      <c r="F22" s="10">
        <v>243</v>
      </c>
      <c r="G22" s="10">
        <f t="shared" si="0"/>
        <v>268</v>
      </c>
      <c r="H22" s="16">
        <f t="shared" si="1"/>
        <v>0.47</v>
      </c>
      <c r="I22" s="15">
        <f t="shared" si="2"/>
        <v>2E-3</v>
      </c>
      <c r="J22" s="15">
        <f>ROUND(G22/263-1,2)</f>
        <v>0.02</v>
      </c>
    </row>
    <row r="23" spans="1:10" x14ac:dyDescent="0.25">
      <c r="A23" s="1" t="s">
        <v>16</v>
      </c>
      <c r="B23" s="1" t="s">
        <v>36</v>
      </c>
      <c r="C23" s="10"/>
      <c r="D23" s="10"/>
      <c r="E23" s="10"/>
      <c r="F23" s="10">
        <v>130</v>
      </c>
      <c r="G23" s="10">
        <f t="shared" si="0"/>
        <v>130</v>
      </c>
      <c r="H23" s="16">
        <f t="shared" si="1"/>
        <v>0.23</v>
      </c>
      <c r="I23" s="15">
        <f t="shared" si="2"/>
        <v>1E-3</v>
      </c>
      <c r="J23" s="15">
        <f>ROUND(G23/540-1,2)</f>
        <v>-0.76</v>
      </c>
    </row>
    <row r="24" spans="1:10" x14ac:dyDescent="0.25">
      <c r="A24" s="1" t="s">
        <v>16</v>
      </c>
      <c r="B24" s="1" t="s">
        <v>43</v>
      </c>
      <c r="C24" s="10"/>
      <c r="D24" s="10"/>
      <c r="E24" s="10"/>
      <c r="F24" s="10">
        <v>460</v>
      </c>
      <c r="G24" s="10">
        <f t="shared" si="0"/>
        <v>460</v>
      </c>
      <c r="H24" s="16">
        <f t="shared" si="1"/>
        <v>0.81</v>
      </c>
      <c r="I24" s="15">
        <f t="shared" si="2"/>
        <v>3.0000000000000001E-3</v>
      </c>
      <c r="J24" s="15">
        <f>ROUND(G24/465-1,2)</f>
        <v>-0.01</v>
      </c>
    </row>
    <row r="25" spans="1:10" x14ac:dyDescent="0.25">
      <c r="A25" s="1" t="s">
        <v>16</v>
      </c>
      <c r="B25" s="1" t="s">
        <v>37</v>
      </c>
      <c r="C25" s="10"/>
      <c r="D25" s="10"/>
      <c r="E25" s="10"/>
      <c r="F25" s="10">
        <v>960</v>
      </c>
      <c r="G25" s="10">
        <f t="shared" si="0"/>
        <v>960</v>
      </c>
      <c r="H25" s="16">
        <f t="shared" si="1"/>
        <v>1.69</v>
      </c>
      <c r="I25" s="15">
        <f t="shared" si="2"/>
        <v>6.0000000000000001E-3</v>
      </c>
      <c r="J25" s="15">
        <f>ROUND(G25/970-1,2)</f>
        <v>-0.01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10020</v>
      </c>
      <c r="F26" s="10"/>
      <c r="G26" s="10">
        <f t="shared" si="0"/>
        <v>10020</v>
      </c>
      <c r="H26" s="16">
        <f t="shared" si="1"/>
        <v>17.64</v>
      </c>
      <c r="I26" s="15">
        <f t="shared" si="2"/>
        <v>6.5000000000000002E-2</v>
      </c>
      <c r="J26" s="15">
        <f>ROUND(G26/16040-1,2)</f>
        <v>-0.38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2770</v>
      </c>
      <c r="F27" s="10"/>
      <c r="G27" s="10">
        <f t="shared" si="0"/>
        <v>2770</v>
      </c>
      <c r="H27" s="16">
        <f t="shared" si="1"/>
        <v>4.88</v>
      </c>
      <c r="I27" s="15">
        <f t="shared" si="2"/>
        <v>1.7999999999999999E-2</v>
      </c>
      <c r="J27" s="15">
        <f>ROUND(G27/1430-1,2)</f>
        <v>0.94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3410</v>
      </c>
      <c r="F28" s="10"/>
      <c r="G28" s="10">
        <f t="shared" si="0"/>
        <v>3410</v>
      </c>
      <c r="H28" s="16">
        <f t="shared" si="1"/>
        <v>6</v>
      </c>
      <c r="I28" s="15">
        <f t="shared" si="2"/>
        <v>2.1999999999999999E-2</v>
      </c>
      <c r="J28" s="15">
        <f>ROUND(G28/3070-1,2)</f>
        <v>0.11</v>
      </c>
    </row>
    <row r="29" spans="1:10" x14ac:dyDescent="0.25">
      <c r="A29" s="1" t="s">
        <v>16</v>
      </c>
      <c r="B29" s="1" t="s">
        <v>29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ROUND(G29/810-1,2)</f>
        <v>-1</v>
      </c>
    </row>
    <row r="30" spans="1:10" x14ac:dyDescent="0.25">
      <c r="A30" s="1" t="s">
        <v>16</v>
      </c>
      <c r="B30" s="1" t="s">
        <v>34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44</v>
      </c>
      <c r="B32" s="1" t="s">
        <v>45</v>
      </c>
      <c r="C32" s="10">
        <v>44710</v>
      </c>
      <c r="D32" s="10"/>
      <c r="E32" s="10"/>
      <c r="F32" s="10"/>
      <c r="G32" s="10">
        <f t="shared" si="0"/>
        <v>44710</v>
      </c>
      <c r="H32" s="16">
        <f t="shared" si="1"/>
        <v>78.709999999999994</v>
      </c>
      <c r="I32" s="15">
        <f t="shared" si="2"/>
        <v>0.29199999999999998</v>
      </c>
      <c r="J32" s="15">
        <f>ROUND(G32/45415-1,2)</f>
        <v>-0.02</v>
      </c>
    </row>
    <row r="33" spans="1:10" x14ac:dyDescent="0.25">
      <c r="A33" s="1" t="s">
        <v>44</v>
      </c>
      <c r="B33" s="1" t="s">
        <v>46</v>
      </c>
      <c r="C33" s="10"/>
      <c r="D33" s="10"/>
      <c r="E33" s="10">
        <v>10540</v>
      </c>
      <c r="F33" s="10"/>
      <c r="G33" s="10">
        <f t="shared" si="0"/>
        <v>10540</v>
      </c>
      <c r="H33" s="16">
        <f t="shared" si="1"/>
        <v>18.559999999999999</v>
      </c>
      <c r="I33" s="15">
        <f t="shared" si="2"/>
        <v>6.9000000000000006E-2</v>
      </c>
      <c r="J33" s="15">
        <f>ROUND(G33/5760-1,2)</f>
        <v>0.83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48</v>
      </c>
      <c r="B35" s="1" t="s">
        <v>49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86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3" t="s">
        <v>12</v>
      </c>
      <c r="B37" s="23"/>
      <c r="C37" s="11">
        <f t="shared" ref="C37:H37" si="3">SUM(C8:C36)</f>
        <v>122200</v>
      </c>
      <c r="D37" s="11">
        <f t="shared" si="3"/>
        <v>68</v>
      </c>
      <c r="E37" s="11">
        <f t="shared" si="3"/>
        <v>28318</v>
      </c>
      <c r="F37" s="11">
        <f t="shared" si="3"/>
        <v>2546</v>
      </c>
      <c r="G37" s="11">
        <f t="shared" si="3"/>
        <v>153132</v>
      </c>
      <c r="H37" s="14">
        <f t="shared" si="3"/>
        <v>269.59999999999997</v>
      </c>
      <c r="I37" s="17"/>
      <c r="J37" s="17"/>
    </row>
    <row r="38" spans="1:10" x14ac:dyDescent="0.25">
      <c r="A38" s="23" t="s">
        <v>14</v>
      </c>
      <c r="B38" s="23"/>
      <c r="C38" s="12">
        <f>ROUND(C37/G37,2)</f>
        <v>0.8</v>
      </c>
      <c r="D38" s="12">
        <f>ROUND(D37/G37,2)</f>
        <v>0</v>
      </c>
      <c r="E38" s="12">
        <f>ROUND(E37/G37,2)</f>
        <v>0.18</v>
      </c>
      <c r="F38" s="12">
        <f>ROUND(F37/G37,2)</f>
        <v>0.02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3" t="s">
        <v>53</v>
      </c>
      <c r="B43" s="23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77490</v>
      </c>
      <c r="D44" s="10">
        <v>68</v>
      </c>
      <c r="E44" s="10">
        <v>17778</v>
      </c>
      <c r="F44" s="10">
        <v>2546</v>
      </c>
      <c r="G44" s="10">
        <f>SUM(C44:F44)</f>
        <v>97882</v>
      </c>
      <c r="H44" s="16">
        <f>ROUND(G44/568,2)</f>
        <v>172.33</v>
      </c>
      <c r="I44" s="9"/>
      <c r="J44" s="9"/>
    </row>
    <row r="45" spans="1:10" x14ac:dyDescent="0.25">
      <c r="A45" s="22" t="s">
        <v>55</v>
      </c>
      <c r="B45" s="22"/>
      <c r="C45" s="10">
        <v>44710</v>
      </c>
      <c r="D45" s="10">
        <v>0</v>
      </c>
      <c r="E45" s="10">
        <v>10540</v>
      </c>
      <c r="F45" s="10">
        <v>0</v>
      </c>
      <c r="G45" s="10">
        <f>SUM(C45:F45)</f>
        <v>55250</v>
      </c>
      <c r="H45" s="16">
        <f>ROUND(G45/568,2)</f>
        <v>97.27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ROUND(G46/568,2)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57</v>
      </c>
      <c r="B51" s="23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ROUND(0.7006, 4)</f>
        <v>0.7006</v>
      </c>
      <c r="D52" s="15">
        <f>ROUND(0.6779, 4)</f>
        <v>0.67789999999999995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4" t="s">
        <v>64</v>
      </c>
      <c r="J52" s="24" t="s">
        <v>65</v>
      </c>
    </row>
    <row r="53" spans="1:10" x14ac:dyDescent="0.25">
      <c r="A53" s="22" t="s">
        <v>66</v>
      </c>
      <c r="B53" s="22"/>
      <c r="C53" s="15">
        <f>ROUND(0.6883, 4)</f>
        <v>0.68830000000000002</v>
      </c>
      <c r="D53" s="15">
        <f>ROUND(0.6635, 4)</f>
        <v>0.66349999999999998</v>
      </c>
      <c r="E53" s="15">
        <f>ROUND(0.7608, 4)</f>
        <v>0.76080000000000003</v>
      </c>
      <c r="F53" s="8"/>
      <c r="G53" s="14" t="s">
        <v>67</v>
      </c>
      <c r="H53" s="27"/>
      <c r="I53" s="25"/>
      <c r="J53" s="25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68</v>
      </c>
      <c r="B57" s="23"/>
      <c r="C57" s="14" t="s">
        <v>2</v>
      </c>
      <c r="D57" s="14" t="s">
        <v>324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78.709999999999994</v>
      </c>
      <c r="D58" s="16">
        <v>101.58</v>
      </c>
      <c r="E58" s="16">
        <v>89.58</v>
      </c>
      <c r="F58" s="16">
        <v>53.73</v>
      </c>
      <c r="G58" s="16">
        <f>12/9*C58</f>
        <v>104.94666666666666</v>
      </c>
      <c r="H58" s="8"/>
      <c r="I58" s="9"/>
      <c r="J58" s="9"/>
    </row>
    <row r="59" spans="1:10" x14ac:dyDescent="0.25">
      <c r="A59" s="22" t="s">
        <v>74</v>
      </c>
      <c r="B59" s="22"/>
      <c r="C59" s="16">
        <v>39.049999999999997</v>
      </c>
      <c r="D59" s="16">
        <v>44.59</v>
      </c>
      <c r="E59" s="16">
        <v>60.32</v>
      </c>
      <c r="F59" s="16">
        <v>61.62</v>
      </c>
      <c r="G59" s="16">
        <f>12/9*C59</f>
        <v>52.066666666666663</v>
      </c>
      <c r="H59" s="8"/>
      <c r="I59" s="9"/>
      <c r="J59" s="9"/>
    </row>
    <row r="60" spans="1:10" x14ac:dyDescent="0.25">
      <c r="A60" s="22" t="s">
        <v>75</v>
      </c>
      <c r="B60" s="22"/>
      <c r="C60" s="16">
        <v>172.33</v>
      </c>
      <c r="D60" s="16">
        <v>199.83</v>
      </c>
      <c r="E60" s="16">
        <v>282.8</v>
      </c>
      <c r="F60" s="16">
        <v>273.33</v>
      </c>
      <c r="G60" s="16">
        <f>12/9*C60</f>
        <v>229.77333333333334</v>
      </c>
      <c r="H60" s="8"/>
      <c r="I60" s="9"/>
      <c r="J60" s="9"/>
    </row>
    <row r="61" spans="1:10" x14ac:dyDescent="0.25">
      <c r="A61" s="22" t="s">
        <v>76</v>
      </c>
      <c r="B61" s="22"/>
      <c r="C61" s="16">
        <v>97.27</v>
      </c>
      <c r="D61" s="16">
        <v>117.25</v>
      </c>
      <c r="E61" s="16">
        <v>112.72</v>
      </c>
      <c r="F61" s="16">
        <v>76.52</v>
      </c>
      <c r="G61" s="16">
        <f>12/9*C61</f>
        <v>129.69333333333333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8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325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Foglio73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8842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93</v>
      </c>
      <c r="F9" s="10"/>
      <c r="G9" s="10">
        <f t="shared" ref="G9:G35" si="0">SUM(C9:F9)</f>
        <v>93</v>
      </c>
      <c r="H9" s="16">
        <f t="shared" ref="H9:H35" si="1">ROUND(G9/8842,2)</f>
        <v>0.01</v>
      </c>
      <c r="I9" s="15">
        <f t="shared" ref="I9:I35" si="2">ROUND(G9/$G$36,3)</f>
        <v>0</v>
      </c>
      <c r="J9" s="15">
        <f>ROUND(G9/150-1,2)</f>
        <v>-0.38</v>
      </c>
    </row>
    <row r="10" spans="1:10" x14ac:dyDescent="0.25">
      <c r="A10" s="1" t="s">
        <v>16</v>
      </c>
      <c r="B10" s="1" t="s">
        <v>19</v>
      </c>
      <c r="C10" s="10"/>
      <c r="D10" s="10"/>
      <c r="E10" s="10">
        <v>1440</v>
      </c>
      <c r="F10" s="10"/>
      <c r="G10" s="10">
        <f t="shared" si="0"/>
        <v>1440</v>
      </c>
      <c r="H10" s="16">
        <f t="shared" si="1"/>
        <v>0.16</v>
      </c>
      <c r="I10" s="15">
        <f t="shared" si="2"/>
        <v>2E-3</v>
      </c>
      <c r="J10" s="15">
        <f>ROUND(G10/1600-1,2)</f>
        <v>-0.1</v>
      </c>
    </row>
    <row r="11" spans="1:10" x14ac:dyDescent="0.25">
      <c r="A11" s="1" t="s">
        <v>16</v>
      </c>
      <c r="B11" s="1" t="s">
        <v>95</v>
      </c>
      <c r="C11" s="10"/>
      <c r="D11" s="10"/>
      <c r="E11" s="10">
        <v>323</v>
      </c>
      <c r="F11" s="10"/>
      <c r="G11" s="10">
        <f t="shared" si="0"/>
        <v>323</v>
      </c>
      <c r="H11" s="16">
        <f t="shared" si="1"/>
        <v>0.04</v>
      </c>
      <c r="I11" s="15">
        <f t="shared" si="2"/>
        <v>0</v>
      </c>
      <c r="J11" s="15">
        <f>ROUND(G11/245-1,2)</f>
        <v>0.32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351</v>
      </c>
      <c r="F12" s="10"/>
      <c r="G12" s="10">
        <f t="shared" si="0"/>
        <v>351</v>
      </c>
      <c r="H12" s="16">
        <f t="shared" si="1"/>
        <v>0.04</v>
      </c>
      <c r="I12" s="15">
        <f t="shared" si="2"/>
        <v>0</v>
      </c>
      <c r="J12" s="15">
        <f>ROUND(G12/234-1,2)</f>
        <v>0.5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4100</v>
      </c>
      <c r="F13" s="10"/>
      <c r="G13" s="10">
        <f t="shared" si="0"/>
        <v>4100</v>
      </c>
      <c r="H13" s="16">
        <f t="shared" si="1"/>
        <v>0.46</v>
      </c>
      <c r="I13" s="15">
        <f t="shared" si="2"/>
        <v>6.0000000000000001E-3</v>
      </c>
      <c r="J13" s="15">
        <f>ROUND(G13/2040-1,2)</f>
        <v>1.01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53160</v>
      </c>
      <c r="F14" s="10"/>
      <c r="G14" s="10">
        <f t="shared" si="0"/>
        <v>53160</v>
      </c>
      <c r="H14" s="16">
        <f t="shared" si="1"/>
        <v>6.01</v>
      </c>
      <c r="I14" s="15">
        <f t="shared" si="2"/>
        <v>7.1999999999999995E-2</v>
      </c>
      <c r="J14" s="15">
        <f>ROUND(G14/50580-1,2)</f>
        <v>0.05</v>
      </c>
    </row>
    <row r="15" spans="1:10" x14ac:dyDescent="0.25">
      <c r="A15" s="1" t="s">
        <v>16</v>
      </c>
      <c r="B15" s="1" t="s">
        <v>24</v>
      </c>
      <c r="C15" s="10"/>
      <c r="D15" s="10"/>
      <c r="E15" s="10">
        <v>18100</v>
      </c>
      <c r="F15" s="10"/>
      <c r="G15" s="10">
        <f t="shared" si="0"/>
        <v>18100</v>
      </c>
      <c r="H15" s="16">
        <f t="shared" si="1"/>
        <v>2.0499999999999998</v>
      </c>
      <c r="I15" s="15">
        <f t="shared" si="2"/>
        <v>2.4E-2</v>
      </c>
      <c r="J15" s="15">
        <f>ROUND(G15/9710-1,2)</f>
        <v>0.86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8275</v>
      </c>
      <c r="F16" s="10"/>
      <c r="G16" s="10">
        <f t="shared" si="0"/>
        <v>8275</v>
      </c>
      <c r="H16" s="16">
        <f t="shared" si="1"/>
        <v>0.94</v>
      </c>
      <c r="I16" s="15">
        <f t="shared" si="2"/>
        <v>1.0999999999999999E-2</v>
      </c>
      <c r="J16" s="15">
        <f>ROUND(G16/5790-1,2)</f>
        <v>0.43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356</v>
      </c>
      <c r="F17" s="10"/>
      <c r="G17" s="10">
        <f t="shared" si="0"/>
        <v>356</v>
      </c>
      <c r="H17" s="16">
        <f t="shared" si="1"/>
        <v>0.04</v>
      </c>
      <c r="I17" s="15">
        <f t="shared" si="2"/>
        <v>0</v>
      </c>
      <c r="J17" s="15">
        <f>ROUND(G17/184-1,2)</f>
        <v>0.93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131</v>
      </c>
      <c r="F18" s="10"/>
      <c r="G18" s="10">
        <f t="shared" si="0"/>
        <v>131</v>
      </c>
      <c r="H18" s="16">
        <f t="shared" si="1"/>
        <v>0.01</v>
      </c>
      <c r="I18" s="15">
        <f t="shared" si="2"/>
        <v>0</v>
      </c>
      <c r="J18" s="15">
        <f>ROUND(G18/139-1,2)</f>
        <v>-0.06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0.02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5980</v>
      </c>
      <c r="F20" s="10"/>
      <c r="G20" s="10">
        <f t="shared" si="0"/>
        <v>5980</v>
      </c>
      <c r="H20" s="16">
        <f t="shared" si="1"/>
        <v>0.68</v>
      </c>
      <c r="I20" s="15">
        <f t="shared" si="2"/>
        <v>8.0000000000000002E-3</v>
      </c>
      <c r="J20" s="15">
        <f>ROUND(G20/15840-1,2)</f>
        <v>-0.62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2180</v>
      </c>
      <c r="F21" s="10"/>
      <c r="G21" s="10">
        <f t="shared" si="0"/>
        <v>2180</v>
      </c>
      <c r="H21" s="16">
        <f t="shared" si="1"/>
        <v>0.25</v>
      </c>
      <c r="I21" s="15">
        <f t="shared" si="2"/>
        <v>3.0000000000000001E-3</v>
      </c>
      <c r="J21" s="15">
        <f>ROUND(G21/1740-1,2)</f>
        <v>0.25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180</v>
      </c>
      <c r="F22" s="10"/>
      <c r="G22" s="10">
        <f t="shared" si="0"/>
        <v>180</v>
      </c>
      <c r="H22" s="16">
        <f t="shared" si="1"/>
        <v>0.02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32</v>
      </c>
      <c r="C23" s="10"/>
      <c r="D23" s="10"/>
      <c r="E23" s="10">
        <v>3189</v>
      </c>
      <c r="F23" s="10"/>
      <c r="G23" s="10">
        <f t="shared" si="0"/>
        <v>3189</v>
      </c>
      <c r="H23" s="16">
        <f t="shared" si="1"/>
        <v>0.36</v>
      </c>
      <c r="I23" s="15">
        <f t="shared" si="2"/>
        <v>4.0000000000000001E-3</v>
      </c>
      <c r="J23" s="15">
        <f>ROUND(G23/2575-1,2)</f>
        <v>0.24</v>
      </c>
    </row>
    <row r="24" spans="1:10" x14ac:dyDescent="0.25">
      <c r="A24" s="1" t="s">
        <v>16</v>
      </c>
      <c r="B24" s="1" t="s">
        <v>33</v>
      </c>
      <c r="C24" s="10"/>
      <c r="D24" s="10">
        <v>74</v>
      </c>
      <c r="E24" s="10">
        <v>54</v>
      </c>
      <c r="F24" s="10"/>
      <c r="G24" s="10">
        <f t="shared" si="0"/>
        <v>128</v>
      </c>
      <c r="H24" s="16">
        <f t="shared" si="1"/>
        <v>0.01</v>
      </c>
      <c r="I24" s="15">
        <f t="shared" si="2"/>
        <v>0</v>
      </c>
      <c r="J24" s="15">
        <f>ROUND(G24/147-1,2)</f>
        <v>-0.13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1125</v>
      </c>
      <c r="F25" s="10"/>
      <c r="G25" s="10">
        <f t="shared" si="0"/>
        <v>1125</v>
      </c>
      <c r="H25" s="16">
        <f t="shared" si="1"/>
        <v>0.13</v>
      </c>
      <c r="I25" s="15">
        <f t="shared" si="2"/>
        <v>2E-3</v>
      </c>
      <c r="J25" s="15">
        <f>ROUND(G25/504-1,2)</f>
        <v>1.23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1860</v>
      </c>
      <c r="F26" s="10"/>
      <c r="G26" s="10">
        <f t="shared" si="0"/>
        <v>1860</v>
      </c>
      <c r="H26" s="16">
        <f t="shared" si="1"/>
        <v>0.21</v>
      </c>
      <c r="I26" s="15">
        <f t="shared" si="2"/>
        <v>3.0000000000000001E-3</v>
      </c>
      <c r="J26" s="15">
        <f>ROUND(G26/4222-1,2)</f>
        <v>-0.56000000000000005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11790</v>
      </c>
      <c r="F27" s="10"/>
      <c r="G27" s="10">
        <f t="shared" si="0"/>
        <v>11790</v>
      </c>
      <c r="H27" s="16">
        <f t="shared" si="1"/>
        <v>1.33</v>
      </c>
      <c r="I27" s="15">
        <f t="shared" si="2"/>
        <v>1.6E-2</v>
      </c>
      <c r="J27" s="15">
        <f>ROUND(G27/17010-1,2)</f>
        <v>-0.31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153260</v>
      </c>
      <c r="F28" s="10"/>
      <c r="G28" s="10">
        <f t="shared" si="0"/>
        <v>153260</v>
      </c>
      <c r="H28" s="16">
        <f t="shared" si="1"/>
        <v>17.329999999999998</v>
      </c>
      <c r="I28" s="15">
        <f t="shared" si="2"/>
        <v>0.20599999999999999</v>
      </c>
      <c r="J28" s="15">
        <f>ROUND(G28/130165-1,2)</f>
        <v>0.18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7450</v>
      </c>
      <c r="F29" s="10"/>
      <c r="G29" s="10">
        <f t="shared" si="0"/>
        <v>7450</v>
      </c>
      <c r="H29" s="16">
        <f t="shared" si="1"/>
        <v>0.84</v>
      </c>
      <c r="I29" s="15">
        <f t="shared" si="2"/>
        <v>0.01</v>
      </c>
      <c r="J29" s="15">
        <f>ROUND(G29/4900-1,2)</f>
        <v>0.52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32980</v>
      </c>
      <c r="F30" s="10"/>
      <c r="G30" s="10">
        <f t="shared" si="0"/>
        <v>32980</v>
      </c>
      <c r="H30" s="16">
        <f t="shared" si="1"/>
        <v>3.73</v>
      </c>
      <c r="I30" s="15">
        <f t="shared" si="2"/>
        <v>4.3999999999999997E-2</v>
      </c>
      <c r="J30" s="15">
        <f>ROUND(G30/28560-1,2)</f>
        <v>0.15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363690</v>
      </c>
      <c r="F31" s="10"/>
      <c r="G31" s="10">
        <f t="shared" si="0"/>
        <v>363690</v>
      </c>
      <c r="H31" s="16">
        <f t="shared" si="1"/>
        <v>41.13</v>
      </c>
      <c r="I31" s="15">
        <f t="shared" si="2"/>
        <v>0.49</v>
      </c>
      <c r="J31" s="15">
        <f>ROUND(G31/295710-1,2)</f>
        <v>0.23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ROUND(G32/3630-1,2)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ROUND(G33/13060-1,2)</f>
        <v>-1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72070</v>
      </c>
      <c r="F34" s="10"/>
      <c r="G34" s="10">
        <f t="shared" si="0"/>
        <v>72070</v>
      </c>
      <c r="H34" s="16">
        <f t="shared" si="1"/>
        <v>8.15</v>
      </c>
      <c r="I34" s="15">
        <f t="shared" si="2"/>
        <v>9.7000000000000003E-2</v>
      </c>
      <c r="J34" s="15">
        <f>ROUND(G34/60260-1,2)</f>
        <v>0.2</v>
      </c>
    </row>
    <row r="35" spans="1:10" x14ac:dyDescent="0.25">
      <c r="A35" s="1" t="s">
        <v>48</v>
      </c>
      <c r="B35" s="1" t="s">
        <v>51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23" t="s">
        <v>12</v>
      </c>
      <c r="B36" s="23"/>
      <c r="C36" s="11">
        <f t="shared" ref="C36:H36" si="3">SUM(C8:C35)</f>
        <v>0</v>
      </c>
      <c r="D36" s="11">
        <f t="shared" si="3"/>
        <v>74</v>
      </c>
      <c r="E36" s="11">
        <f t="shared" si="3"/>
        <v>742337</v>
      </c>
      <c r="F36" s="11">
        <f t="shared" si="3"/>
        <v>0</v>
      </c>
      <c r="G36" s="11">
        <f t="shared" si="3"/>
        <v>742411</v>
      </c>
      <c r="H36" s="14">
        <f t="shared" si="3"/>
        <v>83.95</v>
      </c>
      <c r="I36" s="17"/>
      <c r="J36" s="17"/>
    </row>
    <row r="37" spans="1:10" x14ac:dyDescent="0.25">
      <c r="A37" s="23" t="s">
        <v>14</v>
      </c>
      <c r="B37" s="23"/>
      <c r="C37" s="12">
        <f>ROUND(C36/G36,2)</f>
        <v>0</v>
      </c>
      <c r="D37" s="12">
        <f>ROUND(D36/G36,2)</f>
        <v>0</v>
      </c>
      <c r="E37" s="12">
        <f>ROUND(E36/G36,2)</f>
        <v>1</v>
      </c>
      <c r="F37" s="12">
        <f>ROUND(F36/G36,2)</f>
        <v>0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23" t="s">
        <v>53</v>
      </c>
      <c r="B42" s="23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2" t="s">
        <v>54</v>
      </c>
      <c r="B43" s="22"/>
      <c r="C43" s="10">
        <v>0</v>
      </c>
      <c r="D43" s="10">
        <v>74</v>
      </c>
      <c r="E43" s="10">
        <v>670267</v>
      </c>
      <c r="F43" s="10">
        <v>0</v>
      </c>
      <c r="G43" s="10">
        <f>SUM(C43:F43)</f>
        <v>670341</v>
      </c>
      <c r="H43" s="16">
        <f>ROUND(G43/8842,2)</f>
        <v>75.81</v>
      </c>
      <c r="I43" s="9"/>
      <c r="J43" s="9"/>
    </row>
    <row r="44" spans="1:10" x14ac:dyDescent="0.25">
      <c r="A44" s="22" t="s">
        <v>55</v>
      </c>
      <c r="B44" s="22"/>
      <c r="C44" s="10">
        <v>0</v>
      </c>
      <c r="D44" s="10">
        <v>0</v>
      </c>
      <c r="E44" s="10">
        <v>72070</v>
      </c>
      <c r="F44" s="10">
        <v>0</v>
      </c>
      <c r="G44" s="10">
        <f>SUM(C44:F44)</f>
        <v>72070</v>
      </c>
      <c r="H44" s="16">
        <f>ROUND(G44/8842,2)</f>
        <v>8.15</v>
      </c>
      <c r="I44" s="9"/>
      <c r="J44" s="9"/>
    </row>
    <row r="45" spans="1:10" x14ac:dyDescent="0.25">
      <c r="A45" s="22" t="s">
        <v>56</v>
      </c>
      <c r="B45" s="22"/>
      <c r="C45" s="10">
        <v>0</v>
      </c>
      <c r="D45" s="10">
        <v>0</v>
      </c>
      <c r="E45" s="10">
        <v>0</v>
      </c>
      <c r="F45" s="10">
        <v>0</v>
      </c>
      <c r="G45" s="10">
        <f>SUM(C45:F45)</f>
        <v>0</v>
      </c>
      <c r="H45" s="16">
        <f>ROUND(G45/8842,2)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57</v>
      </c>
      <c r="B50" s="23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2" t="s">
        <v>58</v>
      </c>
      <c r="B51" s="22"/>
      <c r="C51" s="15">
        <f>ROUND(0.9923, 4)</f>
        <v>0.99229999999999996</v>
      </c>
      <c r="D51" s="15">
        <f>ROUND(0.989, 4)</f>
        <v>0.98899999999999999</v>
      </c>
      <c r="E51" s="15">
        <f>ROUND(0.777, 4)</f>
        <v>0.77700000000000002</v>
      </c>
      <c r="F51" s="8"/>
      <c r="G51" s="14" t="s">
        <v>62</v>
      </c>
      <c r="H51" s="26" t="s">
        <v>63</v>
      </c>
      <c r="I51" s="24" t="s">
        <v>64</v>
      </c>
      <c r="J51" s="24" t="s">
        <v>65</v>
      </c>
    </row>
    <row r="52" spans="1:10" x14ac:dyDescent="0.25">
      <c r="A52" s="22" t="s">
        <v>66</v>
      </c>
      <c r="B52" s="22"/>
      <c r="C52" s="15">
        <f>ROUND(0.9915, 4)</f>
        <v>0.99150000000000005</v>
      </c>
      <c r="D52" s="15">
        <f>ROUND(0.9878, 4)</f>
        <v>0.98780000000000001</v>
      </c>
      <c r="E52" s="15">
        <f>ROUND(0.7608, 4)</f>
        <v>0.76080000000000003</v>
      </c>
      <c r="F52" s="8"/>
      <c r="G52" s="14" t="s">
        <v>67</v>
      </c>
      <c r="H52" s="27"/>
      <c r="I52" s="25"/>
      <c r="J52" s="25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68</v>
      </c>
      <c r="B56" s="23"/>
      <c r="C56" s="14" t="s">
        <v>2</v>
      </c>
      <c r="D56" s="14" t="s">
        <v>327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2" t="s">
        <v>73</v>
      </c>
      <c r="B57" s="22"/>
      <c r="C57" s="16"/>
      <c r="D57" s="16"/>
      <c r="E57" s="16">
        <v>89.58</v>
      </c>
      <c r="F57" s="16">
        <v>53.73</v>
      </c>
      <c r="G57" s="16">
        <f>12/9*C57</f>
        <v>0</v>
      </c>
      <c r="H57" s="8"/>
      <c r="I57" s="9"/>
      <c r="J57" s="9"/>
    </row>
    <row r="58" spans="1:10" x14ac:dyDescent="0.25">
      <c r="A58" s="22" t="s">
        <v>74</v>
      </c>
      <c r="B58" s="22"/>
      <c r="C58" s="16"/>
      <c r="D58" s="16"/>
      <c r="E58" s="16">
        <v>60.32</v>
      </c>
      <c r="F58" s="16">
        <v>61.62</v>
      </c>
      <c r="G58" s="16">
        <f>12/9*C58</f>
        <v>0</v>
      </c>
      <c r="H58" s="8"/>
      <c r="I58" s="9"/>
      <c r="J58" s="9"/>
    </row>
    <row r="59" spans="1:10" x14ac:dyDescent="0.25">
      <c r="A59" s="22" t="s">
        <v>75</v>
      </c>
      <c r="B59" s="22"/>
      <c r="C59" s="16">
        <v>75.81</v>
      </c>
      <c r="D59" s="16">
        <v>88.91</v>
      </c>
      <c r="E59" s="16">
        <v>282.8</v>
      </c>
      <c r="F59" s="16">
        <v>273.33</v>
      </c>
      <c r="G59" s="16">
        <f>12/9*C59</f>
        <v>101.08</v>
      </c>
      <c r="H59" s="8"/>
      <c r="I59" s="9"/>
      <c r="J59" s="9"/>
    </row>
    <row r="60" spans="1:10" x14ac:dyDescent="0.25">
      <c r="A60" s="22" t="s">
        <v>76</v>
      </c>
      <c r="B60" s="22"/>
      <c r="C60" s="16">
        <v>8.15</v>
      </c>
      <c r="D60" s="16">
        <v>9.34</v>
      </c>
      <c r="E60" s="16">
        <v>112.72</v>
      </c>
      <c r="F60" s="16">
        <v>76.52</v>
      </c>
      <c r="G60" s="16">
        <f>12/9*C60</f>
        <v>10.866666666666667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1" t="s">
        <v>60</v>
      </c>
      <c r="B63" s="28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328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58:B58"/>
    <mergeCell ref="A59:B59"/>
    <mergeCell ref="A60:B60"/>
    <mergeCell ref="A63:B63"/>
    <mergeCell ref="I51:I52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C7:G7"/>
    <mergeCell ref="A36:B36"/>
    <mergeCell ref="A37:B37"/>
    <mergeCell ref="A42:B42"/>
    <mergeCell ref="A43:B4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Foglio74"/>
  <dimension ref="A2:J7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4.71093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329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9781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332</v>
      </c>
      <c r="F9" s="10"/>
      <c r="G9" s="10">
        <f t="shared" ref="G9:G47" si="0">SUM(C9:F9)</f>
        <v>332</v>
      </c>
      <c r="H9" s="16">
        <f t="shared" ref="H9:H47" si="1">ROUND(G9/9781,2)</f>
        <v>0.03</v>
      </c>
      <c r="I9" s="15">
        <f t="shared" ref="I9:I47" si="2">ROUND(G9/$G$48,3)</f>
        <v>0</v>
      </c>
      <c r="J9" s="15">
        <f>ROUND(G9/833-1,2)</f>
        <v>-0.6</v>
      </c>
    </row>
    <row r="10" spans="1:10" x14ac:dyDescent="0.25">
      <c r="A10" s="1" t="s">
        <v>16</v>
      </c>
      <c r="B10" s="1" t="s">
        <v>18</v>
      </c>
      <c r="C10" s="10"/>
      <c r="D10" s="10"/>
      <c r="E10" s="10">
        <v>31114</v>
      </c>
      <c r="F10" s="10">
        <v>4880</v>
      </c>
      <c r="G10" s="10">
        <f t="shared" si="0"/>
        <v>35994</v>
      </c>
      <c r="H10" s="16">
        <f t="shared" si="1"/>
        <v>3.68</v>
      </c>
      <c r="I10" s="15">
        <f t="shared" si="2"/>
        <v>8.9999999999999993E-3</v>
      </c>
      <c r="J10" s="15">
        <f>ROUND(G10/45620-1,2)</f>
        <v>-0.21</v>
      </c>
    </row>
    <row r="11" spans="1:10" x14ac:dyDescent="0.25">
      <c r="A11" s="1" t="s">
        <v>16</v>
      </c>
      <c r="B11" s="1" t="s">
        <v>19</v>
      </c>
      <c r="C11" s="10">
        <v>248930</v>
      </c>
      <c r="D11" s="10"/>
      <c r="E11" s="10">
        <v>54300</v>
      </c>
      <c r="F11" s="10">
        <v>9310</v>
      </c>
      <c r="G11" s="10">
        <f t="shared" si="0"/>
        <v>312540</v>
      </c>
      <c r="H11" s="16">
        <f t="shared" si="1"/>
        <v>31.95</v>
      </c>
      <c r="I11" s="15">
        <f t="shared" si="2"/>
        <v>8.2000000000000003E-2</v>
      </c>
      <c r="J11" s="15">
        <f>ROUND(G11/332490.96-1,2)</f>
        <v>-0.06</v>
      </c>
    </row>
    <row r="12" spans="1:10" x14ac:dyDescent="0.25">
      <c r="A12" s="1" t="s">
        <v>16</v>
      </c>
      <c r="B12" s="1" t="s">
        <v>20</v>
      </c>
      <c r="C12" s="10">
        <v>325995</v>
      </c>
      <c r="D12" s="10"/>
      <c r="E12" s="10"/>
      <c r="F12" s="10"/>
      <c r="G12" s="10">
        <f t="shared" si="0"/>
        <v>325995</v>
      </c>
      <c r="H12" s="16">
        <f t="shared" si="1"/>
        <v>33.33</v>
      </c>
      <c r="I12" s="15">
        <f t="shared" si="2"/>
        <v>8.5999999999999993E-2</v>
      </c>
      <c r="J12" s="15">
        <f>ROUND(G12/336405.12-1,2)</f>
        <v>-0.03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941</v>
      </c>
      <c r="F13" s="10"/>
      <c r="G13" s="10">
        <f t="shared" si="0"/>
        <v>941</v>
      </c>
      <c r="H13" s="16">
        <f t="shared" si="1"/>
        <v>0.1</v>
      </c>
      <c r="I13" s="15">
        <f t="shared" si="2"/>
        <v>0</v>
      </c>
      <c r="J13" s="15">
        <f>ROUND(G13/708.66-1,2)</f>
        <v>0.33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5981</v>
      </c>
      <c r="F14" s="10"/>
      <c r="G14" s="10">
        <f t="shared" si="0"/>
        <v>5981</v>
      </c>
      <c r="H14" s="16">
        <f t="shared" si="1"/>
        <v>0.61</v>
      </c>
      <c r="I14" s="15">
        <f t="shared" si="2"/>
        <v>2E-3</v>
      </c>
      <c r="J14" s="15">
        <f>ROUND(G14/4318.75-1,2)</f>
        <v>0.38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192</v>
      </c>
      <c r="G15" s="10">
        <f t="shared" si="0"/>
        <v>192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240011</v>
      </c>
      <c r="F16" s="10"/>
      <c r="G16" s="10">
        <f t="shared" si="0"/>
        <v>240011</v>
      </c>
      <c r="H16" s="16">
        <f t="shared" si="1"/>
        <v>24.54</v>
      </c>
      <c r="I16" s="15">
        <f t="shared" si="2"/>
        <v>6.3E-2</v>
      </c>
      <c r="J16" s="15">
        <f>ROUND(G16/290753.98-1,2)</f>
        <v>-0.17</v>
      </c>
    </row>
    <row r="17" spans="1:10" x14ac:dyDescent="0.25">
      <c r="A17" s="1" t="s">
        <v>16</v>
      </c>
      <c r="B17" s="1" t="s">
        <v>24</v>
      </c>
      <c r="C17" s="10">
        <v>356940</v>
      </c>
      <c r="D17" s="10"/>
      <c r="E17" s="10">
        <v>128612</v>
      </c>
      <c r="F17" s="10">
        <v>5050</v>
      </c>
      <c r="G17" s="10">
        <f t="shared" si="0"/>
        <v>490602</v>
      </c>
      <c r="H17" s="16">
        <f t="shared" si="1"/>
        <v>50.16</v>
      </c>
      <c r="I17" s="15">
        <f t="shared" si="2"/>
        <v>0.129</v>
      </c>
      <c r="J17" s="15">
        <f>ROUND(G17/530018.86-1,2)</f>
        <v>-7.0000000000000007E-2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14497</v>
      </c>
      <c r="F18" s="10"/>
      <c r="G18" s="10">
        <f t="shared" si="0"/>
        <v>14497</v>
      </c>
      <c r="H18" s="16">
        <f t="shared" si="1"/>
        <v>1.48</v>
      </c>
      <c r="I18" s="15">
        <f t="shared" si="2"/>
        <v>4.0000000000000001E-3</v>
      </c>
      <c r="J18" s="15">
        <f>ROUND(G18/14670-1,2)</f>
        <v>-0.01</v>
      </c>
    </row>
    <row r="19" spans="1:10" x14ac:dyDescent="0.25">
      <c r="A19" s="1" t="s">
        <v>16</v>
      </c>
      <c r="B19" s="1" t="s">
        <v>26</v>
      </c>
      <c r="C19" s="10">
        <v>526580</v>
      </c>
      <c r="D19" s="10"/>
      <c r="E19" s="10"/>
      <c r="F19" s="10">
        <v>1530</v>
      </c>
      <c r="G19" s="10">
        <f t="shared" si="0"/>
        <v>528110</v>
      </c>
      <c r="H19" s="16">
        <f t="shared" si="1"/>
        <v>53.99</v>
      </c>
      <c r="I19" s="15">
        <f t="shared" si="2"/>
        <v>0.13900000000000001</v>
      </c>
      <c r="J19" s="15">
        <f>ROUND(G19/483850-1,2)</f>
        <v>0.09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1784</v>
      </c>
      <c r="F20" s="10"/>
      <c r="G20" s="10">
        <f t="shared" si="0"/>
        <v>1784</v>
      </c>
      <c r="H20" s="16">
        <f t="shared" si="1"/>
        <v>0.18</v>
      </c>
      <c r="I20" s="15">
        <f t="shared" si="2"/>
        <v>0</v>
      </c>
      <c r="J20" s="15">
        <f>ROUND(G20/3249-1,2)</f>
        <v>-0.45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881</v>
      </c>
      <c r="F21" s="10"/>
      <c r="G21" s="10">
        <f t="shared" si="0"/>
        <v>881</v>
      </c>
      <c r="H21" s="16">
        <f t="shared" si="1"/>
        <v>0.09</v>
      </c>
      <c r="I21" s="15">
        <f t="shared" si="2"/>
        <v>0</v>
      </c>
      <c r="J21" s="15">
        <f>ROUND(G21/1547-1,2)</f>
        <v>-0.43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4974</v>
      </c>
      <c r="F22" s="10"/>
      <c r="G22" s="10">
        <f t="shared" si="0"/>
        <v>4974</v>
      </c>
      <c r="H22" s="16">
        <f t="shared" si="1"/>
        <v>0.51</v>
      </c>
      <c r="I22" s="15">
        <f t="shared" si="2"/>
        <v>1E-3</v>
      </c>
      <c r="J22" s="15">
        <f>ROUND(G22/16874.64-1,2)</f>
        <v>-0.71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3525</v>
      </c>
      <c r="F23" s="10"/>
      <c r="G23" s="10">
        <f t="shared" si="0"/>
        <v>3525</v>
      </c>
      <c r="H23" s="16">
        <f t="shared" si="1"/>
        <v>0.36</v>
      </c>
      <c r="I23" s="15">
        <f t="shared" si="2"/>
        <v>1E-3</v>
      </c>
      <c r="J23" s="15">
        <f>ROUND(G23/4475.86-1,2)</f>
        <v>-0.21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1157</v>
      </c>
      <c r="F24" s="10"/>
      <c r="G24" s="10">
        <f t="shared" si="0"/>
        <v>1157</v>
      </c>
      <c r="H24" s="16">
        <f t="shared" si="1"/>
        <v>0.12</v>
      </c>
      <c r="I24" s="15">
        <f t="shared" si="2"/>
        <v>0</v>
      </c>
      <c r="J24" s="15">
        <f>ROUND(G24/914.62-1,2)</f>
        <v>0.27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4010</v>
      </c>
      <c r="F25" s="10"/>
      <c r="G25" s="10">
        <f t="shared" si="0"/>
        <v>4010</v>
      </c>
      <c r="H25" s="16">
        <f t="shared" si="1"/>
        <v>0.41</v>
      </c>
      <c r="I25" s="15">
        <f t="shared" si="2"/>
        <v>1E-3</v>
      </c>
      <c r="J25" s="15">
        <f>ROUND(G25/3570.57-1,2)</f>
        <v>0.12</v>
      </c>
    </row>
    <row r="26" spans="1:10" x14ac:dyDescent="0.25">
      <c r="A26" s="1" t="s">
        <v>16</v>
      </c>
      <c r="B26" s="1" t="s">
        <v>33</v>
      </c>
      <c r="C26" s="10"/>
      <c r="D26" s="10">
        <v>590</v>
      </c>
      <c r="E26" s="10">
        <v>1380</v>
      </c>
      <c r="F26" s="10"/>
      <c r="G26" s="10">
        <f t="shared" si="0"/>
        <v>1970</v>
      </c>
      <c r="H26" s="16">
        <f t="shared" si="1"/>
        <v>0.2</v>
      </c>
      <c r="I26" s="15">
        <f t="shared" si="2"/>
        <v>1E-3</v>
      </c>
      <c r="J26" s="15">
        <f>ROUND(G26/1895-1,2)</f>
        <v>0.04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4203</v>
      </c>
      <c r="F27" s="10"/>
      <c r="G27" s="10">
        <f t="shared" si="0"/>
        <v>4203</v>
      </c>
      <c r="H27" s="16">
        <f t="shared" si="1"/>
        <v>0.43</v>
      </c>
      <c r="I27" s="15">
        <f t="shared" si="2"/>
        <v>1E-3</v>
      </c>
      <c r="J27" s="15">
        <f>ROUND(G27/6680-1,2)</f>
        <v>-0.37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1948</v>
      </c>
      <c r="F28" s="10"/>
      <c r="G28" s="10">
        <f t="shared" si="0"/>
        <v>1948</v>
      </c>
      <c r="H28" s="16">
        <f t="shared" si="1"/>
        <v>0.2</v>
      </c>
      <c r="I28" s="15">
        <f t="shared" si="2"/>
        <v>1E-3</v>
      </c>
      <c r="J28" s="15">
        <f>ROUND(G28/1984.84-1,2)</f>
        <v>-0.02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1093</v>
      </c>
      <c r="F29" s="10"/>
      <c r="G29" s="10">
        <f t="shared" si="0"/>
        <v>1093</v>
      </c>
      <c r="H29" s="16">
        <f t="shared" si="1"/>
        <v>0.11</v>
      </c>
      <c r="I29" s="15">
        <f t="shared" si="2"/>
        <v>0</v>
      </c>
      <c r="J29" s="15">
        <f>ROUND(G29/10963.86-1,2)</f>
        <v>-0.9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277497</v>
      </c>
      <c r="F30" s="10"/>
      <c r="G30" s="10">
        <f t="shared" si="0"/>
        <v>277497</v>
      </c>
      <c r="H30" s="16">
        <f t="shared" si="1"/>
        <v>28.37</v>
      </c>
      <c r="I30" s="15">
        <f t="shared" si="2"/>
        <v>7.2999999999999995E-2</v>
      </c>
      <c r="J30" s="15">
        <f>ROUND(G30/318815.97-1,2)</f>
        <v>-0.13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23074</v>
      </c>
      <c r="F31" s="10"/>
      <c r="G31" s="10">
        <f t="shared" si="0"/>
        <v>23074</v>
      </c>
      <c r="H31" s="16">
        <f t="shared" si="1"/>
        <v>2.36</v>
      </c>
      <c r="I31" s="15">
        <f t="shared" si="2"/>
        <v>6.0000000000000001E-3</v>
      </c>
      <c r="J31" s="15">
        <f>ROUND(G31/23984.81-1,2)</f>
        <v>-0.04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87319</v>
      </c>
      <c r="F32" s="10"/>
      <c r="G32" s="10">
        <f t="shared" si="0"/>
        <v>87319</v>
      </c>
      <c r="H32" s="16">
        <f t="shared" si="1"/>
        <v>8.93</v>
      </c>
      <c r="I32" s="15">
        <f t="shared" si="2"/>
        <v>2.3E-2</v>
      </c>
      <c r="J32" s="15">
        <f>ROUND(G32/92451.93-1,2)</f>
        <v>-0.06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179441</v>
      </c>
      <c r="F33" s="10"/>
      <c r="G33" s="10">
        <f t="shared" si="0"/>
        <v>179441</v>
      </c>
      <c r="H33" s="16">
        <f t="shared" si="1"/>
        <v>18.350000000000001</v>
      </c>
      <c r="I33" s="15">
        <f t="shared" si="2"/>
        <v>4.7E-2</v>
      </c>
      <c r="J33" s="15">
        <f>ROUND(G33/211998.72-1,2)</f>
        <v>-0.15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ROUND(G34/824.39-1,2)</f>
        <v>-1</v>
      </c>
    </row>
    <row r="35" spans="1:10" x14ac:dyDescent="0.25">
      <c r="A35" s="1" t="s">
        <v>16</v>
      </c>
      <c r="B35" s="1" t="s">
        <v>37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ROUND(G35/22896.78-1,2)</f>
        <v>-1</v>
      </c>
    </row>
    <row r="36" spans="1:10" x14ac:dyDescent="0.25">
      <c r="A36" s="1" t="s">
        <v>16</v>
      </c>
      <c r="B36" s="1" t="s">
        <v>43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ROUND(G36/36150-1,2)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129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ROUND(G39/163-1,2)</f>
        <v>-1</v>
      </c>
    </row>
    <row r="40" spans="1:10" x14ac:dyDescent="0.25">
      <c r="A40" s="1" t="s">
        <v>16</v>
      </c>
      <c r="B40" s="1" t="s">
        <v>116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989150</v>
      </c>
      <c r="D41" s="10"/>
      <c r="E41" s="10"/>
      <c r="F41" s="10">
        <v>3120</v>
      </c>
      <c r="G41" s="10">
        <f t="shared" si="0"/>
        <v>992270</v>
      </c>
      <c r="H41" s="16">
        <f t="shared" si="1"/>
        <v>101.45</v>
      </c>
      <c r="I41" s="15">
        <f t="shared" si="2"/>
        <v>0.26100000000000001</v>
      </c>
      <c r="J41" s="15">
        <f>ROUND(G41/910570-1,2)</f>
        <v>0.09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58025</v>
      </c>
      <c r="G42" s="10">
        <f t="shared" si="0"/>
        <v>58025</v>
      </c>
      <c r="H42" s="16">
        <f t="shared" si="1"/>
        <v>5.93</v>
      </c>
      <c r="I42" s="15">
        <f t="shared" si="2"/>
        <v>1.4999999999999999E-2</v>
      </c>
      <c r="J42" s="15">
        <f>ROUND(G42/80375-1,2)</f>
        <v>-0.28000000000000003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199378</v>
      </c>
      <c r="F43" s="10"/>
      <c r="G43" s="10">
        <f t="shared" si="0"/>
        <v>199378</v>
      </c>
      <c r="H43" s="16">
        <f t="shared" si="1"/>
        <v>20.38</v>
      </c>
      <c r="I43" s="15">
        <f t="shared" si="2"/>
        <v>5.1999999999999998E-2</v>
      </c>
      <c r="J43" s="15">
        <f>ROUND(G43/238892.56-1,2)</f>
        <v>-0.17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ROUND(G44/13-1,2)</f>
        <v>-1</v>
      </c>
    </row>
    <row r="45" spans="1:10" x14ac:dyDescent="0.25">
      <c r="A45" s="1" t="s">
        <v>48</v>
      </c>
      <c r="B45" s="1" t="s">
        <v>86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ROUND(G45/300-1,2)</f>
        <v>-1</v>
      </c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ROUND(G46/280-1,2)</f>
        <v>-1</v>
      </c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23" t="s">
        <v>12</v>
      </c>
      <c r="B48" s="23"/>
      <c r="C48" s="11">
        <f t="shared" ref="C48:H48" si="3">SUM(C8:C47)</f>
        <v>2447595</v>
      </c>
      <c r="D48" s="11">
        <f t="shared" si="3"/>
        <v>590</v>
      </c>
      <c r="E48" s="11">
        <f t="shared" si="3"/>
        <v>1267452</v>
      </c>
      <c r="F48" s="11">
        <f t="shared" si="3"/>
        <v>82107</v>
      </c>
      <c r="G48" s="11">
        <f t="shared" si="3"/>
        <v>3797744</v>
      </c>
      <c r="H48" s="14">
        <f t="shared" si="3"/>
        <v>388.27000000000004</v>
      </c>
      <c r="I48" s="17"/>
      <c r="J48" s="17"/>
    </row>
    <row r="49" spans="1:10" x14ac:dyDescent="0.25">
      <c r="A49" s="23" t="s">
        <v>14</v>
      </c>
      <c r="B49" s="23"/>
      <c r="C49" s="12">
        <f>ROUND(C48/G48,2)</f>
        <v>0.64</v>
      </c>
      <c r="D49" s="12">
        <f>ROUND(D48/G48,2)</f>
        <v>0</v>
      </c>
      <c r="E49" s="12">
        <f>ROUND(E48/G48,2)</f>
        <v>0.33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53</v>
      </c>
      <c r="B54" s="23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1458445</v>
      </c>
      <c r="D55" s="10">
        <v>590</v>
      </c>
      <c r="E55" s="10">
        <v>1068074</v>
      </c>
      <c r="F55" s="10">
        <v>20962</v>
      </c>
      <c r="G55" s="10">
        <f>SUM(C55:F55)</f>
        <v>2548071</v>
      </c>
      <c r="H55" s="16">
        <f>ROUND(G55/9781,2)</f>
        <v>260.51</v>
      </c>
      <c r="I55" s="9"/>
      <c r="J55" s="9"/>
    </row>
    <row r="56" spans="1:10" x14ac:dyDescent="0.25">
      <c r="A56" s="22" t="s">
        <v>55</v>
      </c>
      <c r="B56" s="22"/>
      <c r="C56" s="10">
        <v>989150</v>
      </c>
      <c r="D56" s="10">
        <v>0</v>
      </c>
      <c r="E56" s="10">
        <v>199378</v>
      </c>
      <c r="F56" s="10">
        <v>61145</v>
      </c>
      <c r="G56" s="10">
        <f>SUM(C56:F56)</f>
        <v>1249673</v>
      </c>
      <c r="H56" s="16">
        <f>ROUND(G56/9781,2)</f>
        <v>127.77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ROUND(G57/9781,2)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57</v>
      </c>
      <c r="B62" s="23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ROUND(0.7122, 4)</f>
        <v>0.71220000000000006</v>
      </c>
      <c r="D63" s="15">
        <f>ROUND(0.7412, 4)</f>
        <v>0.74119999999999997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4" t="s">
        <v>64</v>
      </c>
      <c r="J63" s="24" t="s">
        <v>65</v>
      </c>
    </row>
    <row r="64" spans="1:10" x14ac:dyDescent="0.25">
      <c r="A64" s="22" t="s">
        <v>66</v>
      </c>
      <c r="B64" s="22"/>
      <c r="C64" s="15">
        <f>ROUND(0.6795, 4)</f>
        <v>0.67949999999999999</v>
      </c>
      <c r="D64" s="15">
        <f>ROUND(0.7088, 4)</f>
        <v>0.70879999999999999</v>
      </c>
      <c r="E64" s="15">
        <f>ROUND(0.7608, 4)</f>
        <v>0.76080000000000003</v>
      </c>
      <c r="F64" s="8"/>
      <c r="G64" s="14" t="s">
        <v>67</v>
      </c>
      <c r="H64" s="27"/>
      <c r="I64" s="25"/>
      <c r="J64" s="25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68</v>
      </c>
      <c r="B68" s="23"/>
      <c r="C68" s="14" t="s">
        <v>2</v>
      </c>
      <c r="D68" s="14" t="s">
        <v>330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101.45</v>
      </c>
      <c r="D69" s="16">
        <v>118.97</v>
      </c>
      <c r="E69" s="16">
        <v>89.58</v>
      </c>
      <c r="F69" s="16">
        <v>53.73</v>
      </c>
      <c r="G69" s="16">
        <f>12/9*C69</f>
        <v>135.26666666666665</v>
      </c>
      <c r="H69" s="8"/>
      <c r="I69" s="9"/>
      <c r="J69" s="9"/>
    </row>
    <row r="70" spans="1:10" x14ac:dyDescent="0.25">
      <c r="A70" s="22" t="s">
        <v>74</v>
      </c>
      <c r="B70" s="22"/>
      <c r="C70" s="16">
        <v>53.99</v>
      </c>
      <c r="D70" s="16">
        <v>72.56</v>
      </c>
      <c r="E70" s="16">
        <v>60.32</v>
      </c>
      <c r="F70" s="16">
        <v>61.62</v>
      </c>
      <c r="G70" s="16">
        <f>12/9*C70</f>
        <v>71.986666666666665</v>
      </c>
      <c r="H70" s="8"/>
      <c r="I70" s="9"/>
      <c r="J70" s="9"/>
    </row>
    <row r="71" spans="1:10" x14ac:dyDescent="0.25">
      <c r="A71" s="22" t="s">
        <v>75</v>
      </c>
      <c r="B71" s="22"/>
      <c r="C71" s="16">
        <v>260.51</v>
      </c>
      <c r="D71" s="16">
        <v>353.46</v>
      </c>
      <c r="E71" s="16">
        <v>282.8</v>
      </c>
      <c r="F71" s="16">
        <v>273.33</v>
      </c>
      <c r="G71" s="16">
        <f>12/9*C71</f>
        <v>347.34666666666664</v>
      </c>
      <c r="H71" s="8"/>
      <c r="I71" s="9"/>
      <c r="J71" s="9"/>
    </row>
    <row r="72" spans="1:10" x14ac:dyDescent="0.25">
      <c r="A72" s="22" t="s">
        <v>76</v>
      </c>
      <c r="B72" s="22"/>
      <c r="C72" s="16">
        <v>127.77</v>
      </c>
      <c r="D72" s="16">
        <v>150.41999999999999</v>
      </c>
      <c r="E72" s="16">
        <v>112.72</v>
      </c>
      <c r="F72" s="16">
        <v>76.52</v>
      </c>
      <c r="G72" s="16">
        <f>12/9*C72</f>
        <v>170.35999999999999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1" t="s">
        <v>60</v>
      </c>
      <c r="B75" s="28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331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Foglio75"/>
  <dimension ref="A2:J76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5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2084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70</v>
      </c>
      <c r="F9" s="10"/>
      <c r="G9" s="10">
        <f t="shared" ref="G9:G44" si="0">SUM(C9:F9)</f>
        <v>70</v>
      </c>
      <c r="H9" s="16">
        <f t="shared" ref="H9:H44" si="1">ROUND(G9/2084,2)</f>
        <v>0.03</v>
      </c>
      <c r="I9" s="15">
        <f t="shared" ref="I9:I44" si="2">ROUND(G9/$G$45,3)</f>
        <v>0</v>
      </c>
      <c r="J9" s="15">
        <f>ROUND(G9/50-1,2)</f>
        <v>0.4</v>
      </c>
    </row>
    <row r="10" spans="1:10" x14ac:dyDescent="0.25">
      <c r="A10" s="1" t="s">
        <v>16</v>
      </c>
      <c r="B10" s="1" t="s">
        <v>19</v>
      </c>
      <c r="C10" s="10">
        <v>51015</v>
      </c>
      <c r="D10" s="10"/>
      <c r="E10" s="10"/>
      <c r="F10" s="10"/>
      <c r="G10" s="10">
        <f t="shared" si="0"/>
        <v>51015</v>
      </c>
      <c r="H10" s="16">
        <f t="shared" si="1"/>
        <v>24.48</v>
      </c>
      <c r="I10" s="15">
        <f t="shared" si="2"/>
        <v>7.0999999999999994E-2</v>
      </c>
      <c r="J10" s="15">
        <f>ROUND(G10/50590-1,2)</f>
        <v>0.01</v>
      </c>
    </row>
    <row r="11" spans="1:10" x14ac:dyDescent="0.25">
      <c r="A11" s="1" t="s">
        <v>16</v>
      </c>
      <c r="B11" s="1" t="s">
        <v>20</v>
      </c>
      <c r="C11" s="10">
        <v>83185</v>
      </c>
      <c r="D11" s="10"/>
      <c r="E11" s="10"/>
      <c r="F11" s="10"/>
      <c r="G11" s="10">
        <f t="shared" si="0"/>
        <v>83185</v>
      </c>
      <c r="H11" s="16">
        <f t="shared" si="1"/>
        <v>39.92</v>
      </c>
      <c r="I11" s="15">
        <f t="shared" si="2"/>
        <v>0.11600000000000001</v>
      </c>
      <c r="J11" s="15">
        <f>ROUND(G11/81000-1,2)</f>
        <v>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93</v>
      </c>
      <c r="F12" s="10"/>
      <c r="G12" s="10">
        <f t="shared" si="0"/>
        <v>93</v>
      </c>
      <c r="H12" s="16">
        <f t="shared" si="1"/>
        <v>0.04</v>
      </c>
      <c r="I12" s="15">
        <f t="shared" si="2"/>
        <v>0</v>
      </c>
      <c r="J12" s="15">
        <f>ROUND(G12/142-1,2)</f>
        <v>-0.35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149</v>
      </c>
      <c r="F13" s="10"/>
      <c r="G13" s="10">
        <f t="shared" si="0"/>
        <v>149</v>
      </c>
      <c r="H13" s="16">
        <f t="shared" si="1"/>
        <v>7.0000000000000007E-2</v>
      </c>
      <c r="I13" s="15">
        <f t="shared" si="2"/>
        <v>0</v>
      </c>
      <c r="J13" s="15">
        <f>ROUND(G13/175-1,2)</f>
        <v>-0.15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2520</v>
      </c>
      <c r="F14" s="10"/>
      <c r="G14" s="10">
        <f t="shared" si="0"/>
        <v>2520</v>
      </c>
      <c r="H14" s="16">
        <f t="shared" si="1"/>
        <v>1.21</v>
      </c>
      <c r="I14" s="15">
        <f t="shared" si="2"/>
        <v>4.0000000000000001E-3</v>
      </c>
      <c r="J14" s="15">
        <f>ROUND(G14/1960-1,2)</f>
        <v>0.28999999999999998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81040</v>
      </c>
      <c r="F15" s="10"/>
      <c r="G15" s="10">
        <f t="shared" si="0"/>
        <v>81040</v>
      </c>
      <c r="H15" s="16">
        <f t="shared" si="1"/>
        <v>38.89</v>
      </c>
      <c r="I15" s="15">
        <f t="shared" si="2"/>
        <v>0.113</v>
      </c>
      <c r="J15" s="15">
        <f>ROUND(G15/85180-1,2)</f>
        <v>-0.05</v>
      </c>
    </row>
    <row r="16" spans="1:10" x14ac:dyDescent="0.25">
      <c r="A16" s="1" t="s">
        <v>16</v>
      </c>
      <c r="B16" s="1" t="s">
        <v>24</v>
      </c>
      <c r="C16" s="10">
        <v>66520</v>
      </c>
      <c r="D16" s="10"/>
      <c r="E16" s="10"/>
      <c r="F16" s="10"/>
      <c r="G16" s="10">
        <f t="shared" si="0"/>
        <v>66520</v>
      </c>
      <c r="H16" s="16">
        <f t="shared" si="1"/>
        <v>31.92</v>
      </c>
      <c r="I16" s="15">
        <f t="shared" si="2"/>
        <v>9.2999999999999999E-2</v>
      </c>
      <c r="J16" s="15">
        <f>ROUND(G16/66100-1,2)</f>
        <v>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2740</v>
      </c>
      <c r="F17" s="10"/>
      <c r="G17" s="10">
        <f t="shared" si="0"/>
        <v>2740</v>
      </c>
      <c r="H17" s="16">
        <f t="shared" si="1"/>
        <v>1.31</v>
      </c>
      <c r="I17" s="15">
        <f t="shared" si="2"/>
        <v>4.0000000000000001E-3</v>
      </c>
      <c r="J17" s="15">
        <f>ROUND(G17/3500-1,2)</f>
        <v>-0.22</v>
      </c>
    </row>
    <row r="18" spans="1:10" x14ac:dyDescent="0.25">
      <c r="A18" s="1" t="s">
        <v>16</v>
      </c>
      <c r="B18" s="1" t="s">
        <v>26</v>
      </c>
      <c r="C18" s="10">
        <v>95680</v>
      </c>
      <c r="D18" s="10"/>
      <c r="E18" s="10"/>
      <c r="F18" s="10">
        <v>1280</v>
      </c>
      <c r="G18" s="10">
        <f t="shared" si="0"/>
        <v>96960</v>
      </c>
      <c r="H18" s="16">
        <f t="shared" si="1"/>
        <v>46.53</v>
      </c>
      <c r="I18" s="15">
        <f t="shared" si="2"/>
        <v>0.13500000000000001</v>
      </c>
      <c r="J18" s="15">
        <f>ROUND(G18/90060-1,2)</f>
        <v>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120</v>
      </c>
      <c r="F19" s="10"/>
      <c r="G19" s="10">
        <f t="shared" si="0"/>
        <v>120</v>
      </c>
      <c r="H19" s="16">
        <f t="shared" si="1"/>
        <v>0.06</v>
      </c>
      <c r="I19" s="15">
        <f t="shared" si="2"/>
        <v>0</v>
      </c>
      <c r="J19" s="15">
        <f>ROUND(G19/178-1,2)</f>
        <v>-0.33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206</v>
      </c>
      <c r="F20" s="10"/>
      <c r="G20" s="10">
        <f t="shared" si="0"/>
        <v>206</v>
      </c>
      <c r="H20" s="16">
        <f t="shared" si="1"/>
        <v>0.1</v>
      </c>
      <c r="I20" s="15">
        <f t="shared" si="2"/>
        <v>0</v>
      </c>
      <c r="J20" s="15">
        <f>ROUND(G20/40-1,2)</f>
        <v>4.1500000000000004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3480</v>
      </c>
      <c r="F21" s="10"/>
      <c r="G21" s="10">
        <f t="shared" si="0"/>
        <v>3480</v>
      </c>
      <c r="H21" s="16">
        <f t="shared" si="1"/>
        <v>1.67</v>
      </c>
      <c r="I21" s="15">
        <f t="shared" si="2"/>
        <v>5.0000000000000001E-3</v>
      </c>
      <c r="J21" s="15">
        <f>ROUND(G21/2360-1,2)</f>
        <v>0.47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410</v>
      </c>
      <c r="F22" s="10"/>
      <c r="G22" s="10">
        <f t="shared" si="0"/>
        <v>410</v>
      </c>
      <c r="H22" s="16">
        <f t="shared" si="1"/>
        <v>0.2</v>
      </c>
      <c r="I22" s="15">
        <f t="shared" si="2"/>
        <v>1E-3</v>
      </c>
      <c r="J22" s="15">
        <f>ROUND(G22/650-1,2)</f>
        <v>-0.37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620</v>
      </c>
      <c r="F23" s="10"/>
      <c r="G23" s="10">
        <f t="shared" si="0"/>
        <v>620</v>
      </c>
      <c r="H23" s="16">
        <f t="shared" si="1"/>
        <v>0.3</v>
      </c>
      <c r="I23" s="15">
        <f t="shared" si="2"/>
        <v>1E-3</v>
      </c>
      <c r="J23" s="15">
        <f>ROUND(G23/780-1,2)</f>
        <v>-0.21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1835</v>
      </c>
      <c r="F24" s="10"/>
      <c r="G24" s="10">
        <f t="shared" si="0"/>
        <v>1835</v>
      </c>
      <c r="H24" s="16">
        <f t="shared" si="1"/>
        <v>0.88</v>
      </c>
      <c r="I24" s="15">
        <f t="shared" si="2"/>
        <v>3.0000000000000001E-3</v>
      </c>
      <c r="J24" s="15">
        <f>ROUND(G24/1410-1,2)</f>
        <v>0.3</v>
      </c>
    </row>
    <row r="25" spans="1:10" x14ac:dyDescent="0.25">
      <c r="A25" s="1" t="s">
        <v>16</v>
      </c>
      <c r="B25" s="1" t="s">
        <v>33</v>
      </c>
      <c r="C25" s="10"/>
      <c r="D25" s="10">
        <v>220</v>
      </c>
      <c r="E25" s="10"/>
      <c r="F25" s="10"/>
      <c r="G25" s="10">
        <f t="shared" si="0"/>
        <v>220</v>
      </c>
      <c r="H25" s="16">
        <f t="shared" si="1"/>
        <v>0.11</v>
      </c>
      <c r="I25" s="15">
        <f t="shared" si="2"/>
        <v>0</v>
      </c>
      <c r="J25" s="15">
        <f>ROUND(G25/207-1,2)</f>
        <v>0.06</v>
      </c>
    </row>
    <row r="26" spans="1:10" x14ac:dyDescent="0.25">
      <c r="A26" s="1" t="s">
        <v>16</v>
      </c>
      <c r="B26" s="1" t="s">
        <v>35</v>
      </c>
      <c r="C26" s="10"/>
      <c r="D26" s="10">
        <v>25</v>
      </c>
      <c r="E26" s="10"/>
      <c r="F26" s="10"/>
      <c r="G26" s="10">
        <f t="shared" si="0"/>
        <v>25</v>
      </c>
      <c r="H26" s="16">
        <f t="shared" si="1"/>
        <v>0.01</v>
      </c>
      <c r="I26" s="15">
        <f t="shared" si="2"/>
        <v>0</v>
      </c>
      <c r="J26" s="15">
        <f>ROUND(G26/200-1,2)</f>
        <v>-0.88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880</v>
      </c>
      <c r="F27" s="10"/>
      <c r="G27" s="10">
        <f t="shared" si="0"/>
        <v>880</v>
      </c>
      <c r="H27" s="16">
        <f t="shared" si="1"/>
        <v>0.42</v>
      </c>
      <c r="I27" s="15">
        <f t="shared" si="2"/>
        <v>1E-3</v>
      </c>
      <c r="J27" s="15">
        <f>ROUND(G27/2370-1,2)</f>
        <v>-0.63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1.07</v>
      </c>
      <c r="I28" s="15">
        <f t="shared" si="2"/>
        <v>3.0000000000000001E-3</v>
      </c>
      <c r="J28" s="15">
        <f>ROUND(G28/3403-1,2)</f>
        <v>-0.35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1540</v>
      </c>
      <c r="F29" s="10"/>
      <c r="G29" s="10">
        <f t="shared" si="0"/>
        <v>1540</v>
      </c>
      <c r="H29" s="16">
        <f t="shared" si="1"/>
        <v>0.74</v>
      </c>
      <c r="I29" s="15">
        <f t="shared" si="2"/>
        <v>2E-3</v>
      </c>
      <c r="J29" s="15">
        <f>ROUND(G29/1640-1,2)</f>
        <v>-0.06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45695</v>
      </c>
      <c r="F30" s="10"/>
      <c r="G30" s="10">
        <f t="shared" si="0"/>
        <v>45695</v>
      </c>
      <c r="H30" s="16">
        <f t="shared" si="1"/>
        <v>21.93</v>
      </c>
      <c r="I30" s="15">
        <f t="shared" si="2"/>
        <v>6.4000000000000001E-2</v>
      </c>
      <c r="J30" s="15">
        <f>ROUND(G30/40960-1,2)</f>
        <v>0.12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4890</v>
      </c>
      <c r="F31" s="10"/>
      <c r="G31" s="10">
        <f t="shared" si="0"/>
        <v>4890</v>
      </c>
      <c r="H31" s="16">
        <f t="shared" si="1"/>
        <v>2.35</v>
      </c>
      <c r="I31" s="15">
        <f t="shared" si="2"/>
        <v>7.0000000000000001E-3</v>
      </c>
      <c r="J31" s="15">
        <f>ROUND(G31/6620-1,2)</f>
        <v>-0.26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13110</v>
      </c>
      <c r="F32" s="10"/>
      <c r="G32" s="10">
        <f t="shared" si="0"/>
        <v>13110</v>
      </c>
      <c r="H32" s="16">
        <f t="shared" si="1"/>
        <v>6.29</v>
      </c>
      <c r="I32" s="15">
        <f t="shared" si="2"/>
        <v>1.7999999999999999E-2</v>
      </c>
      <c r="J32" s="15">
        <f>ROUND(G32/13010-1,2)</f>
        <v>0.01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36900</v>
      </c>
      <c r="F33" s="10"/>
      <c r="G33" s="10">
        <f t="shared" si="0"/>
        <v>36900</v>
      </c>
      <c r="H33" s="16">
        <f t="shared" si="1"/>
        <v>17.71</v>
      </c>
      <c r="I33" s="15">
        <f t="shared" si="2"/>
        <v>5.1999999999999998E-2</v>
      </c>
      <c r="J33" s="15">
        <f>ROUND(G33/33040-1,2)</f>
        <v>0.12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ROUND(G34/850-1,2)</f>
        <v>-1</v>
      </c>
    </row>
    <row r="35" spans="1:10" x14ac:dyDescent="0.25">
      <c r="A35" s="1" t="s">
        <v>16</v>
      </c>
      <c r="B35" s="1" t="s">
        <v>227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ROUND(G37/926-1,2)</f>
        <v>-1</v>
      </c>
    </row>
    <row r="38" spans="1:10" x14ac:dyDescent="0.25">
      <c r="A38" s="1" t="s">
        <v>44</v>
      </c>
      <c r="B38" s="1" t="s">
        <v>45</v>
      </c>
      <c r="C38" s="10">
        <v>190340</v>
      </c>
      <c r="D38" s="10"/>
      <c r="E38" s="10">
        <v>340</v>
      </c>
      <c r="F38" s="10"/>
      <c r="G38" s="10">
        <f t="shared" si="0"/>
        <v>190680</v>
      </c>
      <c r="H38" s="16">
        <f t="shared" si="1"/>
        <v>91.5</v>
      </c>
      <c r="I38" s="15">
        <f t="shared" si="2"/>
        <v>0.26600000000000001</v>
      </c>
      <c r="J38" s="15">
        <f>ROUND(G38/177510-1,2)</f>
        <v>7.0000000000000007E-2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29040</v>
      </c>
      <c r="F39" s="10"/>
      <c r="G39" s="10">
        <f t="shared" si="0"/>
        <v>29040</v>
      </c>
      <c r="H39" s="16">
        <f t="shared" si="1"/>
        <v>13.93</v>
      </c>
      <c r="I39" s="15">
        <f t="shared" si="2"/>
        <v>4.1000000000000002E-2</v>
      </c>
      <c r="J39" s="15">
        <f>ROUND(G39/19500-1,2)</f>
        <v>0.49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ROUND(G40/19990-1,2)</f>
        <v>-1</v>
      </c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ROUND(G41/28-1,2)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ROUND(G43/1010-1,2)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3" t="s">
        <v>12</v>
      </c>
      <c r="B45" s="23"/>
      <c r="C45" s="11">
        <f t="shared" ref="C45:H45" si="3">SUM(C8:C44)</f>
        <v>486740</v>
      </c>
      <c r="D45" s="11">
        <f t="shared" si="3"/>
        <v>245</v>
      </c>
      <c r="E45" s="11">
        <f t="shared" si="3"/>
        <v>227898</v>
      </c>
      <c r="F45" s="11">
        <f t="shared" si="3"/>
        <v>1280</v>
      </c>
      <c r="G45" s="11">
        <f t="shared" si="3"/>
        <v>716163</v>
      </c>
      <c r="H45" s="14">
        <f t="shared" si="3"/>
        <v>343.67</v>
      </c>
      <c r="I45" s="17"/>
      <c r="J45" s="17"/>
    </row>
    <row r="46" spans="1:10" x14ac:dyDescent="0.25">
      <c r="A46" s="23" t="s">
        <v>14</v>
      </c>
      <c r="B46" s="23"/>
      <c r="C46" s="12">
        <f>ROUND(C45/G45,2)</f>
        <v>0.68</v>
      </c>
      <c r="D46" s="12">
        <f>ROUND(D45/G45,2)</f>
        <v>0</v>
      </c>
      <c r="E46" s="12">
        <f>ROUND(E45/G45,2)</f>
        <v>0.32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53</v>
      </c>
      <c r="B51" s="23"/>
      <c r="C51" s="5" t="s">
        <v>8</v>
      </c>
      <c r="D51" s="5" t="s">
        <v>9</v>
      </c>
      <c r="E51" s="5" t="s">
        <v>10</v>
      </c>
      <c r="F51" s="5" t="s">
        <v>11</v>
      </c>
      <c r="G51" s="5" t="s">
        <v>12</v>
      </c>
      <c r="H51" s="3" t="s">
        <v>13</v>
      </c>
      <c r="I51" s="2"/>
      <c r="J51" s="2"/>
    </row>
    <row r="52" spans="1:10" x14ac:dyDescent="0.25">
      <c r="A52" s="22" t="s">
        <v>54</v>
      </c>
      <c r="B52" s="22"/>
      <c r="C52" s="4">
        <v>296400</v>
      </c>
      <c r="D52" s="4">
        <v>245</v>
      </c>
      <c r="E52" s="4">
        <v>198518</v>
      </c>
      <c r="F52" s="4">
        <v>1280</v>
      </c>
      <c r="G52" s="4">
        <f>SUM(C52:F52)</f>
        <v>496443</v>
      </c>
      <c r="H52" s="1">
        <f>ROUND(G52/2084,2)</f>
        <v>238.22</v>
      </c>
    </row>
    <row r="53" spans="1:10" x14ac:dyDescent="0.25">
      <c r="A53" s="22" t="s">
        <v>55</v>
      </c>
      <c r="B53" s="22"/>
      <c r="C53" s="4">
        <v>190340</v>
      </c>
      <c r="D53" s="4">
        <v>0</v>
      </c>
      <c r="E53" s="4">
        <v>29380</v>
      </c>
      <c r="F53" s="4">
        <v>0</v>
      </c>
      <c r="G53" s="4">
        <f>SUM(C53:F53)</f>
        <v>219720</v>
      </c>
      <c r="H53" s="1">
        <f>ROUND(G53/2084,2)</f>
        <v>105.43</v>
      </c>
    </row>
    <row r="54" spans="1:10" x14ac:dyDescent="0.25">
      <c r="A54" s="22" t="s">
        <v>56</v>
      </c>
      <c r="B54" s="22"/>
      <c r="C54" s="4">
        <v>0</v>
      </c>
      <c r="D54" s="4">
        <v>0</v>
      </c>
      <c r="E54" s="4">
        <v>0</v>
      </c>
      <c r="F54" s="4">
        <v>0</v>
      </c>
      <c r="G54" s="4">
        <f>SUM(C54:F54)</f>
        <v>0</v>
      </c>
      <c r="H54" s="1">
        <f>ROUND(G54/2084,2)</f>
        <v>0</v>
      </c>
    </row>
    <row r="59" spans="1:10" x14ac:dyDescent="0.25">
      <c r="A59" s="23" t="s">
        <v>57</v>
      </c>
      <c r="B59" s="23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2" t="s">
        <v>58</v>
      </c>
      <c r="B60" s="22"/>
      <c r="C60" s="7">
        <f>ROUND(0.6962, 4)</f>
        <v>0.69620000000000004</v>
      </c>
      <c r="D60" s="7">
        <f>ROUND(0.712, 4)</f>
        <v>0.71199999999999997</v>
      </c>
      <c r="E60" s="7">
        <f>ROUND(0.777, 4)</f>
        <v>0.77700000000000002</v>
      </c>
      <c r="G60" s="3" t="s">
        <v>62</v>
      </c>
      <c r="H60" s="29" t="s">
        <v>63</v>
      </c>
      <c r="I60" s="29" t="s">
        <v>64</v>
      </c>
      <c r="J60" s="29" t="s">
        <v>65</v>
      </c>
    </row>
    <row r="61" spans="1:10" x14ac:dyDescent="0.25">
      <c r="A61" s="22" t="s">
        <v>66</v>
      </c>
      <c r="B61" s="22"/>
      <c r="C61" s="7">
        <f>ROUND(0.6858, 4)</f>
        <v>0.68579999999999997</v>
      </c>
      <c r="D61" s="7">
        <f>ROUND(0.7016, 4)</f>
        <v>0.7016</v>
      </c>
      <c r="E61" s="7">
        <f>ROUND(0.7608, 4)</f>
        <v>0.76080000000000003</v>
      </c>
      <c r="G61" s="3" t="s">
        <v>67</v>
      </c>
      <c r="H61" s="22"/>
      <c r="I61" s="22"/>
      <c r="J61" s="22"/>
    </row>
    <row r="65" spans="1:10" x14ac:dyDescent="0.25">
      <c r="A65" s="23" t="s">
        <v>68</v>
      </c>
      <c r="B65" s="23"/>
      <c r="C65" s="3" t="s">
        <v>2</v>
      </c>
      <c r="D65" s="3" t="s">
        <v>333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2" t="s">
        <v>73</v>
      </c>
      <c r="B66" s="22"/>
      <c r="C66" s="1">
        <v>91.5</v>
      </c>
      <c r="D66" s="1">
        <v>103.57</v>
      </c>
      <c r="E66" s="1">
        <v>89.58</v>
      </c>
      <c r="F66" s="1">
        <v>53.73</v>
      </c>
      <c r="G66" s="1">
        <f>12/9*C66</f>
        <v>122</v>
      </c>
    </row>
    <row r="67" spans="1:10" x14ac:dyDescent="0.25">
      <c r="A67" s="22" t="s">
        <v>74</v>
      </c>
      <c r="B67" s="22"/>
      <c r="C67" s="1">
        <v>46.53</v>
      </c>
      <c r="D67" s="1">
        <v>58.66</v>
      </c>
      <c r="E67" s="1">
        <v>60.32</v>
      </c>
      <c r="F67" s="1">
        <v>61.62</v>
      </c>
      <c r="G67" s="1">
        <f>12/9*C67</f>
        <v>62.04</v>
      </c>
    </row>
    <row r="68" spans="1:10" x14ac:dyDescent="0.25">
      <c r="A68" s="22" t="s">
        <v>75</v>
      </c>
      <c r="B68" s="22"/>
      <c r="C68" s="1">
        <v>238.22</v>
      </c>
      <c r="D68" s="1">
        <v>284.43</v>
      </c>
      <c r="E68" s="1">
        <v>282.8</v>
      </c>
      <c r="F68" s="1">
        <v>273.33</v>
      </c>
      <c r="G68" s="1">
        <f>12/9*C68</f>
        <v>317.62666666666667</v>
      </c>
    </row>
    <row r="69" spans="1:10" x14ac:dyDescent="0.25">
      <c r="A69" s="22" t="s">
        <v>76</v>
      </c>
      <c r="B69" s="22"/>
      <c r="C69" s="1">
        <v>105.43</v>
      </c>
      <c r="D69" s="1">
        <v>118.06</v>
      </c>
      <c r="E69" s="1">
        <v>112.72</v>
      </c>
      <c r="F69" s="1">
        <v>76.52</v>
      </c>
      <c r="G69" s="1">
        <f>12/9*C69</f>
        <v>140.57333333333332</v>
      </c>
    </row>
    <row r="72" spans="1:10" x14ac:dyDescent="0.25">
      <c r="A72" s="21" t="s">
        <v>60</v>
      </c>
      <c r="B72" s="28"/>
    </row>
    <row r="73" spans="1:10" x14ac:dyDescent="0.25">
      <c r="A73" s="3" t="s">
        <v>77</v>
      </c>
      <c r="B73" s="1" t="s">
        <v>334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Foglio76"/>
  <dimension ref="A2:J68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0.5703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335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1715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33230</v>
      </c>
      <c r="D9" s="10"/>
      <c r="E9" s="10"/>
      <c r="F9" s="10"/>
      <c r="G9" s="10">
        <f t="shared" ref="G9:G18" si="0">SUM(C9:F9)</f>
        <v>33230</v>
      </c>
      <c r="H9" s="16">
        <f t="shared" ref="H9:H18" si="1">ROUND(G9/1715,2)</f>
        <v>19.38</v>
      </c>
      <c r="I9" s="15">
        <f t="shared" ref="I9:I18" si="2">ROUND(G9/$G$19,3)</f>
        <v>0.107</v>
      </c>
      <c r="J9" s="15">
        <f>ROUND(G9/32910-1,2)</f>
        <v>0.01</v>
      </c>
    </row>
    <row r="10" spans="1:10" x14ac:dyDescent="0.25">
      <c r="A10" s="1" t="s">
        <v>16</v>
      </c>
      <c r="B10" s="1" t="s">
        <v>20</v>
      </c>
      <c r="C10" s="10">
        <v>44920</v>
      </c>
      <c r="D10" s="10"/>
      <c r="E10" s="10"/>
      <c r="F10" s="10"/>
      <c r="G10" s="10">
        <f t="shared" si="0"/>
        <v>44920</v>
      </c>
      <c r="H10" s="16">
        <f t="shared" si="1"/>
        <v>26.19</v>
      </c>
      <c r="I10" s="15">
        <f t="shared" si="2"/>
        <v>0.14499999999999999</v>
      </c>
      <c r="J10" s="15">
        <f>ROUND(G10/45570-1,2)</f>
        <v>-0.01</v>
      </c>
    </row>
    <row r="11" spans="1:10" x14ac:dyDescent="0.25">
      <c r="A11" s="1" t="s">
        <v>16</v>
      </c>
      <c r="B11" s="1" t="s">
        <v>24</v>
      </c>
      <c r="C11" s="10">
        <v>39980</v>
      </c>
      <c r="D11" s="10"/>
      <c r="E11" s="10"/>
      <c r="F11" s="10"/>
      <c r="G11" s="10">
        <f t="shared" si="0"/>
        <v>39980</v>
      </c>
      <c r="H11" s="16">
        <f t="shared" si="1"/>
        <v>23.31</v>
      </c>
      <c r="I11" s="15">
        <f t="shared" si="2"/>
        <v>0.129</v>
      </c>
      <c r="J11" s="15">
        <f>ROUND(G11/41340-1,2)</f>
        <v>-0.03</v>
      </c>
    </row>
    <row r="12" spans="1:10" x14ac:dyDescent="0.25">
      <c r="A12" s="1" t="s">
        <v>16</v>
      </c>
      <c r="B12" s="1" t="s">
        <v>26</v>
      </c>
      <c r="C12" s="10">
        <v>84160</v>
      </c>
      <c r="D12" s="10"/>
      <c r="E12" s="10"/>
      <c r="F12" s="10"/>
      <c r="G12" s="10">
        <f t="shared" si="0"/>
        <v>84160</v>
      </c>
      <c r="H12" s="16">
        <f t="shared" si="1"/>
        <v>49.07</v>
      </c>
      <c r="I12" s="15">
        <f t="shared" si="2"/>
        <v>0.27100000000000002</v>
      </c>
      <c r="J12" s="15">
        <f>ROUND(G12/93540-1,2)</f>
        <v>-0.1</v>
      </c>
    </row>
    <row r="13" spans="1:10" x14ac:dyDescent="0.25">
      <c r="A13" s="1" t="s">
        <v>16</v>
      </c>
      <c r="B13" s="1" t="s">
        <v>33</v>
      </c>
      <c r="C13" s="10"/>
      <c r="D13" s="10">
        <v>144</v>
      </c>
      <c r="E13" s="10">
        <v>21</v>
      </c>
      <c r="F13" s="10"/>
      <c r="G13" s="10">
        <f t="shared" si="0"/>
        <v>165</v>
      </c>
      <c r="H13" s="16">
        <f t="shared" si="1"/>
        <v>0.1</v>
      </c>
      <c r="I13" s="15">
        <f t="shared" si="2"/>
        <v>1E-3</v>
      </c>
      <c r="J13" s="15">
        <f>ROUND(G13/126-1,2)</f>
        <v>0.31</v>
      </c>
    </row>
    <row r="14" spans="1:10" x14ac:dyDescent="0.25">
      <c r="A14" s="1" t="s">
        <v>16</v>
      </c>
      <c r="B14" s="1" t="s">
        <v>35</v>
      </c>
      <c r="C14" s="10"/>
      <c r="D14" s="10">
        <v>50</v>
      </c>
      <c r="E14" s="10"/>
      <c r="F14" s="10"/>
      <c r="G14" s="10">
        <f t="shared" si="0"/>
        <v>50</v>
      </c>
      <c r="H14" s="16">
        <f t="shared" si="1"/>
        <v>0.03</v>
      </c>
      <c r="I14" s="15">
        <f t="shared" si="2"/>
        <v>0</v>
      </c>
      <c r="J14" s="15">
        <f>ROUND(G14/215-1,2)</f>
        <v>-0.77</v>
      </c>
    </row>
    <row r="15" spans="1:10" x14ac:dyDescent="0.25">
      <c r="A15" s="1" t="s">
        <v>16</v>
      </c>
      <c r="B15" s="1" t="s">
        <v>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44</v>
      </c>
      <c r="B16" s="1" t="s">
        <v>45</v>
      </c>
      <c r="C16" s="10">
        <v>102460</v>
      </c>
      <c r="D16" s="10"/>
      <c r="E16" s="10"/>
      <c r="F16" s="10"/>
      <c r="G16" s="10">
        <f t="shared" si="0"/>
        <v>102460</v>
      </c>
      <c r="H16" s="16">
        <f t="shared" si="1"/>
        <v>59.74</v>
      </c>
      <c r="I16" s="15">
        <f t="shared" si="2"/>
        <v>0.33</v>
      </c>
      <c r="J16" s="15">
        <f>ROUND(G16/97410-1,2)</f>
        <v>0.05</v>
      </c>
    </row>
    <row r="17" spans="1:10" x14ac:dyDescent="0.25">
      <c r="A17" s="1" t="s">
        <v>44</v>
      </c>
      <c r="B17" s="1" t="s">
        <v>47</v>
      </c>
      <c r="C17" s="10"/>
      <c r="D17" s="10"/>
      <c r="E17" s="10"/>
      <c r="F17" s="10">
        <v>5360</v>
      </c>
      <c r="G17" s="10">
        <f t="shared" si="0"/>
        <v>5360</v>
      </c>
      <c r="H17" s="16">
        <f t="shared" si="1"/>
        <v>3.13</v>
      </c>
      <c r="I17" s="15">
        <f t="shared" si="2"/>
        <v>1.7000000000000001E-2</v>
      </c>
      <c r="J17" s="15">
        <f>ROUND(G17/6860-1,2)</f>
        <v>-0.22</v>
      </c>
    </row>
    <row r="18" spans="1:10" x14ac:dyDescent="0.25">
      <c r="A18" s="1" t="s">
        <v>48</v>
      </c>
      <c r="B18" s="1" t="s">
        <v>51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23" t="s">
        <v>12</v>
      </c>
      <c r="B19" s="23"/>
      <c r="C19" s="11">
        <f t="shared" ref="C19:H19" si="3">SUM(C8:C18)</f>
        <v>304750</v>
      </c>
      <c r="D19" s="11">
        <f t="shared" si="3"/>
        <v>194</v>
      </c>
      <c r="E19" s="11">
        <f t="shared" si="3"/>
        <v>21</v>
      </c>
      <c r="F19" s="11">
        <f t="shared" si="3"/>
        <v>5360</v>
      </c>
      <c r="G19" s="11">
        <f t="shared" si="3"/>
        <v>310325</v>
      </c>
      <c r="H19" s="14">
        <f t="shared" si="3"/>
        <v>180.95</v>
      </c>
      <c r="I19" s="17"/>
      <c r="J19" s="17"/>
    </row>
    <row r="20" spans="1:10" x14ac:dyDescent="0.25">
      <c r="A20" s="23" t="s">
        <v>14</v>
      </c>
      <c r="B20" s="23"/>
      <c r="C20" s="12">
        <f>ROUND(C19/G19,2)</f>
        <v>0.98</v>
      </c>
      <c r="D20" s="12">
        <f>ROUND(D19/G19,2)</f>
        <v>0</v>
      </c>
      <c r="E20" s="12">
        <f>ROUND(E19/G19,2)</f>
        <v>0</v>
      </c>
      <c r="F20" s="12">
        <f>ROUND(F19/G19,2)</f>
        <v>0.02</v>
      </c>
      <c r="G20" s="13"/>
      <c r="H20" s="13"/>
      <c r="I20" s="17"/>
      <c r="J20" s="17"/>
    </row>
    <row r="21" spans="1:10" x14ac:dyDescent="0.25">
      <c r="A21" s="2" t="s">
        <v>52</v>
      </c>
      <c r="B21" s="2"/>
      <c r="C21" s="13"/>
      <c r="D21" s="13"/>
      <c r="E21" s="13"/>
      <c r="F21" s="13"/>
      <c r="G21" s="13"/>
      <c r="H21" s="13"/>
      <c r="I21" s="17"/>
      <c r="J21" s="17"/>
    </row>
    <row r="22" spans="1:10" x14ac:dyDescent="0.25">
      <c r="C22" s="8"/>
      <c r="D22" s="8"/>
      <c r="E22" s="8"/>
      <c r="F22" s="8"/>
      <c r="G22" s="8"/>
      <c r="H22" s="8"/>
      <c r="I22" s="9"/>
      <c r="J22" s="9"/>
    </row>
    <row r="23" spans="1:10" x14ac:dyDescent="0.25">
      <c r="C23" s="8"/>
      <c r="D23" s="8"/>
      <c r="E23" s="8"/>
      <c r="F23" s="8"/>
      <c r="G23" s="8"/>
      <c r="H23" s="8"/>
      <c r="I23" s="9"/>
      <c r="J23" s="9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A25" s="23" t="s">
        <v>53</v>
      </c>
      <c r="B25" s="23"/>
      <c r="C25" s="11" t="s">
        <v>8</v>
      </c>
      <c r="D25" s="11" t="s">
        <v>9</v>
      </c>
      <c r="E25" s="11" t="s">
        <v>10</v>
      </c>
      <c r="F25" s="11" t="s">
        <v>11</v>
      </c>
      <c r="G25" s="11" t="s">
        <v>12</v>
      </c>
      <c r="H25" s="14" t="s">
        <v>13</v>
      </c>
      <c r="I25" s="17"/>
      <c r="J25" s="17"/>
    </row>
    <row r="26" spans="1:10" x14ac:dyDescent="0.25">
      <c r="A26" s="22" t="s">
        <v>54</v>
      </c>
      <c r="B26" s="22"/>
      <c r="C26" s="10">
        <v>202290</v>
      </c>
      <c r="D26" s="10">
        <v>194</v>
      </c>
      <c r="E26" s="10">
        <v>21</v>
      </c>
      <c r="F26" s="10">
        <v>0</v>
      </c>
      <c r="G26" s="10">
        <f>SUM(C26:F26)</f>
        <v>202505</v>
      </c>
      <c r="H26" s="16">
        <f>ROUND(G26/1715,2)</f>
        <v>118.08</v>
      </c>
      <c r="I26" s="9"/>
      <c r="J26" s="9"/>
    </row>
    <row r="27" spans="1:10" x14ac:dyDescent="0.25">
      <c r="A27" s="22" t="s">
        <v>55</v>
      </c>
      <c r="B27" s="22"/>
      <c r="C27" s="10">
        <v>102460</v>
      </c>
      <c r="D27" s="10">
        <v>0</v>
      </c>
      <c r="E27" s="10">
        <v>0</v>
      </c>
      <c r="F27" s="10">
        <v>5360</v>
      </c>
      <c r="G27" s="10">
        <f>SUM(C27:F27)</f>
        <v>107820</v>
      </c>
      <c r="H27" s="16">
        <f>ROUND(G27/1715,2)</f>
        <v>62.87</v>
      </c>
      <c r="I27" s="9"/>
      <c r="J27" s="9"/>
    </row>
    <row r="28" spans="1:10" x14ac:dyDescent="0.25">
      <c r="A28" s="22" t="s">
        <v>56</v>
      </c>
      <c r="B28" s="22"/>
      <c r="C28" s="10">
        <v>0</v>
      </c>
      <c r="D28" s="10">
        <v>0</v>
      </c>
      <c r="E28" s="10">
        <v>0</v>
      </c>
      <c r="F28" s="10">
        <v>0</v>
      </c>
      <c r="G28" s="10">
        <f>SUM(C28:F28)</f>
        <v>0</v>
      </c>
      <c r="H28" s="16">
        <f>ROUND(G28/1715,2)</f>
        <v>0</v>
      </c>
      <c r="I28" s="9"/>
      <c r="J28" s="9"/>
    </row>
    <row r="29" spans="1:10" x14ac:dyDescent="0.25">
      <c r="C29" s="8"/>
      <c r="D29" s="8"/>
      <c r="E29" s="8"/>
      <c r="F29" s="8"/>
      <c r="G29" s="8"/>
      <c r="H29" s="8"/>
      <c r="I29" s="9"/>
      <c r="J29" s="9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23" t="s">
        <v>57</v>
      </c>
      <c r="B33" s="23"/>
      <c r="C33" s="14" t="s">
        <v>2</v>
      </c>
      <c r="D33" s="14">
        <v>2023</v>
      </c>
      <c r="E33" s="14" t="s">
        <v>59</v>
      </c>
      <c r="F33" s="13"/>
      <c r="G33" s="14" t="s">
        <v>60</v>
      </c>
      <c r="H33" s="14" t="s">
        <v>2</v>
      </c>
      <c r="I33" s="12" t="s">
        <v>61</v>
      </c>
      <c r="J33" s="12" t="s">
        <v>59</v>
      </c>
    </row>
    <row r="34" spans="1:10" x14ac:dyDescent="0.25">
      <c r="A34" s="22" t="s">
        <v>58</v>
      </c>
      <c r="B34" s="22"/>
      <c r="C34" s="15">
        <f>ROUND(0.6674, 4)</f>
        <v>0.66739999999999999</v>
      </c>
      <c r="D34" s="15">
        <f>ROUND(0.6864, 4)</f>
        <v>0.68640000000000001</v>
      </c>
      <c r="E34" s="15">
        <f>ROUND(0.777, 4)</f>
        <v>0.77700000000000002</v>
      </c>
      <c r="F34" s="8"/>
      <c r="G34" s="14" t="s">
        <v>62</v>
      </c>
      <c r="H34" s="26" t="s">
        <v>63</v>
      </c>
      <c r="I34" s="24" t="s">
        <v>64</v>
      </c>
      <c r="J34" s="24" t="s">
        <v>65</v>
      </c>
    </row>
    <row r="35" spans="1:10" x14ac:dyDescent="0.25">
      <c r="A35" s="22" t="s">
        <v>66</v>
      </c>
      <c r="B35" s="22"/>
      <c r="C35" s="15">
        <f>ROUND(0.6536, 4)</f>
        <v>0.65359999999999996</v>
      </c>
      <c r="D35" s="15">
        <f>ROUND(0.673, 4)</f>
        <v>0.67300000000000004</v>
      </c>
      <c r="E35" s="15">
        <f>ROUND(0.7608, 4)</f>
        <v>0.76080000000000003</v>
      </c>
      <c r="F35" s="8"/>
      <c r="G35" s="14" t="s">
        <v>67</v>
      </c>
      <c r="H35" s="27"/>
      <c r="I35" s="25"/>
      <c r="J35" s="25"/>
    </row>
    <row r="36" spans="1:10" x14ac:dyDescent="0.25">
      <c r="C36" s="8"/>
      <c r="D36" s="8"/>
      <c r="E36" s="8"/>
      <c r="F36" s="8"/>
      <c r="G36" s="8"/>
      <c r="H36" s="8"/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A39" s="23" t="s">
        <v>68</v>
      </c>
      <c r="B39" s="23"/>
      <c r="C39" s="14" t="s">
        <v>2</v>
      </c>
      <c r="D39" s="14" t="s">
        <v>336</v>
      </c>
      <c r="E39" s="14" t="s">
        <v>70</v>
      </c>
      <c r="F39" s="14" t="s">
        <v>71</v>
      </c>
      <c r="G39" s="14" t="s">
        <v>72</v>
      </c>
      <c r="H39" s="13"/>
      <c r="I39" s="17"/>
      <c r="J39" s="17"/>
    </row>
    <row r="40" spans="1:10" x14ac:dyDescent="0.25">
      <c r="A40" s="22" t="s">
        <v>73</v>
      </c>
      <c r="B40" s="22"/>
      <c r="C40" s="16">
        <v>59.74</v>
      </c>
      <c r="D40" s="16">
        <v>70.59</v>
      </c>
      <c r="E40" s="16">
        <v>89.58</v>
      </c>
      <c r="F40" s="16">
        <v>53.73</v>
      </c>
      <c r="G40" s="16">
        <f>12/9*C40</f>
        <v>79.653333333333336</v>
      </c>
      <c r="H40" s="8"/>
      <c r="I40" s="9"/>
      <c r="J40" s="9"/>
    </row>
    <row r="41" spans="1:10" x14ac:dyDescent="0.25">
      <c r="A41" s="22" t="s">
        <v>74</v>
      </c>
      <c r="B41" s="22"/>
      <c r="C41" s="16">
        <v>49.07</v>
      </c>
      <c r="D41" s="16">
        <v>71</v>
      </c>
      <c r="E41" s="16">
        <v>60.32</v>
      </c>
      <c r="F41" s="16">
        <v>61.62</v>
      </c>
      <c r="G41" s="16">
        <f>12/9*C41</f>
        <v>65.426666666666662</v>
      </c>
      <c r="H41" s="8"/>
      <c r="I41" s="9"/>
      <c r="J41" s="9"/>
    </row>
    <row r="42" spans="1:10" x14ac:dyDescent="0.25">
      <c r="A42" s="22" t="s">
        <v>75</v>
      </c>
      <c r="B42" s="22"/>
      <c r="C42" s="16">
        <v>118.08</v>
      </c>
      <c r="D42" s="16">
        <v>166.32</v>
      </c>
      <c r="E42" s="16">
        <v>282.8</v>
      </c>
      <c r="F42" s="16">
        <v>273.33</v>
      </c>
      <c r="G42" s="16">
        <f>12/9*C42</f>
        <v>157.44</v>
      </c>
      <c r="H42" s="8"/>
      <c r="I42" s="9"/>
      <c r="J42" s="9"/>
    </row>
    <row r="43" spans="1:10" x14ac:dyDescent="0.25">
      <c r="A43" s="22" t="s">
        <v>76</v>
      </c>
      <c r="B43" s="22"/>
      <c r="C43" s="16">
        <v>62.87</v>
      </c>
      <c r="D43" s="16">
        <v>79.03</v>
      </c>
      <c r="E43" s="16">
        <v>112.72</v>
      </c>
      <c r="F43" s="16">
        <v>76.52</v>
      </c>
      <c r="G43" s="16">
        <f>12/9*C43</f>
        <v>83.826666666666654</v>
      </c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1" t="s">
        <v>60</v>
      </c>
      <c r="B46" s="28"/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" t="s">
        <v>77</v>
      </c>
      <c r="B47" s="1" t="s">
        <v>337</v>
      </c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" t="s">
        <v>70</v>
      </c>
      <c r="B48" s="1" t="s">
        <v>79</v>
      </c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71</v>
      </c>
      <c r="B49" s="1" t="s">
        <v>80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72</v>
      </c>
      <c r="B50" s="1" t="s">
        <v>81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</sheetData>
  <mergeCells count="19">
    <mergeCell ref="A41:B41"/>
    <mergeCell ref="A42:B42"/>
    <mergeCell ref="A43:B43"/>
    <mergeCell ref="A46:B46"/>
    <mergeCell ref="I34:I35"/>
    <mergeCell ref="J34:J35"/>
    <mergeCell ref="A35:B35"/>
    <mergeCell ref="A39:B39"/>
    <mergeCell ref="A40:B40"/>
    <mergeCell ref="A27:B27"/>
    <mergeCell ref="A28:B28"/>
    <mergeCell ref="A33:B33"/>
    <mergeCell ref="A34:B34"/>
    <mergeCell ref="H34:H35"/>
    <mergeCell ref="C7:G7"/>
    <mergeCell ref="A19:B19"/>
    <mergeCell ref="A20:B20"/>
    <mergeCell ref="A25:B25"/>
    <mergeCell ref="A26:B2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Foglio77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31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338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679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13960</v>
      </c>
      <c r="D9" s="10"/>
      <c r="E9" s="10"/>
      <c r="F9" s="10"/>
      <c r="G9" s="10">
        <f t="shared" ref="G9:G36" si="0">SUM(C9:F9)</f>
        <v>13960</v>
      </c>
      <c r="H9" s="16">
        <f t="shared" ref="H9:H36" si="1">ROUND(G9/679,2)</f>
        <v>20.56</v>
      </c>
      <c r="I9" s="15">
        <f t="shared" ref="I9:I36" si="2">ROUND(G9/$G$37,3)</f>
        <v>6.8000000000000005E-2</v>
      </c>
      <c r="J9" s="15">
        <f>ROUND(G9/12880-1,2)</f>
        <v>0.08</v>
      </c>
    </row>
    <row r="10" spans="1:10" x14ac:dyDescent="0.25">
      <c r="A10" s="1" t="s">
        <v>16</v>
      </c>
      <c r="B10" s="1" t="s">
        <v>20</v>
      </c>
      <c r="C10" s="10">
        <v>29020</v>
      </c>
      <c r="D10" s="10"/>
      <c r="E10" s="10"/>
      <c r="F10" s="10"/>
      <c r="G10" s="10">
        <f t="shared" si="0"/>
        <v>29020</v>
      </c>
      <c r="H10" s="16">
        <f t="shared" si="1"/>
        <v>42.74</v>
      </c>
      <c r="I10" s="15">
        <f t="shared" si="2"/>
        <v>0.14099999999999999</v>
      </c>
      <c r="J10" s="15">
        <f>ROUND(G10/30610-1,2)</f>
        <v>-0.05</v>
      </c>
    </row>
    <row r="11" spans="1:10" x14ac:dyDescent="0.25">
      <c r="A11" s="1" t="s">
        <v>16</v>
      </c>
      <c r="B11" s="1" t="s">
        <v>23</v>
      </c>
      <c r="C11" s="10"/>
      <c r="D11" s="10"/>
      <c r="E11" s="10">
        <v>30010</v>
      </c>
      <c r="F11" s="10"/>
      <c r="G11" s="10">
        <f t="shared" si="0"/>
        <v>30010</v>
      </c>
      <c r="H11" s="16">
        <f t="shared" si="1"/>
        <v>44.2</v>
      </c>
      <c r="I11" s="15">
        <f t="shared" si="2"/>
        <v>0.14599999999999999</v>
      </c>
      <c r="J11" s="15">
        <f>ROUND(G11/34120-1,2)</f>
        <v>-0.12</v>
      </c>
    </row>
    <row r="12" spans="1:10" x14ac:dyDescent="0.25">
      <c r="A12" s="1" t="s">
        <v>16</v>
      </c>
      <c r="B12" s="1" t="s">
        <v>24</v>
      </c>
      <c r="C12" s="10">
        <v>14830</v>
      </c>
      <c r="D12" s="10"/>
      <c r="E12" s="10"/>
      <c r="F12" s="10"/>
      <c r="G12" s="10">
        <f t="shared" si="0"/>
        <v>14830</v>
      </c>
      <c r="H12" s="16">
        <f t="shared" si="1"/>
        <v>21.84</v>
      </c>
      <c r="I12" s="15">
        <f t="shared" si="2"/>
        <v>7.1999999999999995E-2</v>
      </c>
      <c r="J12" s="15">
        <f>ROUND(G12/15610-1,2)</f>
        <v>-0.05</v>
      </c>
    </row>
    <row r="13" spans="1:10" x14ac:dyDescent="0.25">
      <c r="A13" s="1" t="s">
        <v>16</v>
      </c>
      <c r="B13" s="1" t="s">
        <v>25</v>
      </c>
      <c r="C13" s="10"/>
      <c r="D13" s="10"/>
      <c r="E13" s="10">
        <v>680</v>
      </c>
      <c r="F13" s="10"/>
      <c r="G13" s="10">
        <f t="shared" si="0"/>
        <v>680</v>
      </c>
      <c r="H13" s="16">
        <f t="shared" si="1"/>
        <v>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26</v>
      </c>
      <c r="C14" s="10">
        <v>16720</v>
      </c>
      <c r="D14" s="10"/>
      <c r="E14" s="10"/>
      <c r="F14" s="10"/>
      <c r="G14" s="10">
        <f t="shared" si="0"/>
        <v>16720</v>
      </c>
      <c r="H14" s="16">
        <f t="shared" si="1"/>
        <v>24.62</v>
      </c>
      <c r="I14" s="15">
        <f t="shared" si="2"/>
        <v>8.1000000000000003E-2</v>
      </c>
      <c r="J14" s="15">
        <f>ROUND(G14/25510-1,2)</f>
        <v>-0.34</v>
      </c>
    </row>
    <row r="15" spans="1:10" x14ac:dyDescent="0.25">
      <c r="A15" s="1" t="s">
        <v>16</v>
      </c>
      <c r="B15" s="1" t="s">
        <v>27</v>
      </c>
      <c r="C15" s="10"/>
      <c r="D15" s="10"/>
      <c r="E15" s="10">
        <v>474</v>
      </c>
      <c r="F15" s="10"/>
      <c r="G15" s="10">
        <f t="shared" si="0"/>
        <v>474</v>
      </c>
      <c r="H15" s="16">
        <f t="shared" si="1"/>
        <v>0.7</v>
      </c>
      <c r="I15" s="15">
        <f t="shared" si="2"/>
        <v>2E-3</v>
      </c>
      <c r="J15" s="15">
        <f>ROUND(G15/427-1,2)</f>
        <v>0.11</v>
      </c>
    </row>
    <row r="16" spans="1:10" x14ac:dyDescent="0.25">
      <c r="A16" s="1" t="s">
        <v>16</v>
      </c>
      <c r="B16" s="1" t="s">
        <v>28</v>
      </c>
      <c r="C16" s="10"/>
      <c r="D16" s="10"/>
      <c r="E16" s="10">
        <v>218</v>
      </c>
      <c r="F16" s="10"/>
      <c r="G16" s="10">
        <f t="shared" si="0"/>
        <v>218</v>
      </c>
      <c r="H16" s="16">
        <f t="shared" si="1"/>
        <v>0.32</v>
      </c>
      <c r="I16" s="15">
        <f t="shared" si="2"/>
        <v>1E-3</v>
      </c>
      <c r="J16" s="15">
        <f>ROUND(G16/295-1,2)</f>
        <v>-0.26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590</v>
      </c>
      <c r="F17" s="10"/>
      <c r="G17" s="10">
        <f t="shared" si="0"/>
        <v>590</v>
      </c>
      <c r="H17" s="16">
        <f t="shared" si="1"/>
        <v>0.87</v>
      </c>
      <c r="I17" s="15">
        <f t="shared" si="2"/>
        <v>3.0000000000000001E-3</v>
      </c>
      <c r="J17" s="15">
        <f>ROUND(G17/410-1,2)</f>
        <v>0.44</v>
      </c>
    </row>
    <row r="18" spans="1:10" x14ac:dyDescent="0.25">
      <c r="A18" s="1" t="s">
        <v>16</v>
      </c>
      <c r="B18" s="1" t="s">
        <v>32</v>
      </c>
      <c r="C18" s="10"/>
      <c r="D18" s="10"/>
      <c r="E18" s="10">
        <v>420</v>
      </c>
      <c r="F18" s="10"/>
      <c r="G18" s="10">
        <f t="shared" si="0"/>
        <v>420</v>
      </c>
      <c r="H18" s="16">
        <f t="shared" si="1"/>
        <v>0.62</v>
      </c>
      <c r="I18" s="15">
        <f t="shared" si="2"/>
        <v>2E-3</v>
      </c>
      <c r="J18" s="15">
        <f>ROUND(G18/920-1,2)</f>
        <v>-0.54</v>
      </c>
    </row>
    <row r="19" spans="1:10" x14ac:dyDescent="0.25">
      <c r="A19" s="1" t="s">
        <v>16</v>
      </c>
      <c r="B19" s="1" t="s">
        <v>33</v>
      </c>
      <c r="C19" s="10"/>
      <c r="D19" s="10"/>
      <c r="E19" s="10">
        <v>57</v>
      </c>
      <c r="F19" s="10"/>
      <c r="G19" s="10">
        <f t="shared" si="0"/>
        <v>57</v>
      </c>
      <c r="H19" s="16">
        <f t="shared" si="1"/>
        <v>0.08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43</v>
      </c>
      <c r="C20" s="10"/>
      <c r="D20" s="10"/>
      <c r="E20" s="10">
        <v>660</v>
      </c>
      <c r="F20" s="10"/>
      <c r="G20" s="10">
        <f t="shared" si="0"/>
        <v>660</v>
      </c>
      <c r="H20" s="16">
        <f t="shared" si="1"/>
        <v>0.97</v>
      </c>
      <c r="I20" s="15">
        <f t="shared" si="2"/>
        <v>3.0000000000000001E-3</v>
      </c>
      <c r="J20" s="15">
        <f>ROUND(G20/1691-1,2)</f>
        <v>-0.61</v>
      </c>
    </row>
    <row r="21" spans="1:10" x14ac:dyDescent="0.25">
      <c r="A21" s="1" t="s">
        <v>16</v>
      </c>
      <c r="B21" s="1" t="s">
        <v>37</v>
      </c>
      <c r="C21" s="10"/>
      <c r="D21" s="10"/>
      <c r="E21" s="10">
        <v>782</v>
      </c>
      <c r="F21" s="10"/>
      <c r="G21" s="10">
        <f t="shared" si="0"/>
        <v>782</v>
      </c>
      <c r="H21" s="16">
        <f t="shared" si="1"/>
        <v>1.1499999999999999</v>
      </c>
      <c r="I21" s="15">
        <f t="shared" si="2"/>
        <v>4.0000000000000001E-3</v>
      </c>
      <c r="J21" s="15"/>
    </row>
    <row r="22" spans="1:10" x14ac:dyDescent="0.25">
      <c r="A22" s="1" t="s">
        <v>16</v>
      </c>
      <c r="B22" s="1" t="s">
        <v>38</v>
      </c>
      <c r="C22" s="10"/>
      <c r="D22" s="10"/>
      <c r="E22" s="10">
        <v>18720</v>
      </c>
      <c r="F22" s="10"/>
      <c r="G22" s="10">
        <f t="shared" si="0"/>
        <v>18720</v>
      </c>
      <c r="H22" s="16">
        <f t="shared" si="1"/>
        <v>27.57</v>
      </c>
      <c r="I22" s="15">
        <f t="shared" si="2"/>
        <v>9.0999999999999998E-2</v>
      </c>
      <c r="J22" s="15">
        <f>ROUND(G22/18535-1,2)</f>
        <v>0.01</v>
      </c>
    </row>
    <row r="23" spans="1:10" x14ac:dyDescent="0.25">
      <c r="A23" s="1" t="s">
        <v>16</v>
      </c>
      <c r="B23" s="1" t="s">
        <v>40</v>
      </c>
      <c r="C23" s="10"/>
      <c r="D23" s="10"/>
      <c r="E23" s="10">
        <v>13120</v>
      </c>
      <c r="F23" s="10"/>
      <c r="G23" s="10">
        <f t="shared" si="0"/>
        <v>13120</v>
      </c>
      <c r="H23" s="16">
        <f t="shared" si="1"/>
        <v>19.32</v>
      </c>
      <c r="I23" s="15">
        <f t="shared" si="2"/>
        <v>6.4000000000000001E-2</v>
      </c>
      <c r="J23" s="15">
        <f>ROUND(G23/8030-1,2)</f>
        <v>0.63</v>
      </c>
    </row>
    <row r="24" spans="1:10" x14ac:dyDescent="0.25">
      <c r="A24" s="1" t="s">
        <v>16</v>
      </c>
      <c r="B24" s="1" t="s">
        <v>41</v>
      </c>
      <c r="C24" s="10"/>
      <c r="D24" s="10"/>
      <c r="E24" s="10">
        <v>7180</v>
      </c>
      <c r="F24" s="10"/>
      <c r="G24" s="10">
        <f t="shared" si="0"/>
        <v>7180</v>
      </c>
      <c r="H24" s="16">
        <f t="shared" si="1"/>
        <v>10.57</v>
      </c>
      <c r="I24" s="15">
        <f t="shared" si="2"/>
        <v>3.5000000000000003E-2</v>
      </c>
      <c r="J24" s="15">
        <f>ROUND(G24/6025-1,2)</f>
        <v>0.19</v>
      </c>
    </row>
    <row r="25" spans="1:10" x14ac:dyDescent="0.25">
      <c r="A25" s="1" t="s">
        <v>16</v>
      </c>
      <c r="B25" s="1" t="s">
        <v>21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ROUND(G25/200-1,2)</f>
        <v>-1</v>
      </c>
    </row>
    <row r="26" spans="1:10" x14ac:dyDescent="0.25">
      <c r="A26" s="1" t="s">
        <v>16</v>
      </c>
      <c r="B26" s="1" t="s">
        <v>36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ROUND(G26/850-1,2)</f>
        <v>-1</v>
      </c>
    </row>
    <row r="27" spans="1:10" x14ac:dyDescent="0.25">
      <c r="A27" s="1" t="s">
        <v>16</v>
      </c>
      <c r="B27" s="1" t="s">
        <v>30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ROUND(G27/60-1,2)</f>
        <v>-1</v>
      </c>
    </row>
    <row r="28" spans="1:10" x14ac:dyDescent="0.25">
      <c r="A28" s="1" t="s">
        <v>16</v>
      </c>
      <c r="B28" s="1" t="s">
        <v>22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46400</v>
      </c>
      <c r="D33" s="10"/>
      <c r="E33" s="10"/>
      <c r="F33" s="10"/>
      <c r="G33" s="10">
        <f t="shared" si="0"/>
        <v>46400</v>
      </c>
      <c r="H33" s="16">
        <f t="shared" si="1"/>
        <v>68.34</v>
      </c>
      <c r="I33" s="15">
        <f t="shared" si="2"/>
        <v>0.22500000000000001</v>
      </c>
      <c r="J33" s="15">
        <f>ROUND(G33/42340-1,2)</f>
        <v>0.1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12070</v>
      </c>
      <c r="F34" s="10"/>
      <c r="G34" s="10">
        <f t="shared" si="0"/>
        <v>12070</v>
      </c>
      <c r="H34" s="16">
        <f t="shared" si="1"/>
        <v>17.78</v>
      </c>
      <c r="I34" s="15">
        <f t="shared" si="2"/>
        <v>5.8999999999999997E-2</v>
      </c>
      <c r="J34" s="15">
        <f>ROUND(G34/10920-1,2)</f>
        <v>0.11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3" t="s">
        <v>12</v>
      </c>
      <c r="B37" s="23"/>
      <c r="C37" s="11">
        <f t="shared" ref="C37:H37" si="3">SUM(C8:C36)</f>
        <v>120930</v>
      </c>
      <c r="D37" s="11">
        <f t="shared" si="3"/>
        <v>0</v>
      </c>
      <c r="E37" s="11">
        <f t="shared" si="3"/>
        <v>84981</v>
      </c>
      <c r="F37" s="11">
        <f t="shared" si="3"/>
        <v>0</v>
      </c>
      <c r="G37" s="11">
        <f t="shared" si="3"/>
        <v>205911</v>
      </c>
      <c r="H37" s="14">
        <f t="shared" si="3"/>
        <v>303.25</v>
      </c>
      <c r="I37" s="17"/>
      <c r="J37" s="17"/>
    </row>
    <row r="38" spans="1:10" x14ac:dyDescent="0.25">
      <c r="A38" s="23" t="s">
        <v>14</v>
      </c>
      <c r="B38" s="23"/>
      <c r="C38" s="12">
        <f>ROUND(C37/G37,2)</f>
        <v>0.59</v>
      </c>
      <c r="D38" s="12">
        <f>ROUND(D37/G37,2)</f>
        <v>0</v>
      </c>
      <c r="E38" s="12">
        <f>ROUND(E37/G37,2)</f>
        <v>0.41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3" t="s">
        <v>53</v>
      </c>
      <c r="B43" s="23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74530</v>
      </c>
      <c r="D44" s="10">
        <v>0</v>
      </c>
      <c r="E44" s="10">
        <v>72911</v>
      </c>
      <c r="F44" s="10">
        <v>0</v>
      </c>
      <c r="G44" s="10">
        <f>SUM(C44:F44)</f>
        <v>147441</v>
      </c>
      <c r="H44" s="16">
        <f>ROUND(G44/679,2)</f>
        <v>217.14</v>
      </c>
      <c r="I44" s="9"/>
      <c r="J44" s="9"/>
    </row>
    <row r="45" spans="1:10" x14ac:dyDescent="0.25">
      <c r="A45" s="22" t="s">
        <v>55</v>
      </c>
      <c r="B45" s="22"/>
      <c r="C45" s="10">
        <v>46400</v>
      </c>
      <c r="D45" s="10">
        <v>0</v>
      </c>
      <c r="E45" s="10">
        <v>12070</v>
      </c>
      <c r="F45" s="10">
        <v>0</v>
      </c>
      <c r="G45" s="10">
        <f>SUM(C45:F45)</f>
        <v>58470</v>
      </c>
      <c r="H45" s="16">
        <f>ROUND(G45/679,2)</f>
        <v>86.11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ROUND(G46/679,2)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57</v>
      </c>
      <c r="B51" s="23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ROUND(0.7338, 4)</f>
        <v>0.73380000000000001</v>
      </c>
      <c r="D52" s="15">
        <f>ROUND(0.7317, 4)</f>
        <v>0.73170000000000002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4" t="s">
        <v>64</v>
      </c>
      <c r="J52" s="24" t="s">
        <v>65</v>
      </c>
    </row>
    <row r="53" spans="1:10" x14ac:dyDescent="0.25">
      <c r="A53" s="22" t="s">
        <v>66</v>
      </c>
      <c r="B53" s="22"/>
      <c r="C53" s="15">
        <f>ROUND(0.7043, 4)</f>
        <v>0.70430000000000004</v>
      </c>
      <c r="D53" s="15">
        <f>ROUND(0.7044, 4)</f>
        <v>0.70440000000000003</v>
      </c>
      <c r="E53" s="15">
        <f>ROUND(0.7608, 4)</f>
        <v>0.76080000000000003</v>
      </c>
      <c r="F53" s="8"/>
      <c r="G53" s="14" t="s">
        <v>67</v>
      </c>
      <c r="H53" s="27"/>
      <c r="I53" s="25"/>
      <c r="J53" s="25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68</v>
      </c>
      <c r="B57" s="23"/>
      <c r="C57" s="14" t="s">
        <v>2</v>
      </c>
      <c r="D57" s="14" t="s">
        <v>339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68.34</v>
      </c>
      <c r="D58" s="16">
        <v>77.290000000000006</v>
      </c>
      <c r="E58" s="16">
        <v>89.58</v>
      </c>
      <c r="F58" s="16">
        <v>53.73</v>
      </c>
      <c r="G58" s="16">
        <f>12/9*C58</f>
        <v>91.12</v>
      </c>
      <c r="H58" s="8"/>
      <c r="I58" s="9"/>
      <c r="J58" s="9"/>
    </row>
    <row r="59" spans="1:10" x14ac:dyDescent="0.25">
      <c r="A59" s="22" t="s">
        <v>74</v>
      </c>
      <c r="B59" s="22"/>
      <c r="C59" s="16">
        <v>24.62</v>
      </c>
      <c r="D59" s="16">
        <v>41.54</v>
      </c>
      <c r="E59" s="16">
        <v>60.32</v>
      </c>
      <c r="F59" s="16">
        <v>61.62</v>
      </c>
      <c r="G59" s="16">
        <f>12/9*C59</f>
        <v>32.826666666666668</v>
      </c>
      <c r="H59" s="8"/>
      <c r="I59" s="9"/>
      <c r="J59" s="9"/>
    </row>
    <row r="60" spans="1:10" x14ac:dyDescent="0.25">
      <c r="A60" s="22" t="s">
        <v>75</v>
      </c>
      <c r="B60" s="22"/>
      <c r="C60" s="16">
        <v>217.14</v>
      </c>
      <c r="D60" s="16">
        <v>246.72</v>
      </c>
      <c r="E60" s="16">
        <v>282.8</v>
      </c>
      <c r="F60" s="16">
        <v>273.33</v>
      </c>
      <c r="G60" s="16">
        <f>12/9*C60</f>
        <v>289.52</v>
      </c>
      <c r="H60" s="8"/>
      <c r="I60" s="9"/>
      <c r="J60" s="9"/>
    </row>
    <row r="61" spans="1:10" x14ac:dyDescent="0.25">
      <c r="A61" s="22" t="s">
        <v>76</v>
      </c>
      <c r="B61" s="22"/>
      <c r="C61" s="16">
        <v>86.11</v>
      </c>
      <c r="D61" s="16">
        <v>99.58</v>
      </c>
      <c r="E61" s="16">
        <v>112.72</v>
      </c>
      <c r="F61" s="16">
        <v>76.52</v>
      </c>
      <c r="G61" s="16">
        <f>12/9*C61</f>
        <v>114.81333333333333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8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340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Foglio78"/>
  <dimension ref="A2:J75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.4257812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341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2645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55</v>
      </c>
      <c r="F9" s="10"/>
      <c r="G9" s="10">
        <f t="shared" ref="G9:G43" si="0">SUM(C9:F9)</f>
        <v>55</v>
      </c>
      <c r="H9" s="16">
        <f t="shared" ref="H9:H43" si="1">ROUND(G9/2645,2)</f>
        <v>0.02</v>
      </c>
      <c r="I9" s="15">
        <f t="shared" ref="I9:I43" si="2">ROUND(G9/$G$44,3)</f>
        <v>0</v>
      </c>
      <c r="J9" s="15">
        <f>ROUND(G9/57-1,2)</f>
        <v>-0.04</v>
      </c>
    </row>
    <row r="10" spans="1:10" x14ac:dyDescent="0.25">
      <c r="A10" s="1" t="s">
        <v>16</v>
      </c>
      <c r="B10" s="1" t="s">
        <v>19</v>
      </c>
      <c r="C10" s="10">
        <v>73800</v>
      </c>
      <c r="D10" s="10"/>
      <c r="E10" s="10">
        <v>2520</v>
      </c>
      <c r="F10" s="10"/>
      <c r="G10" s="10">
        <f t="shared" si="0"/>
        <v>76320</v>
      </c>
      <c r="H10" s="16">
        <f t="shared" si="1"/>
        <v>28.85</v>
      </c>
      <c r="I10" s="15">
        <f t="shared" si="2"/>
        <v>9.5000000000000001E-2</v>
      </c>
      <c r="J10" s="15">
        <f>ROUND(G10/68960-1,2)</f>
        <v>0.11</v>
      </c>
    </row>
    <row r="11" spans="1:10" x14ac:dyDescent="0.25">
      <c r="A11" s="1" t="s">
        <v>16</v>
      </c>
      <c r="B11" s="1" t="s">
        <v>20</v>
      </c>
      <c r="C11" s="10">
        <v>94480</v>
      </c>
      <c r="D11" s="10"/>
      <c r="E11" s="10"/>
      <c r="F11" s="10"/>
      <c r="G11" s="10">
        <f t="shared" si="0"/>
        <v>94480</v>
      </c>
      <c r="H11" s="16">
        <f t="shared" si="1"/>
        <v>35.72</v>
      </c>
      <c r="I11" s="15">
        <f t="shared" si="2"/>
        <v>0.11799999999999999</v>
      </c>
      <c r="J11" s="15">
        <f>ROUND(G11/95040-1,2)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80</v>
      </c>
      <c r="F12" s="10"/>
      <c r="G12" s="10">
        <f t="shared" si="0"/>
        <v>80</v>
      </c>
      <c r="H12" s="16">
        <f t="shared" si="1"/>
        <v>0.03</v>
      </c>
      <c r="I12" s="15">
        <f t="shared" si="2"/>
        <v>0</v>
      </c>
      <c r="J12" s="15">
        <f>ROUND(G12/86-1,2)</f>
        <v>-7.0000000000000007E-2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350</v>
      </c>
      <c r="F13" s="10"/>
      <c r="G13" s="10">
        <f t="shared" si="0"/>
        <v>350</v>
      </c>
      <c r="H13" s="16">
        <f t="shared" si="1"/>
        <v>0.13</v>
      </c>
      <c r="I13" s="15">
        <f t="shared" si="2"/>
        <v>0</v>
      </c>
      <c r="J13" s="15">
        <f>ROUND(G13/124-1,2)</f>
        <v>1.82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0.34</v>
      </c>
      <c r="I14" s="15">
        <f t="shared" si="2"/>
        <v>1E-3</v>
      </c>
      <c r="J14" s="15">
        <f>ROUND(G14/1000-1,2)</f>
        <v>-0.1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58530</v>
      </c>
      <c r="F15" s="10"/>
      <c r="G15" s="10">
        <f t="shared" si="0"/>
        <v>58530</v>
      </c>
      <c r="H15" s="16">
        <f t="shared" si="1"/>
        <v>22.13</v>
      </c>
      <c r="I15" s="15">
        <f t="shared" si="2"/>
        <v>7.2999999999999995E-2</v>
      </c>
      <c r="J15" s="15">
        <f>ROUND(G15/25080-1,2)</f>
        <v>1.33</v>
      </c>
    </row>
    <row r="16" spans="1:10" x14ac:dyDescent="0.25">
      <c r="A16" s="1" t="s">
        <v>16</v>
      </c>
      <c r="B16" s="1" t="s">
        <v>24</v>
      </c>
      <c r="C16" s="10">
        <v>99720</v>
      </c>
      <c r="D16" s="10"/>
      <c r="E16" s="10"/>
      <c r="F16" s="10"/>
      <c r="G16" s="10">
        <f t="shared" si="0"/>
        <v>99720</v>
      </c>
      <c r="H16" s="16">
        <f t="shared" si="1"/>
        <v>37.700000000000003</v>
      </c>
      <c r="I16" s="15">
        <f t="shared" si="2"/>
        <v>0.124</v>
      </c>
      <c r="J16" s="15">
        <f>ROUND(G16/89880-1,2)</f>
        <v>0.11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2990</v>
      </c>
      <c r="F17" s="10"/>
      <c r="G17" s="10">
        <f t="shared" si="0"/>
        <v>2990</v>
      </c>
      <c r="H17" s="16">
        <f t="shared" si="1"/>
        <v>1.1299999999999999</v>
      </c>
      <c r="I17" s="15">
        <f t="shared" si="2"/>
        <v>4.0000000000000001E-3</v>
      </c>
      <c r="J17" s="15">
        <f>ROUND(G17/1640-1,2)</f>
        <v>0.82</v>
      </c>
    </row>
    <row r="18" spans="1:10" x14ac:dyDescent="0.25">
      <c r="A18" s="1" t="s">
        <v>16</v>
      </c>
      <c r="B18" s="1" t="s">
        <v>26</v>
      </c>
      <c r="C18" s="10">
        <v>141200</v>
      </c>
      <c r="D18" s="10"/>
      <c r="E18" s="10"/>
      <c r="F18" s="10">
        <v>650</v>
      </c>
      <c r="G18" s="10">
        <f t="shared" si="0"/>
        <v>141850</v>
      </c>
      <c r="H18" s="16">
        <f t="shared" si="1"/>
        <v>53.63</v>
      </c>
      <c r="I18" s="15">
        <f t="shared" si="2"/>
        <v>0.17699999999999999</v>
      </c>
      <c r="J18" s="15">
        <f>ROUND(G18/146220-1,2)</f>
        <v>-0.03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695</v>
      </c>
      <c r="F19" s="10"/>
      <c r="G19" s="10">
        <f t="shared" si="0"/>
        <v>695</v>
      </c>
      <c r="H19" s="16">
        <f t="shared" si="1"/>
        <v>0.26</v>
      </c>
      <c r="I19" s="15">
        <f t="shared" si="2"/>
        <v>1E-3</v>
      </c>
      <c r="J19" s="15">
        <f>ROUND(G19/728-1,2)</f>
        <v>-0.05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255</v>
      </c>
      <c r="F20" s="10"/>
      <c r="G20" s="10">
        <f t="shared" si="0"/>
        <v>255</v>
      </c>
      <c r="H20" s="16">
        <f t="shared" si="1"/>
        <v>0.1</v>
      </c>
      <c r="I20" s="15">
        <f t="shared" si="2"/>
        <v>0</v>
      </c>
      <c r="J20" s="15">
        <f>ROUND(G20/260-1,2)</f>
        <v>-0.02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99</v>
      </c>
      <c r="F21" s="10"/>
      <c r="G21" s="10">
        <f t="shared" si="0"/>
        <v>99</v>
      </c>
      <c r="H21" s="16">
        <f t="shared" si="1"/>
        <v>0.04</v>
      </c>
      <c r="I21" s="15">
        <f t="shared" si="2"/>
        <v>0</v>
      </c>
      <c r="J21" s="15">
        <f>ROUND(G21/94-1,2)</f>
        <v>0.05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1433</v>
      </c>
      <c r="F22" s="10"/>
      <c r="G22" s="10">
        <f t="shared" si="0"/>
        <v>1433</v>
      </c>
      <c r="H22" s="16">
        <f t="shared" si="1"/>
        <v>0.54</v>
      </c>
      <c r="I22" s="15">
        <f t="shared" si="2"/>
        <v>2E-3</v>
      </c>
      <c r="J22" s="15">
        <f>ROUND(G22/3344-1,2)</f>
        <v>-0.56999999999999995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860</v>
      </c>
      <c r="F23" s="10"/>
      <c r="G23" s="10">
        <f t="shared" si="0"/>
        <v>860</v>
      </c>
      <c r="H23" s="16">
        <f t="shared" si="1"/>
        <v>0.33</v>
      </c>
      <c r="I23" s="15">
        <f t="shared" si="2"/>
        <v>1E-3</v>
      </c>
      <c r="J23" s="15">
        <f>ROUND(G23/1270-1,2)</f>
        <v>-0.32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400</v>
      </c>
      <c r="F24" s="10"/>
      <c r="G24" s="10">
        <f t="shared" si="0"/>
        <v>400</v>
      </c>
      <c r="H24" s="16">
        <f t="shared" si="1"/>
        <v>0.15</v>
      </c>
      <c r="I24" s="15">
        <f t="shared" si="2"/>
        <v>0</v>
      </c>
      <c r="J24" s="15">
        <f>ROUND(G24/230-1,2)</f>
        <v>0.74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843</v>
      </c>
      <c r="F25" s="10"/>
      <c r="G25" s="10">
        <f t="shared" si="0"/>
        <v>843</v>
      </c>
      <c r="H25" s="16">
        <f t="shared" si="1"/>
        <v>0.32</v>
      </c>
      <c r="I25" s="15">
        <f t="shared" si="2"/>
        <v>1E-3</v>
      </c>
      <c r="J25" s="15">
        <f>ROUND(G25/1445-1,2)</f>
        <v>-0.42</v>
      </c>
    </row>
    <row r="26" spans="1:10" x14ac:dyDescent="0.25">
      <c r="A26" s="1" t="s">
        <v>16</v>
      </c>
      <c r="B26" s="1" t="s">
        <v>33</v>
      </c>
      <c r="C26" s="10"/>
      <c r="D26" s="10">
        <v>66</v>
      </c>
      <c r="E26" s="10">
        <v>118</v>
      </c>
      <c r="F26" s="10"/>
      <c r="G26" s="10">
        <f t="shared" si="0"/>
        <v>184</v>
      </c>
      <c r="H26" s="16">
        <f t="shared" si="1"/>
        <v>7.0000000000000007E-2</v>
      </c>
      <c r="I26" s="15">
        <f t="shared" si="2"/>
        <v>0</v>
      </c>
      <c r="J26" s="15">
        <f>ROUND(G26/283-1,2)</f>
        <v>-0.35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260</v>
      </c>
      <c r="F27" s="10"/>
      <c r="G27" s="10">
        <f t="shared" si="0"/>
        <v>260</v>
      </c>
      <c r="H27" s="16">
        <f t="shared" si="1"/>
        <v>0.1</v>
      </c>
      <c r="I27" s="15">
        <f t="shared" si="2"/>
        <v>0</v>
      </c>
      <c r="J27" s="15">
        <f>ROUND(G27/183-1,2)</f>
        <v>0.42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500</v>
      </c>
      <c r="F28" s="10"/>
      <c r="G28" s="10">
        <f t="shared" si="0"/>
        <v>500</v>
      </c>
      <c r="H28" s="16">
        <f t="shared" si="1"/>
        <v>0.19</v>
      </c>
      <c r="I28" s="15">
        <f t="shared" si="2"/>
        <v>1E-3</v>
      </c>
      <c r="J28" s="15">
        <f>ROUND(G28/600-1,2)</f>
        <v>-0.17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1127</v>
      </c>
      <c r="F29" s="10"/>
      <c r="G29" s="10">
        <f t="shared" si="0"/>
        <v>1127</v>
      </c>
      <c r="H29" s="16">
        <f t="shared" si="1"/>
        <v>0.43</v>
      </c>
      <c r="I29" s="15">
        <f t="shared" si="2"/>
        <v>1E-3</v>
      </c>
      <c r="J29" s="15">
        <f>ROUND(G29/2145-1,2)</f>
        <v>-0.47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2170</v>
      </c>
      <c r="F30" s="10"/>
      <c r="G30" s="10">
        <f t="shared" si="0"/>
        <v>2170</v>
      </c>
      <c r="H30" s="16">
        <f t="shared" si="1"/>
        <v>0.82</v>
      </c>
      <c r="I30" s="15">
        <f t="shared" si="2"/>
        <v>3.0000000000000001E-3</v>
      </c>
      <c r="J30" s="15">
        <f>ROUND(G30/3500-1,2)</f>
        <v>-0.38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3595</v>
      </c>
      <c r="F31" s="10"/>
      <c r="G31" s="10">
        <f t="shared" si="0"/>
        <v>3595</v>
      </c>
      <c r="H31" s="16">
        <f t="shared" si="1"/>
        <v>1.36</v>
      </c>
      <c r="I31" s="15">
        <f t="shared" si="2"/>
        <v>4.0000000000000001E-3</v>
      </c>
      <c r="J31" s="15">
        <f>ROUND(G31/2142-1,2)</f>
        <v>0.68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53280</v>
      </c>
      <c r="F32" s="10"/>
      <c r="G32" s="10">
        <f t="shared" si="0"/>
        <v>53280</v>
      </c>
      <c r="H32" s="16">
        <f t="shared" si="1"/>
        <v>20.14</v>
      </c>
      <c r="I32" s="15">
        <f t="shared" si="2"/>
        <v>6.7000000000000004E-2</v>
      </c>
      <c r="J32" s="15">
        <f>ROUND(G32/37480-1,2)</f>
        <v>0.42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3920</v>
      </c>
      <c r="F33" s="10"/>
      <c r="G33" s="10">
        <f t="shared" si="0"/>
        <v>3920</v>
      </c>
      <c r="H33" s="16">
        <f t="shared" si="1"/>
        <v>1.48</v>
      </c>
      <c r="I33" s="15">
        <f t="shared" si="2"/>
        <v>5.0000000000000001E-3</v>
      </c>
      <c r="J33" s="15">
        <f>ROUND(G33/3750-1,2)</f>
        <v>0.05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17400</v>
      </c>
      <c r="F34" s="10"/>
      <c r="G34" s="10">
        <f t="shared" si="0"/>
        <v>17400</v>
      </c>
      <c r="H34" s="16">
        <f t="shared" si="1"/>
        <v>6.58</v>
      </c>
      <c r="I34" s="15">
        <f t="shared" si="2"/>
        <v>2.1999999999999999E-2</v>
      </c>
      <c r="J34" s="15">
        <f>ROUND(G34/11970-1,2)</f>
        <v>0.45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49290</v>
      </c>
      <c r="F35" s="10">
        <v>2800</v>
      </c>
      <c r="G35" s="10">
        <f t="shared" si="0"/>
        <v>52090</v>
      </c>
      <c r="H35" s="16">
        <f t="shared" si="1"/>
        <v>19.690000000000001</v>
      </c>
      <c r="I35" s="15">
        <f t="shared" si="2"/>
        <v>6.5000000000000002E-2</v>
      </c>
      <c r="J35" s="15">
        <f>ROUND(G35/36620-1,2)</f>
        <v>0.42</v>
      </c>
    </row>
    <row r="36" spans="1:10" x14ac:dyDescent="0.25">
      <c r="A36" s="1" t="s">
        <v>16</v>
      </c>
      <c r="B36" s="1" t="s">
        <v>18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ROUND(G36/1340-1,2)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ROUND(G37/20-1,2)</f>
        <v>-1</v>
      </c>
    </row>
    <row r="38" spans="1:10" x14ac:dyDescent="0.25">
      <c r="A38" s="1" t="s">
        <v>44</v>
      </c>
      <c r="B38" s="1" t="s">
        <v>45</v>
      </c>
      <c r="C38" s="10">
        <v>119610</v>
      </c>
      <c r="D38" s="10"/>
      <c r="E38" s="10">
        <v>100</v>
      </c>
      <c r="F38" s="10">
        <v>80</v>
      </c>
      <c r="G38" s="10">
        <f t="shared" si="0"/>
        <v>119790</v>
      </c>
      <c r="H38" s="16">
        <f t="shared" si="1"/>
        <v>45.29</v>
      </c>
      <c r="I38" s="15">
        <f t="shared" si="2"/>
        <v>0.15</v>
      </c>
      <c r="J38" s="15">
        <f>ROUND(G38/106950-1,2)</f>
        <v>0.12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28035</v>
      </c>
      <c r="G39" s="10">
        <f t="shared" si="0"/>
        <v>28035</v>
      </c>
      <c r="H39" s="16">
        <f t="shared" si="1"/>
        <v>10.6</v>
      </c>
      <c r="I39" s="15">
        <f t="shared" si="2"/>
        <v>3.5000000000000003E-2</v>
      </c>
      <c r="J39" s="15">
        <f>ROUND(G39/18255-1,2)</f>
        <v>0.54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38820</v>
      </c>
      <c r="F40" s="10"/>
      <c r="G40" s="10">
        <f t="shared" si="0"/>
        <v>38820</v>
      </c>
      <c r="H40" s="16">
        <f t="shared" si="1"/>
        <v>14.68</v>
      </c>
      <c r="I40" s="15">
        <f t="shared" si="2"/>
        <v>4.8000000000000001E-2</v>
      </c>
      <c r="J40" s="15">
        <f>ROUND(G40/22530-1,2)</f>
        <v>0.72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ROUND(G42/40-1,2)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ROUND(G43/235-1,2)</f>
        <v>-1</v>
      </c>
    </row>
    <row r="44" spans="1:10" x14ac:dyDescent="0.25">
      <c r="A44" s="23" t="s">
        <v>12</v>
      </c>
      <c r="B44" s="23"/>
      <c r="C44" s="11">
        <f t="shared" ref="C44:H44" si="3">SUM(C8:C43)</f>
        <v>528810</v>
      </c>
      <c r="D44" s="11">
        <f t="shared" si="3"/>
        <v>66</v>
      </c>
      <c r="E44" s="11">
        <f t="shared" si="3"/>
        <v>240590</v>
      </c>
      <c r="F44" s="11">
        <f t="shared" si="3"/>
        <v>31565</v>
      </c>
      <c r="G44" s="11">
        <f t="shared" si="3"/>
        <v>801031</v>
      </c>
      <c r="H44" s="14">
        <f t="shared" si="3"/>
        <v>302.85000000000002</v>
      </c>
      <c r="I44" s="17"/>
      <c r="J44" s="17"/>
    </row>
    <row r="45" spans="1:10" x14ac:dyDescent="0.25">
      <c r="A45" s="23" t="s">
        <v>14</v>
      </c>
      <c r="B45" s="23"/>
      <c r="C45" s="12">
        <f>ROUND(C44/G44,2)</f>
        <v>0.66</v>
      </c>
      <c r="D45" s="12">
        <f>ROUND(D44/G44,2)</f>
        <v>0</v>
      </c>
      <c r="E45" s="12">
        <f>ROUND(E44/G44,2)</f>
        <v>0.3</v>
      </c>
      <c r="F45" s="12">
        <f>ROUND(F44/G44,2)</f>
        <v>0.04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3" t="s">
        <v>53</v>
      </c>
      <c r="B50" s="23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409200</v>
      </c>
      <c r="D51" s="10">
        <v>66</v>
      </c>
      <c r="E51" s="10">
        <v>201670</v>
      </c>
      <c r="F51" s="10">
        <v>3450</v>
      </c>
      <c r="G51" s="10">
        <f>SUM(C51:F51)</f>
        <v>614386</v>
      </c>
      <c r="H51" s="16">
        <f>ROUND(G51/2645,2)</f>
        <v>232.28</v>
      </c>
      <c r="I51" s="9"/>
      <c r="J51" s="9"/>
    </row>
    <row r="52" spans="1:10" x14ac:dyDescent="0.25">
      <c r="A52" s="22" t="s">
        <v>55</v>
      </c>
      <c r="B52" s="22"/>
      <c r="C52" s="10">
        <v>119610</v>
      </c>
      <c r="D52" s="10">
        <v>0</v>
      </c>
      <c r="E52" s="10">
        <v>38920</v>
      </c>
      <c r="F52" s="10">
        <v>28115</v>
      </c>
      <c r="G52" s="10">
        <f>SUM(C52:F52)</f>
        <v>186645</v>
      </c>
      <c r="H52" s="16">
        <f>ROUND(G52/2645,2)</f>
        <v>70.569999999999993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ROUND(G53/2645,2)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3" t="s">
        <v>57</v>
      </c>
      <c r="B58" s="23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ROUND(0.8345, 4)</f>
        <v>0.83450000000000002</v>
      </c>
      <c r="D59" s="15">
        <f>ROUND(0.8277, 4)</f>
        <v>0.82769999999999999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4" t="s">
        <v>64</v>
      </c>
      <c r="J59" s="24" t="s">
        <v>65</v>
      </c>
    </row>
    <row r="60" spans="1:10" x14ac:dyDescent="0.25">
      <c r="A60" s="22" t="s">
        <v>66</v>
      </c>
      <c r="B60" s="22"/>
      <c r="C60" s="15">
        <f>ROUND(0.8214, 4)</f>
        <v>0.82140000000000002</v>
      </c>
      <c r="D60" s="15">
        <f>ROUND(0.8142, 4)</f>
        <v>0.81420000000000003</v>
      </c>
      <c r="E60" s="15">
        <f>ROUND(0.7608, 4)</f>
        <v>0.76080000000000003</v>
      </c>
      <c r="F60" s="8"/>
      <c r="G60" s="14" t="s">
        <v>67</v>
      </c>
      <c r="H60" s="27"/>
      <c r="I60" s="25"/>
      <c r="J60" s="25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68</v>
      </c>
      <c r="B64" s="23"/>
      <c r="C64" s="14" t="s">
        <v>2</v>
      </c>
      <c r="D64" s="14" t="s">
        <v>342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45.29</v>
      </c>
      <c r="D65" s="16">
        <v>55.79</v>
      </c>
      <c r="E65" s="16">
        <v>89.58</v>
      </c>
      <c r="F65" s="16">
        <v>53.73</v>
      </c>
      <c r="G65" s="16">
        <f>12/9*C65</f>
        <v>60.386666666666663</v>
      </c>
      <c r="H65" s="8"/>
      <c r="I65" s="9"/>
      <c r="J65" s="9"/>
    </row>
    <row r="66" spans="1:10" x14ac:dyDescent="0.25">
      <c r="A66" s="22" t="s">
        <v>74</v>
      </c>
      <c r="B66" s="22"/>
      <c r="C66" s="16">
        <v>53.63</v>
      </c>
      <c r="D66" s="16">
        <v>70.94</v>
      </c>
      <c r="E66" s="16">
        <v>60.32</v>
      </c>
      <c r="F66" s="16">
        <v>61.62</v>
      </c>
      <c r="G66" s="16">
        <f>12/9*C66</f>
        <v>71.506666666666661</v>
      </c>
      <c r="H66" s="8"/>
      <c r="I66" s="9"/>
      <c r="J66" s="9"/>
    </row>
    <row r="67" spans="1:10" x14ac:dyDescent="0.25">
      <c r="A67" s="22" t="s">
        <v>75</v>
      </c>
      <c r="B67" s="22"/>
      <c r="C67" s="16">
        <v>235.91</v>
      </c>
      <c r="D67" s="16">
        <v>272.99</v>
      </c>
      <c r="E67" s="16">
        <v>282.8</v>
      </c>
      <c r="F67" s="16">
        <v>273.33</v>
      </c>
      <c r="G67" s="16">
        <f>12/9*C67</f>
        <v>314.54666666666662</v>
      </c>
      <c r="H67" s="8"/>
      <c r="I67" s="9"/>
      <c r="J67" s="9"/>
    </row>
    <row r="68" spans="1:10" x14ac:dyDescent="0.25">
      <c r="A68" s="22" t="s">
        <v>76</v>
      </c>
      <c r="B68" s="22"/>
      <c r="C68" s="16">
        <v>70.569999999999993</v>
      </c>
      <c r="D68" s="16">
        <v>79.430000000000007</v>
      </c>
      <c r="E68" s="16">
        <v>112.72</v>
      </c>
      <c r="F68" s="16">
        <v>76.52</v>
      </c>
      <c r="G68" s="16">
        <f>12/9*C68</f>
        <v>94.09333333333332</v>
      </c>
      <c r="H68" s="8"/>
      <c r="I68" s="9"/>
      <c r="J68" s="9"/>
    </row>
    <row r="71" spans="1:10" x14ac:dyDescent="0.25">
      <c r="A71" s="21" t="s">
        <v>60</v>
      </c>
      <c r="B71" s="28"/>
    </row>
    <row r="72" spans="1:10" x14ac:dyDescent="0.25">
      <c r="A72" s="3" t="s">
        <v>77</v>
      </c>
      <c r="B72" s="1" t="s">
        <v>343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Foglio79"/>
  <dimension ref="A2:J71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3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344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1924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18</v>
      </c>
      <c r="C9" s="10"/>
      <c r="D9" s="10"/>
      <c r="E9" s="10"/>
      <c r="F9" s="10">
        <v>4580</v>
      </c>
      <c r="G9" s="10">
        <f t="shared" ref="G9:G36" si="0">SUM(C9:F9)</f>
        <v>4580</v>
      </c>
      <c r="H9" s="16">
        <f t="shared" ref="H9:H36" si="1">ROUND(G9/1924,2)</f>
        <v>2.38</v>
      </c>
      <c r="I9" s="15">
        <f t="shared" ref="I9:I36" si="2">ROUND(G9/$G$37,3)</f>
        <v>7.0000000000000001E-3</v>
      </c>
      <c r="J9" s="15">
        <f>ROUND(G9/3680-1,2)</f>
        <v>0.24</v>
      </c>
    </row>
    <row r="10" spans="1:10" x14ac:dyDescent="0.25">
      <c r="A10" s="1" t="s">
        <v>16</v>
      </c>
      <c r="B10" s="1" t="s">
        <v>19</v>
      </c>
      <c r="C10" s="10">
        <v>55060</v>
      </c>
      <c r="D10" s="10"/>
      <c r="E10" s="10"/>
      <c r="F10" s="10"/>
      <c r="G10" s="10">
        <f t="shared" si="0"/>
        <v>55060</v>
      </c>
      <c r="H10" s="16">
        <f t="shared" si="1"/>
        <v>28.62</v>
      </c>
      <c r="I10" s="15">
        <f t="shared" si="2"/>
        <v>8.8999999999999996E-2</v>
      </c>
      <c r="J10" s="15">
        <f>ROUND(G10/53340-1,2)</f>
        <v>0.03</v>
      </c>
    </row>
    <row r="11" spans="1:10" x14ac:dyDescent="0.25">
      <c r="A11" s="1" t="s">
        <v>16</v>
      </c>
      <c r="B11" s="1" t="s">
        <v>20</v>
      </c>
      <c r="C11" s="10">
        <v>75210</v>
      </c>
      <c r="D11" s="10"/>
      <c r="E11" s="10"/>
      <c r="F11" s="10"/>
      <c r="G11" s="10">
        <f t="shared" si="0"/>
        <v>75210</v>
      </c>
      <c r="H11" s="16">
        <f t="shared" si="1"/>
        <v>39.090000000000003</v>
      </c>
      <c r="I11" s="15">
        <f t="shared" si="2"/>
        <v>0.121</v>
      </c>
      <c r="J11" s="15">
        <f>ROUND(G11/76355-1,2)</f>
        <v>-0.01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2100</v>
      </c>
      <c r="F12" s="10"/>
      <c r="G12" s="10">
        <f t="shared" si="0"/>
        <v>2100</v>
      </c>
      <c r="H12" s="16">
        <f t="shared" si="1"/>
        <v>1.0900000000000001</v>
      </c>
      <c r="I12" s="15">
        <f t="shared" si="2"/>
        <v>3.0000000000000001E-3</v>
      </c>
      <c r="J12" s="15">
        <f>ROUND(G12/1900-1,2)</f>
        <v>0.11</v>
      </c>
    </row>
    <row r="13" spans="1:10" x14ac:dyDescent="0.25">
      <c r="A13" s="1" t="s">
        <v>16</v>
      </c>
      <c r="B13" s="1" t="s">
        <v>24</v>
      </c>
      <c r="C13" s="10">
        <v>84935</v>
      </c>
      <c r="D13" s="10"/>
      <c r="E13" s="10"/>
      <c r="F13" s="10"/>
      <c r="G13" s="10">
        <f t="shared" si="0"/>
        <v>84935</v>
      </c>
      <c r="H13" s="16">
        <f t="shared" si="1"/>
        <v>44.15</v>
      </c>
      <c r="I13" s="15">
        <f t="shared" si="2"/>
        <v>0.13700000000000001</v>
      </c>
      <c r="J13" s="15">
        <f>ROUND(G13/82730-1,2)</f>
        <v>0.03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2125</v>
      </c>
      <c r="F14" s="10"/>
      <c r="G14" s="10">
        <f t="shared" si="0"/>
        <v>2125</v>
      </c>
      <c r="H14" s="16">
        <f t="shared" si="1"/>
        <v>1.1000000000000001</v>
      </c>
      <c r="I14" s="15">
        <f t="shared" si="2"/>
        <v>3.0000000000000001E-3</v>
      </c>
      <c r="J14" s="15">
        <f>ROUND(G14/3000-1,2)</f>
        <v>-0.28999999999999998</v>
      </c>
    </row>
    <row r="15" spans="1:10" x14ac:dyDescent="0.25">
      <c r="A15" s="1" t="s">
        <v>16</v>
      </c>
      <c r="B15" s="1" t="s">
        <v>26</v>
      </c>
      <c r="C15" s="10">
        <v>132950</v>
      </c>
      <c r="D15" s="10"/>
      <c r="E15" s="10"/>
      <c r="F15" s="10"/>
      <c r="G15" s="10">
        <f t="shared" si="0"/>
        <v>132950</v>
      </c>
      <c r="H15" s="16">
        <f t="shared" si="1"/>
        <v>69.099999999999994</v>
      </c>
      <c r="I15" s="15">
        <f t="shared" si="2"/>
        <v>0.214</v>
      </c>
      <c r="J15" s="15">
        <f>ROUND(G15/131040-1,2)</f>
        <v>0.01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523</v>
      </c>
      <c r="F16" s="10"/>
      <c r="G16" s="10">
        <f t="shared" si="0"/>
        <v>523</v>
      </c>
      <c r="H16" s="16">
        <f t="shared" si="1"/>
        <v>0.27</v>
      </c>
      <c r="I16" s="15">
        <f t="shared" si="2"/>
        <v>1E-3</v>
      </c>
      <c r="J16" s="15">
        <f>ROUND(G16/617-1,2)</f>
        <v>-0.15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517</v>
      </c>
      <c r="F17" s="10"/>
      <c r="G17" s="10">
        <f t="shared" si="0"/>
        <v>517</v>
      </c>
      <c r="H17" s="16">
        <f t="shared" si="1"/>
        <v>0.27</v>
      </c>
      <c r="I17" s="15">
        <f t="shared" si="2"/>
        <v>1E-3</v>
      </c>
      <c r="J17" s="15">
        <f>ROUND(G17/322-1,2)</f>
        <v>0.61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1430</v>
      </c>
      <c r="F18" s="10"/>
      <c r="G18" s="10">
        <f t="shared" si="0"/>
        <v>1430</v>
      </c>
      <c r="H18" s="16">
        <f t="shared" si="1"/>
        <v>0.74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30</v>
      </c>
      <c r="C19" s="10"/>
      <c r="D19" s="10"/>
      <c r="E19" s="10">
        <v>650</v>
      </c>
      <c r="F19" s="10"/>
      <c r="G19" s="10">
        <f t="shared" si="0"/>
        <v>650</v>
      </c>
      <c r="H19" s="16">
        <f t="shared" si="1"/>
        <v>0.34</v>
      </c>
      <c r="I19" s="15">
        <f t="shared" si="2"/>
        <v>1E-3</v>
      </c>
      <c r="J19" s="15">
        <f>ROUND(G19/380-1,2)</f>
        <v>0.71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165</v>
      </c>
      <c r="F20" s="10"/>
      <c r="G20" s="10">
        <f t="shared" si="0"/>
        <v>165</v>
      </c>
      <c r="H20" s="16">
        <f t="shared" si="1"/>
        <v>0.09</v>
      </c>
      <c r="I20" s="15">
        <f t="shared" si="2"/>
        <v>0</v>
      </c>
      <c r="J20" s="15">
        <f>ROUND(G20/155-1,2)</f>
        <v>0.06</v>
      </c>
    </row>
    <row r="21" spans="1:10" x14ac:dyDescent="0.25">
      <c r="A21" s="1" t="s">
        <v>16</v>
      </c>
      <c r="B21" s="1" t="s">
        <v>33</v>
      </c>
      <c r="C21" s="10"/>
      <c r="D21" s="10">
        <v>78</v>
      </c>
      <c r="E21" s="10">
        <v>27</v>
      </c>
      <c r="F21" s="10"/>
      <c r="G21" s="10">
        <f t="shared" si="0"/>
        <v>105</v>
      </c>
      <c r="H21" s="16">
        <f t="shared" si="1"/>
        <v>0.05</v>
      </c>
      <c r="I21" s="15">
        <f t="shared" si="2"/>
        <v>0</v>
      </c>
      <c r="J21" s="15">
        <f>ROUND(G21/86-1,2)</f>
        <v>0.22</v>
      </c>
    </row>
    <row r="22" spans="1:10" x14ac:dyDescent="0.25">
      <c r="A22" s="1" t="s">
        <v>16</v>
      </c>
      <c r="B22" s="1" t="s">
        <v>35</v>
      </c>
      <c r="C22" s="10"/>
      <c r="D22" s="10">
        <v>50</v>
      </c>
      <c r="E22" s="10"/>
      <c r="F22" s="10"/>
      <c r="G22" s="10">
        <f t="shared" si="0"/>
        <v>50</v>
      </c>
      <c r="H22" s="16">
        <f t="shared" si="1"/>
        <v>0.03</v>
      </c>
      <c r="I22" s="15">
        <f t="shared" si="2"/>
        <v>0</v>
      </c>
      <c r="J22" s="15">
        <f>ROUND(G22/240-1,2)</f>
        <v>-0.79</v>
      </c>
    </row>
    <row r="23" spans="1:10" x14ac:dyDescent="0.25">
      <c r="A23" s="1" t="s">
        <v>16</v>
      </c>
      <c r="B23" s="1" t="s">
        <v>43</v>
      </c>
      <c r="C23" s="10"/>
      <c r="D23" s="10"/>
      <c r="E23" s="10">
        <v>660</v>
      </c>
      <c r="F23" s="10"/>
      <c r="G23" s="10">
        <f t="shared" si="0"/>
        <v>660</v>
      </c>
      <c r="H23" s="16">
        <f t="shared" si="1"/>
        <v>0.34</v>
      </c>
      <c r="I23" s="15">
        <f t="shared" si="2"/>
        <v>1E-3</v>
      </c>
      <c r="J23" s="15">
        <f>ROUND(G23/1188-1,2)</f>
        <v>-0.44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39360</v>
      </c>
      <c r="F24" s="10"/>
      <c r="G24" s="10">
        <f t="shared" si="0"/>
        <v>39360</v>
      </c>
      <c r="H24" s="16">
        <f t="shared" si="1"/>
        <v>20.46</v>
      </c>
      <c r="I24" s="15">
        <f t="shared" si="2"/>
        <v>6.3E-2</v>
      </c>
      <c r="J24" s="15">
        <f>ROUND(G24/42655-1,2)</f>
        <v>-0.08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5800</v>
      </c>
      <c r="F25" s="10"/>
      <c r="G25" s="10">
        <f t="shared" si="0"/>
        <v>5800</v>
      </c>
      <c r="H25" s="16">
        <f t="shared" si="1"/>
        <v>3.01</v>
      </c>
      <c r="I25" s="15">
        <f t="shared" si="2"/>
        <v>8.9999999999999993E-3</v>
      </c>
      <c r="J25" s="15">
        <f>ROUND(G25/12550-1,2)</f>
        <v>-0.54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24020</v>
      </c>
      <c r="F26" s="10"/>
      <c r="G26" s="10">
        <f t="shared" si="0"/>
        <v>24020</v>
      </c>
      <c r="H26" s="16">
        <f t="shared" si="1"/>
        <v>12.48</v>
      </c>
      <c r="I26" s="15">
        <f t="shared" si="2"/>
        <v>3.9E-2</v>
      </c>
      <c r="J26" s="15">
        <f>ROUND(G26/22850-1,2)</f>
        <v>0.05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29820</v>
      </c>
      <c r="F27" s="10"/>
      <c r="G27" s="10">
        <f t="shared" si="0"/>
        <v>29820</v>
      </c>
      <c r="H27" s="16">
        <f t="shared" si="1"/>
        <v>15.5</v>
      </c>
      <c r="I27" s="15">
        <f t="shared" si="2"/>
        <v>4.8000000000000001E-2</v>
      </c>
      <c r="J27" s="15">
        <f>ROUND(G27/30480-1,2)</f>
        <v>-0.02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ROUND(G28/1500-1,2)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ROUND(G29/3240-1,2)</f>
        <v>-1</v>
      </c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ROUND(G31/169600-1,2)</f>
        <v>-1</v>
      </c>
    </row>
    <row r="32" spans="1:10" x14ac:dyDescent="0.25">
      <c r="A32" s="1" t="s">
        <v>16</v>
      </c>
      <c r="B32" s="1" t="s">
        <v>17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ROUND(G32/60-1,2)</f>
        <v>-1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123040</v>
      </c>
      <c r="D35" s="10"/>
      <c r="E35" s="10"/>
      <c r="F35" s="10"/>
      <c r="G35" s="10">
        <f t="shared" si="0"/>
        <v>123040</v>
      </c>
      <c r="H35" s="16">
        <f t="shared" si="1"/>
        <v>63.95</v>
      </c>
      <c r="I35" s="15">
        <f t="shared" si="2"/>
        <v>0.19800000000000001</v>
      </c>
      <c r="J35" s="15">
        <f>ROUND(G35/124115-1,2)</f>
        <v>-0.01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38820</v>
      </c>
      <c r="F36" s="10"/>
      <c r="G36" s="10">
        <f t="shared" si="0"/>
        <v>38820</v>
      </c>
      <c r="H36" s="16">
        <f t="shared" si="1"/>
        <v>20.18</v>
      </c>
      <c r="I36" s="15">
        <f t="shared" si="2"/>
        <v>6.2E-2</v>
      </c>
      <c r="J36" s="15">
        <f>ROUND(G36/47800-1,2)</f>
        <v>-0.19</v>
      </c>
    </row>
    <row r="37" spans="1:10" x14ac:dyDescent="0.25">
      <c r="A37" s="23" t="s">
        <v>12</v>
      </c>
      <c r="B37" s="23"/>
      <c r="C37" s="11">
        <f t="shared" ref="C37:H37" si="3">SUM(C8:C36)</f>
        <v>471195</v>
      </c>
      <c r="D37" s="11">
        <f t="shared" si="3"/>
        <v>128</v>
      </c>
      <c r="E37" s="11">
        <f t="shared" si="3"/>
        <v>146017</v>
      </c>
      <c r="F37" s="11">
        <f t="shared" si="3"/>
        <v>4580</v>
      </c>
      <c r="G37" s="11">
        <f t="shared" si="3"/>
        <v>621920</v>
      </c>
      <c r="H37" s="14">
        <f t="shared" si="3"/>
        <v>323.24000000000007</v>
      </c>
      <c r="I37" s="17"/>
      <c r="J37" s="17"/>
    </row>
    <row r="38" spans="1:10" x14ac:dyDescent="0.25">
      <c r="A38" s="23" t="s">
        <v>14</v>
      </c>
      <c r="B38" s="23"/>
      <c r="C38" s="12">
        <f>ROUND(C37/G37,2)</f>
        <v>0.76</v>
      </c>
      <c r="D38" s="12">
        <f>ROUND(D37/G37,2)</f>
        <v>0</v>
      </c>
      <c r="E38" s="12">
        <f>ROUND(E37/G37,2)</f>
        <v>0.23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3" t="s">
        <v>53</v>
      </c>
      <c r="B43" s="23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348155</v>
      </c>
      <c r="D44" s="10">
        <v>128</v>
      </c>
      <c r="E44" s="10">
        <v>107197</v>
      </c>
      <c r="F44" s="10">
        <v>4580</v>
      </c>
      <c r="G44" s="10">
        <f>SUM(C44:F44)</f>
        <v>460060</v>
      </c>
      <c r="H44" s="16">
        <f>ROUND(G44/1924,2)</f>
        <v>239.12</v>
      </c>
      <c r="I44" s="9"/>
      <c r="J44" s="9"/>
    </row>
    <row r="45" spans="1:10" x14ac:dyDescent="0.25">
      <c r="A45" s="22" t="s">
        <v>55</v>
      </c>
      <c r="B45" s="22"/>
      <c r="C45" s="10">
        <v>123040</v>
      </c>
      <c r="D45" s="10">
        <v>0</v>
      </c>
      <c r="E45" s="10">
        <v>38820</v>
      </c>
      <c r="F45" s="10">
        <v>0</v>
      </c>
      <c r="G45" s="10">
        <f>SUM(C45:F45)</f>
        <v>161860</v>
      </c>
      <c r="H45" s="16">
        <f>ROUND(G45/1924,2)</f>
        <v>84.13</v>
      </c>
      <c r="I45" s="9"/>
      <c r="J45" s="9"/>
    </row>
    <row r="46" spans="1:10" x14ac:dyDescent="0.25">
      <c r="A46" s="22" t="s">
        <v>56</v>
      </c>
      <c r="B46" s="22"/>
      <c r="C46" s="10"/>
      <c r="D46" s="10"/>
      <c r="E46" s="10"/>
      <c r="F46" s="10"/>
      <c r="G46" s="10">
        <f>SUM(C46:F46)</f>
        <v>0</v>
      </c>
      <c r="H46" s="16">
        <f>ROUND(G46/1924,2)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3" t="s">
        <v>57</v>
      </c>
      <c r="B51" s="23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ROUND(0.7947, 4)</f>
        <v>0.79469999999999996</v>
      </c>
      <c r="D52" s="15">
        <f>ROUND(0.792, 4)</f>
        <v>0.79200000000000004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4" t="s">
        <v>64</v>
      </c>
      <c r="J52" s="24" t="s">
        <v>65</v>
      </c>
    </row>
    <row r="53" spans="1:10" x14ac:dyDescent="0.25">
      <c r="A53" s="22" t="s">
        <v>66</v>
      </c>
      <c r="B53" s="22"/>
      <c r="C53" s="15">
        <f>ROUND(0.7833, 4)</f>
        <v>0.7833</v>
      </c>
      <c r="D53" s="15">
        <f>ROUND(0.7807, 4)</f>
        <v>0.78069999999999995</v>
      </c>
      <c r="E53" s="15">
        <f>ROUND(0.7608, 4)</f>
        <v>0.76080000000000003</v>
      </c>
      <c r="F53" s="8"/>
      <c r="G53" s="14" t="s">
        <v>67</v>
      </c>
      <c r="H53" s="27"/>
      <c r="I53" s="25"/>
      <c r="J53" s="25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68</v>
      </c>
      <c r="B57" s="23"/>
      <c r="C57" s="14" t="s">
        <v>2</v>
      </c>
      <c r="D57" s="14" t="s">
        <v>345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63.95</v>
      </c>
      <c r="D58" s="16">
        <v>82.24</v>
      </c>
      <c r="E58" s="16">
        <v>89.58</v>
      </c>
      <c r="F58" s="16">
        <v>53.73</v>
      </c>
      <c r="G58" s="16">
        <f>12/9*C58</f>
        <v>85.266666666666666</v>
      </c>
      <c r="H58" s="8"/>
      <c r="I58" s="9"/>
      <c r="J58" s="9"/>
    </row>
    <row r="59" spans="1:10" x14ac:dyDescent="0.25">
      <c r="A59" s="22" t="s">
        <v>74</v>
      </c>
      <c r="B59" s="22"/>
      <c r="C59" s="16">
        <v>69.099999999999994</v>
      </c>
      <c r="D59" s="16">
        <v>81.59</v>
      </c>
      <c r="E59" s="16">
        <v>60.32</v>
      </c>
      <c r="F59" s="16">
        <v>61.62</v>
      </c>
      <c r="G59" s="16">
        <f>12/9*C59</f>
        <v>92.133333333333326</v>
      </c>
      <c r="H59" s="8"/>
      <c r="I59" s="9"/>
      <c r="J59" s="9"/>
    </row>
    <row r="60" spans="1:10" x14ac:dyDescent="0.25">
      <c r="A60" s="22" t="s">
        <v>75</v>
      </c>
      <c r="B60" s="22"/>
      <c r="C60" s="16">
        <v>239.12</v>
      </c>
      <c r="D60" s="16">
        <v>400</v>
      </c>
      <c r="E60" s="16">
        <v>282.8</v>
      </c>
      <c r="F60" s="16">
        <v>273.33</v>
      </c>
      <c r="G60" s="16">
        <f>12/9*C60</f>
        <v>318.82666666666665</v>
      </c>
      <c r="H60" s="8"/>
      <c r="I60" s="9"/>
      <c r="J60" s="9"/>
    </row>
    <row r="61" spans="1:10" x14ac:dyDescent="0.25">
      <c r="A61" s="22" t="s">
        <v>76</v>
      </c>
      <c r="B61" s="22"/>
      <c r="C61" s="16">
        <v>84.13</v>
      </c>
      <c r="D61" s="16">
        <v>113.5</v>
      </c>
      <c r="E61" s="16">
        <v>112.72</v>
      </c>
      <c r="F61" s="16">
        <v>76.52</v>
      </c>
      <c r="G61" s="16">
        <f>12/9*C61</f>
        <v>112.17333333333332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8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346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Foglio80"/>
  <dimension ref="A2:J73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5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347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846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39" si="0">SUM(C9:F9)</f>
        <v>29</v>
      </c>
      <c r="H9" s="16">
        <f t="shared" ref="H9:H39" si="1">ROUND(G9/846,2)</f>
        <v>0.03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2693</v>
      </c>
      <c r="F10" s="10"/>
      <c r="G10" s="10">
        <f t="shared" si="0"/>
        <v>2693</v>
      </c>
      <c r="H10" s="16">
        <f t="shared" si="1"/>
        <v>3.18</v>
      </c>
      <c r="I10" s="15">
        <f t="shared" si="2"/>
        <v>8.9999999999999993E-3</v>
      </c>
      <c r="J10" s="15"/>
    </row>
    <row r="11" spans="1:10" x14ac:dyDescent="0.25">
      <c r="A11" s="1" t="s">
        <v>16</v>
      </c>
      <c r="B11" s="1" t="s">
        <v>19</v>
      </c>
      <c r="C11" s="10">
        <v>25460</v>
      </c>
      <c r="D11" s="10"/>
      <c r="E11" s="10">
        <v>4697</v>
      </c>
      <c r="F11" s="10"/>
      <c r="G11" s="10">
        <f t="shared" si="0"/>
        <v>30157</v>
      </c>
      <c r="H11" s="16">
        <f t="shared" si="1"/>
        <v>35.65</v>
      </c>
      <c r="I11" s="15">
        <f t="shared" si="2"/>
        <v>0.10100000000000001</v>
      </c>
      <c r="J11" s="15">
        <f>ROUND(G11/25238.71-1,2)</f>
        <v>0.19</v>
      </c>
    </row>
    <row r="12" spans="1:10" x14ac:dyDescent="0.25">
      <c r="A12" s="1" t="s">
        <v>16</v>
      </c>
      <c r="B12" s="1" t="s">
        <v>20</v>
      </c>
      <c r="C12" s="10">
        <v>33975</v>
      </c>
      <c r="D12" s="10"/>
      <c r="E12" s="10"/>
      <c r="F12" s="10"/>
      <c r="G12" s="10">
        <f t="shared" si="0"/>
        <v>33975</v>
      </c>
      <c r="H12" s="16">
        <f t="shared" si="1"/>
        <v>40.159999999999997</v>
      </c>
      <c r="I12" s="15">
        <f t="shared" si="2"/>
        <v>0.114</v>
      </c>
      <c r="J12" s="15">
        <f>ROUND(G12/30655-1,2)</f>
        <v>0.11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81</v>
      </c>
      <c r="F13" s="10"/>
      <c r="G13" s="10">
        <f t="shared" si="0"/>
        <v>81</v>
      </c>
      <c r="H13" s="16">
        <f t="shared" si="1"/>
        <v>0.1</v>
      </c>
      <c r="I13" s="15">
        <f t="shared" si="2"/>
        <v>0</v>
      </c>
      <c r="J13" s="15">
        <f>ROUND(G13/25.96-1,2)</f>
        <v>2.12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517</v>
      </c>
      <c r="F14" s="10"/>
      <c r="G14" s="10">
        <f t="shared" si="0"/>
        <v>517</v>
      </c>
      <c r="H14" s="16">
        <f t="shared" si="1"/>
        <v>0.61</v>
      </c>
      <c r="I14" s="15">
        <f t="shared" si="2"/>
        <v>2E-3</v>
      </c>
      <c r="J14" s="15">
        <f>ROUND(G14/312.5-1,2)</f>
        <v>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20769</v>
      </c>
      <c r="F15" s="10"/>
      <c r="G15" s="10">
        <f t="shared" si="0"/>
        <v>20769</v>
      </c>
      <c r="H15" s="16">
        <f t="shared" si="1"/>
        <v>24.55</v>
      </c>
      <c r="I15" s="15">
        <f t="shared" si="2"/>
        <v>7.0000000000000007E-2</v>
      </c>
      <c r="J15" s="15">
        <f>ROUND(G15/10047.45-1,2)</f>
        <v>1.07</v>
      </c>
    </row>
    <row r="16" spans="1:10" x14ac:dyDescent="0.25">
      <c r="A16" s="1" t="s">
        <v>16</v>
      </c>
      <c r="B16" s="1" t="s">
        <v>24</v>
      </c>
      <c r="C16" s="10">
        <v>24330</v>
      </c>
      <c r="D16" s="10"/>
      <c r="E16" s="10">
        <v>13548</v>
      </c>
      <c r="F16" s="10"/>
      <c r="G16" s="10">
        <f t="shared" si="0"/>
        <v>37878</v>
      </c>
      <c r="H16" s="16">
        <f t="shared" si="1"/>
        <v>44.77</v>
      </c>
      <c r="I16" s="15">
        <f t="shared" si="2"/>
        <v>0.127</v>
      </c>
      <c r="J16" s="15">
        <f>ROUND(G16/25939.57-1,2)</f>
        <v>0.46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1254</v>
      </c>
      <c r="F17" s="10"/>
      <c r="G17" s="10">
        <f t="shared" si="0"/>
        <v>1254</v>
      </c>
      <c r="H17" s="16">
        <f t="shared" si="1"/>
        <v>1.48</v>
      </c>
      <c r="I17" s="15">
        <f t="shared" si="2"/>
        <v>4.0000000000000001E-3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37380</v>
      </c>
      <c r="D18" s="10"/>
      <c r="E18" s="10"/>
      <c r="F18" s="10"/>
      <c r="G18" s="10">
        <f t="shared" si="0"/>
        <v>37380</v>
      </c>
      <c r="H18" s="16">
        <f t="shared" si="1"/>
        <v>44.18</v>
      </c>
      <c r="I18" s="15">
        <f t="shared" si="2"/>
        <v>0.126</v>
      </c>
      <c r="J18" s="15">
        <f>ROUND(G18/31760-1,2)</f>
        <v>0.18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155</v>
      </c>
      <c r="F19" s="10"/>
      <c r="G19" s="10">
        <f t="shared" si="0"/>
        <v>155</v>
      </c>
      <c r="H19" s="16">
        <f t="shared" si="1"/>
        <v>0.18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76</v>
      </c>
      <c r="F20" s="10"/>
      <c r="G20" s="10">
        <f t="shared" si="0"/>
        <v>76</v>
      </c>
      <c r="H20" s="16">
        <f t="shared" si="1"/>
        <v>0.09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ROUND(G21/859.52-1,2)</f>
        <v>-0.5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302</v>
      </c>
      <c r="F22" s="10"/>
      <c r="G22" s="10">
        <f t="shared" si="0"/>
        <v>302</v>
      </c>
      <c r="H22" s="16">
        <f t="shared" si="1"/>
        <v>0.36</v>
      </c>
      <c r="I22" s="15">
        <f t="shared" si="2"/>
        <v>1E-3</v>
      </c>
      <c r="J22" s="15">
        <f>ROUND(G22/192.07-1,2)</f>
        <v>0.56999999999999995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101</v>
      </c>
      <c r="F23" s="10"/>
      <c r="G23" s="10">
        <f t="shared" si="0"/>
        <v>101</v>
      </c>
      <c r="H23" s="16">
        <f t="shared" si="1"/>
        <v>0.12</v>
      </c>
      <c r="I23" s="15">
        <f t="shared" si="2"/>
        <v>0</v>
      </c>
      <c r="J23" s="15">
        <f>ROUND(G23/27.47-1,2)</f>
        <v>2.68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347</v>
      </c>
      <c r="F24" s="10"/>
      <c r="G24" s="10">
        <f t="shared" si="0"/>
        <v>347</v>
      </c>
      <c r="H24" s="16">
        <f t="shared" si="1"/>
        <v>0.41</v>
      </c>
      <c r="I24" s="15">
        <f t="shared" si="2"/>
        <v>1E-3</v>
      </c>
      <c r="J24" s="15">
        <f>ROUND(G24/159.37-1,2)</f>
        <v>1.18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120</v>
      </c>
      <c r="F25" s="10"/>
      <c r="G25" s="10">
        <f t="shared" si="0"/>
        <v>120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363</v>
      </c>
      <c r="F26" s="10"/>
      <c r="G26" s="10">
        <f t="shared" si="0"/>
        <v>363</v>
      </c>
      <c r="H26" s="16">
        <f t="shared" si="1"/>
        <v>0.43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1E-3</v>
      </c>
      <c r="J27" s="15">
        <f>ROUND(G27/41.33-1,2)</f>
        <v>3.09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ROUND(G28/178.68-1,2)</f>
        <v>-0.47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24010</v>
      </c>
      <c r="F29" s="10"/>
      <c r="G29" s="10">
        <f t="shared" si="0"/>
        <v>24010</v>
      </c>
      <c r="H29" s="16">
        <f t="shared" si="1"/>
        <v>28.38</v>
      </c>
      <c r="I29" s="15">
        <f t="shared" si="2"/>
        <v>8.1000000000000003E-2</v>
      </c>
      <c r="J29" s="15">
        <f>ROUND(G29/9793.4-1,2)</f>
        <v>1.45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1996</v>
      </c>
      <c r="F30" s="10"/>
      <c r="G30" s="10">
        <f t="shared" si="0"/>
        <v>1996</v>
      </c>
      <c r="H30" s="16">
        <f t="shared" si="1"/>
        <v>2.36</v>
      </c>
      <c r="I30" s="15">
        <f t="shared" si="2"/>
        <v>7.0000000000000001E-3</v>
      </c>
      <c r="J30" s="15">
        <f>ROUND(G30/1159.17-1,2)</f>
        <v>0.72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7555</v>
      </c>
      <c r="F31" s="10"/>
      <c r="G31" s="10">
        <f t="shared" si="0"/>
        <v>7555</v>
      </c>
      <c r="H31" s="16">
        <f t="shared" si="1"/>
        <v>8.93</v>
      </c>
      <c r="I31" s="15">
        <f t="shared" si="2"/>
        <v>2.5000000000000001E-2</v>
      </c>
      <c r="J31" s="15">
        <f>ROUND(G31/5100.66-1,2)</f>
        <v>0.48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15527</v>
      </c>
      <c r="F32" s="10"/>
      <c r="G32" s="10">
        <f t="shared" si="0"/>
        <v>15527</v>
      </c>
      <c r="H32" s="16">
        <f t="shared" si="1"/>
        <v>18.350000000000001</v>
      </c>
      <c r="I32" s="15">
        <f t="shared" si="2"/>
        <v>5.1999999999999998E-2</v>
      </c>
      <c r="J32" s="15">
        <f>ROUND(G32/3112.9-1,2)</f>
        <v>3.99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ROUND(G33/22.79-1,2)</f>
        <v>-1</v>
      </c>
    </row>
    <row r="34" spans="1:10" x14ac:dyDescent="0.25">
      <c r="A34" s="1" t="s">
        <v>16</v>
      </c>
      <c r="B34" s="1" t="s">
        <v>37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ROUND(G34/1204.68-1,2)</f>
        <v>-1</v>
      </c>
    </row>
    <row r="35" spans="1:10" x14ac:dyDescent="0.25">
      <c r="A35" s="1" t="s">
        <v>44</v>
      </c>
      <c r="B35" s="1" t="s">
        <v>45</v>
      </c>
      <c r="C35" s="10">
        <v>64420</v>
      </c>
      <c r="D35" s="10"/>
      <c r="E35" s="10"/>
      <c r="F35" s="10"/>
      <c r="G35" s="10">
        <f t="shared" si="0"/>
        <v>64420</v>
      </c>
      <c r="H35" s="16">
        <f t="shared" si="1"/>
        <v>76.150000000000006</v>
      </c>
      <c r="I35" s="15">
        <f t="shared" si="2"/>
        <v>0.216</v>
      </c>
      <c r="J35" s="15">
        <f>ROUND(G35/57690-1,2)</f>
        <v>0.12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17253</v>
      </c>
      <c r="F36" s="10"/>
      <c r="G36" s="10">
        <f t="shared" si="0"/>
        <v>17253</v>
      </c>
      <c r="H36" s="16">
        <f t="shared" si="1"/>
        <v>20.39</v>
      </c>
      <c r="I36" s="15">
        <f t="shared" si="2"/>
        <v>5.8000000000000003E-2</v>
      </c>
      <c r="J36" s="15">
        <f>ROUND(G36/9159.01-1,2)</f>
        <v>0.88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3" t="s">
        <v>12</v>
      </c>
      <c r="B40" s="23"/>
      <c r="C40" s="11">
        <f t="shared" ref="C40:H40" si="3">SUM(C8:C39)</f>
        <v>185565</v>
      </c>
      <c r="D40" s="11">
        <f t="shared" si="3"/>
        <v>0</v>
      </c>
      <c r="E40" s="11">
        <f t="shared" si="3"/>
        <v>112088</v>
      </c>
      <c r="F40" s="11">
        <f t="shared" si="3"/>
        <v>0</v>
      </c>
      <c r="G40" s="11">
        <f t="shared" si="3"/>
        <v>297653</v>
      </c>
      <c r="H40" s="14">
        <f t="shared" si="3"/>
        <v>351.82</v>
      </c>
      <c r="I40" s="17"/>
      <c r="J40" s="17"/>
    </row>
    <row r="41" spans="1:10" x14ac:dyDescent="0.25">
      <c r="A41" s="23" t="s">
        <v>14</v>
      </c>
      <c r="B41" s="23"/>
      <c r="C41" s="12">
        <f>ROUND(C40/G40,2)</f>
        <v>0.62</v>
      </c>
      <c r="D41" s="12">
        <f>ROUND(D40/G40,2)</f>
        <v>0</v>
      </c>
      <c r="E41" s="12">
        <f>ROUND(E40/G40,2)</f>
        <v>0.38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53</v>
      </c>
      <c r="B46" s="23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121145</v>
      </c>
      <c r="D47" s="10">
        <v>0</v>
      </c>
      <c r="E47" s="10">
        <v>94835</v>
      </c>
      <c r="F47" s="10">
        <v>0</v>
      </c>
      <c r="G47" s="10">
        <f>SUM(C47:F47)</f>
        <v>215980</v>
      </c>
      <c r="H47" s="16">
        <f>ROUND(G47/846,2)</f>
        <v>255.3</v>
      </c>
      <c r="I47" s="9"/>
      <c r="J47" s="9"/>
    </row>
    <row r="48" spans="1:10" x14ac:dyDescent="0.25">
      <c r="A48" s="22" t="s">
        <v>55</v>
      </c>
      <c r="B48" s="22"/>
      <c r="C48" s="10">
        <v>64420</v>
      </c>
      <c r="D48" s="10">
        <v>0</v>
      </c>
      <c r="E48" s="10">
        <v>17253</v>
      </c>
      <c r="F48" s="10">
        <v>0</v>
      </c>
      <c r="G48" s="10">
        <f>SUM(C48:F48)</f>
        <v>81673</v>
      </c>
      <c r="H48" s="16">
        <f>ROUND(G48/846,2)</f>
        <v>96.54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ROUND(G49/846,2)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57</v>
      </c>
      <c r="B54" s="23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ROUND(0.7602, 4)</f>
        <v>0.76019999999999999</v>
      </c>
      <c r="D55" s="15">
        <f>ROUND(0.6935, 4)</f>
        <v>0.69350000000000001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4" t="s">
        <v>64</v>
      </c>
      <c r="J55" s="24" t="s">
        <v>65</v>
      </c>
    </row>
    <row r="56" spans="1:10" x14ac:dyDescent="0.25">
      <c r="A56" s="22" t="s">
        <v>66</v>
      </c>
      <c r="B56" s="22"/>
      <c r="C56" s="15">
        <f>ROUND(0.7196, 4)</f>
        <v>0.71960000000000002</v>
      </c>
      <c r="D56" s="15">
        <f>ROUND(0.6485, 4)</f>
        <v>0.64849999999999997</v>
      </c>
      <c r="E56" s="15">
        <f>ROUND(0.7608, 4)</f>
        <v>0.76080000000000003</v>
      </c>
      <c r="F56" s="8"/>
      <c r="G56" s="14" t="s">
        <v>67</v>
      </c>
      <c r="H56" s="27"/>
      <c r="I56" s="25"/>
      <c r="J56" s="25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3" t="s">
        <v>68</v>
      </c>
      <c r="B60" s="23"/>
      <c r="C60" s="14" t="s">
        <v>2</v>
      </c>
      <c r="D60" s="14" t="s">
        <v>348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76.150000000000006</v>
      </c>
      <c r="D61" s="16">
        <v>85.94</v>
      </c>
      <c r="E61" s="16">
        <v>89.58</v>
      </c>
      <c r="F61" s="16">
        <v>53.73</v>
      </c>
      <c r="G61" s="16">
        <f>12/9*C61</f>
        <v>101.53333333333333</v>
      </c>
      <c r="H61" s="8"/>
      <c r="I61" s="9"/>
      <c r="J61" s="9"/>
    </row>
    <row r="62" spans="1:10" x14ac:dyDescent="0.25">
      <c r="A62" s="22" t="s">
        <v>74</v>
      </c>
      <c r="B62" s="22"/>
      <c r="C62" s="16">
        <v>44.18</v>
      </c>
      <c r="D62" s="16">
        <v>46.08</v>
      </c>
      <c r="E62" s="16">
        <v>60.32</v>
      </c>
      <c r="F62" s="16">
        <v>61.62</v>
      </c>
      <c r="G62" s="16">
        <f>12/9*C62</f>
        <v>58.906666666666666</v>
      </c>
      <c r="H62" s="8"/>
      <c r="I62" s="9"/>
      <c r="J62" s="9"/>
    </row>
    <row r="63" spans="1:10" x14ac:dyDescent="0.25">
      <c r="A63" s="22" t="s">
        <v>75</v>
      </c>
      <c r="B63" s="22"/>
      <c r="C63" s="16">
        <v>255.3</v>
      </c>
      <c r="D63" s="16">
        <v>252.89</v>
      </c>
      <c r="E63" s="16">
        <v>282.8</v>
      </c>
      <c r="F63" s="16">
        <v>273.33</v>
      </c>
      <c r="G63" s="16">
        <f>12/9*C63</f>
        <v>340.4</v>
      </c>
      <c r="H63" s="8"/>
      <c r="I63" s="9"/>
      <c r="J63" s="9"/>
    </row>
    <row r="64" spans="1:10" x14ac:dyDescent="0.25">
      <c r="A64" s="22" t="s">
        <v>76</v>
      </c>
      <c r="B64" s="22"/>
      <c r="C64" s="16">
        <v>96.54</v>
      </c>
      <c r="D64" s="16">
        <v>105.78</v>
      </c>
      <c r="E64" s="16">
        <v>112.72</v>
      </c>
      <c r="F64" s="16">
        <v>76.52</v>
      </c>
      <c r="G64" s="16">
        <f>12/9*C64</f>
        <v>128.72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8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349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Foglio81"/>
  <dimension ref="A2:J73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7.85546875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350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2127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46</v>
      </c>
      <c r="F9" s="10"/>
      <c r="G9" s="10">
        <f t="shared" ref="G9:G41" si="0">SUM(C9:F9)</f>
        <v>46</v>
      </c>
      <c r="H9" s="16">
        <f t="shared" ref="H9:H41" si="1">ROUND(G9/2127,2)</f>
        <v>0.02</v>
      </c>
      <c r="I9" s="15">
        <f t="shared" ref="I9:I41" si="2">ROUND(G9/$G$42,3)</f>
        <v>0</v>
      </c>
      <c r="J9" s="15">
        <f>ROUND(G9/155-1,2)</f>
        <v>-0.7</v>
      </c>
    </row>
    <row r="10" spans="1:10" x14ac:dyDescent="0.25">
      <c r="A10" s="1" t="s">
        <v>16</v>
      </c>
      <c r="B10" s="1" t="s">
        <v>19</v>
      </c>
      <c r="C10" s="10">
        <v>52280</v>
      </c>
      <c r="D10" s="10"/>
      <c r="E10" s="10">
        <v>8506</v>
      </c>
      <c r="F10" s="10">
        <v>60</v>
      </c>
      <c r="G10" s="10">
        <f t="shared" si="0"/>
        <v>60846</v>
      </c>
      <c r="H10" s="16">
        <f t="shared" si="1"/>
        <v>28.61</v>
      </c>
      <c r="I10" s="15">
        <f t="shared" si="2"/>
        <v>9.1999999999999998E-2</v>
      </c>
      <c r="J10" s="15">
        <f>ROUND(G10/77708.08-1,2)</f>
        <v>-0.22</v>
      </c>
    </row>
    <row r="11" spans="1:10" x14ac:dyDescent="0.25">
      <c r="A11" s="1" t="s">
        <v>16</v>
      </c>
      <c r="B11" s="1" t="s">
        <v>20</v>
      </c>
      <c r="C11" s="10">
        <v>78520</v>
      </c>
      <c r="D11" s="10"/>
      <c r="E11" s="10"/>
      <c r="F11" s="10"/>
      <c r="G11" s="10">
        <f t="shared" si="0"/>
        <v>78520</v>
      </c>
      <c r="H11" s="16">
        <f t="shared" si="1"/>
        <v>36.92</v>
      </c>
      <c r="I11" s="15">
        <f t="shared" si="2"/>
        <v>0.11899999999999999</v>
      </c>
      <c r="J11" s="15">
        <f>ROUND(G11/75065-1,2)</f>
        <v>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149</v>
      </c>
      <c r="F12" s="10"/>
      <c r="G12" s="10">
        <f t="shared" si="0"/>
        <v>149</v>
      </c>
      <c r="H12" s="16">
        <f t="shared" si="1"/>
        <v>7.0000000000000007E-2</v>
      </c>
      <c r="I12" s="15">
        <f t="shared" si="2"/>
        <v>0</v>
      </c>
      <c r="J12" s="15">
        <f>ROUND(G12/455-1,2)</f>
        <v>-0.67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2356</v>
      </c>
      <c r="F13" s="10"/>
      <c r="G13" s="10">
        <f t="shared" si="0"/>
        <v>2356</v>
      </c>
      <c r="H13" s="16">
        <f t="shared" si="1"/>
        <v>1.1100000000000001</v>
      </c>
      <c r="I13" s="15">
        <f t="shared" si="2"/>
        <v>4.0000000000000001E-3</v>
      </c>
      <c r="J13" s="15">
        <f>ROUND(G13/2100-1,2)</f>
        <v>0.12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47258</v>
      </c>
      <c r="F14" s="10"/>
      <c r="G14" s="10">
        <f t="shared" si="0"/>
        <v>47258</v>
      </c>
      <c r="H14" s="16">
        <f t="shared" si="1"/>
        <v>22.22</v>
      </c>
      <c r="I14" s="15">
        <f t="shared" si="2"/>
        <v>7.1999999999999995E-2</v>
      </c>
      <c r="J14" s="15">
        <f>ROUND(G14/82280.36-1,2)</f>
        <v>-0.43</v>
      </c>
    </row>
    <row r="15" spans="1:10" x14ac:dyDescent="0.25">
      <c r="A15" s="1" t="s">
        <v>16</v>
      </c>
      <c r="B15" s="1" t="s">
        <v>24</v>
      </c>
      <c r="C15" s="10">
        <v>59430</v>
      </c>
      <c r="D15" s="10"/>
      <c r="E15" s="10">
        <v>19019</v>
      </c>
      <c r="F15" s="10"/>
      <c r="G15" s="10">
        <f t="shared" si="0"/>
        <v>78449</v>
      </c>
      <c r="H15" s="16">
        <f t="shared" si="1"/>
        <v>36.880000000000003</v>
      </c>
      <c r="I15" s="15">
        <f t="shared" si="2"/>
        <v>0.11899999999999999</v>
      </c>
      <c r="J15" s="15">
        <f>ROUND(G15/101022.45-1,2)</f>
        <v>-0.22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3445</v>
      </c>
      <c r="F16" s="10"/>
      <c r="G16" s="10">
        <f t="shared" si="0"/>
        <v>3445</v>
      </c>
      <c r="H16" s="16">
        <f t="shared" si="1"/>
        <v>1.62</v>
      </c>
      <c r="I16" s="15">
        <f t="shared" si="2"/>
        <v>5.0000000000000001E-3</v>
      </c>
      <c r="J16" s="15">
        <f>ROUND(G16/9270-1,2)</f>
        <v>-0.63</v>
      </c>
    </row>
    <row r="17" spans="1:10" x14ac:dyDescent="0.25">
      <c r="A17" s="1" t="s">
        <v>16</v>
      </c>
      <c r="B17" s="1" t="s">
        <v>26</v>
      </c>
      <c r="C17" s="10">
        <v>110800</v>
      </c>
      <c r="D17" s="10"/>
      <c r="E17" s="10"/>
      <c r="F17" s="10">
        <v>80</v>
      </c>
      <c r="G17" s="10">
        <f t="shared" si="0"/>
        <v>110880</v>
      </c>
      <c r="H17" s="16">
        <f t="shared" si="1"/>
        <v>52.13</v>
      </c>
      <c r="I17" s="15">
        <f t="shared" si="2"/>
        <v>0.16800000000000001</v>
      </c>
      <c r="J17" s="15">
        <f>ROUND(G17/94050-1,2)</f>
        <v>0.18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556</v>
      </c>
      <c r="F18" s="10"/>
      <c r="G18" s="10">
        <f t="shared" si="0"/>
        <v>556</v>
      </c>
      <c r="H18" s="16">
        <f t="shared" si="1"/>
        <v>0.26</v>
      </c>
      <c r="I18" s="15">
        <f t="shared" si="2"/>
        <v>1E-3</v>
      </c>
      <c r="J18" s="15">
        <f>ROUND(G18/953-1,2)</f>
        <v>-0.42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337</v>
      </c>
      <c r="F19" s="10"/>
      <c r="G19" s="10">
        <f t="shared" si="0"/>
        <v>337</v>
      </c>
      <c r="H19" s="16">
        <f t="shared" si="1"/>
        <v>0.16</v>
      </c>
      <c r="I19" s="15">
        <f t="shared" si="2"/>
        <v>1E-3</v>
      </c>
      <c r="J19" s="15">
        <f>ROUND(G19/761-1,2)</f>
        <v>-0.56000000000000005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70</v>
      </c>
      <c r="F20" s="10"/>
      <c r="G20" s="10">
        <f t="shared" si="0"/>
        <v>70</v>
      </c>
      <c r="H20" s="16">
        <f t="shared" si="1"/>
        <v>0.03</v>
      </c>
      <c r="I20" s="15">
        <f t="shared" si="2"/>
        <v>0</v>
      </c>
      <c r="J20" s="15">
        <f>ROUND(G20/171.31-1,2)</f>
        <v>-0.59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1624</v>
      </c>
      <c r="F21" s="10"/>
      <c r="G21" s="10">
        <f t="shared" si="0"/>
        <v>1624</v>
      </c>
      <c r="H21" s="16">
        <f t="shared" si="1"/>
        <v>0.76</v>
      </c>
      <c r="I21" s="15">
        <f t="shared" si="2"/>
        <v>2E-3</v>
      </c>
      <c r="J21" s="15">
        <f>ROUND(G21/5611.61-1,2)</f>
        <v>-0.71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386</v>
      </c>
      <c r="F22" s="10"/>
      <c r="G22" s="10">
        <f t="shared" si="0"/>
        <v>386</v>
      </c>
      <c r="H22" s="16">
        <f t="shared" si="1"/>
        <v>0.18</v>
      </c>
      <c r="I22" s="15">
        <f t="shared" si="2"/>
        <v>1E-3</v>
      </c>
      <c r="J22" s="15">
        <f>ROUND(G22/989-1,2)</f>
        <v>-0.61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187</v>
      </c>
      <c r="F23" s="10"/>
      <c r="G23" s="10">
        <f t="shared" si="0"/>
        <v>187</v>
      </c>
      <c r="H23" s="16">
        <f t="shared" si="1"/>
        <v>0.09</v>
      </c>
      <c r="I23" s="15">
        <f t="shared" si="2"/>
        <v>0</v>
      </c>
      <c r="J23" s="15">
        <f>ROUND(G23/307.14-1,2)</f>
        <v>-0.39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1032</v>
      </c>
      <c r="F24" s="10"/>
      <c r="G24" s="10">
        <f t="shared" si="0"/>
        <v>1032</v>
      </c>
      <c r="H24" s="16">
        <f t="shared" si="1"/>
        <v>0.49</v>
      </c>
      <c r="I24" s="15">
        <f t="shared" si="2"/>
        <v>2E-3</v>
      </c>
      <c r="J24" s="15">
        <f>ROUND(G24/1010-1,2)</f>
        <v>0.02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179</v>
      </c>
      <c r="F25" s="10"/>
      <c r="G25" s="10">
        <f t="shared" si="0"/>
        <v>179</v>
      </c>
      <c r="H25" s="16">
        <f t="shared" si="1"/>
        <v>0.08</v>
      </c>
      <c r="I25" s="15">
        <f t="shared" si="2"/>
        <v>0</v>
      </c>
      <c r="J25" s="15">
        <f>ROUND(G25/631-1,2)</f>
        <v>-0.72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2920</v>
      </c>
      <c r="F26" s="10"/>
      <c r="G26" s="10">
        <f t="shared" si="0"/>
        <v>2920</v>
      </c>
      <c r="H26" s="16">
        <f t="shared" si="1"/>
        <v>1.37</v>
      </c>
      <c r="I26" s="15">
        <f t="shared" si="2"/>
        <v>4.0000000000000001E-3</v>
      </c>
      <c r="J26" s="15">
        <f>ROUND(G26/8471.43-1,2)</f>
        <v>-0.66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2884</v>
      </c>
      <c r="F27" s="10"/>
      <c r="G27" s="10">
        <f t="shared" si="0"/>
        <v>2884</v>
      </c>
      <c r="H27" s="16">
        <f t="shared" si="1"/>
        <v>1.36</v>
      </c>
      <c r="I27" s="15">
        <f t="shared" si="2"/>
        <v>4.0000000000000001E-3</v>
      </c>
      <c r="J27" s="15">
        <f>ROUND(G27/16360-1,2)</f>
        <v>-0.82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47110</v>
      </c>
      <c r="F28" s="10"/>
      <c r="G28" s="10">
        <f t="shared" si="0"/>
        <v>47110</v>
      </c>
      <c r="H28" s="16">
        <f t="shared" si="1"/>
        <v>22.15</v>
      </c>
      <c r="I28" s="15">
        <f t="shared" si="2"/>
        <v>7.1999999999999995E-2</v>
      </c>
      <c r="J28" s="15">
        <f>ROUND(G28/77523.87-1,2)</f>
        <v>-0.39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17609</v>
      </c>
      <c r="F29" s="10"/>
      <c r="G29" s="10">
        <f t="shared" si="0"/>
        <v>17609</v>
      </c>
      <c r="H29" s="16">
        <f t="shared" si="1"/>
        <v>8.2799999999999994</v>
      </c>
      <c r="I29" s="15">
        <f t="shared" si="2"/>
        <v>2.7E-2</v>
      </c>
      <c r="J29" s="15">
        <f>ROUND(G29/29745.63-1,2)</f>
        <v>-0.41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33650</v>
      </c>
      <c r="F30" s="10"/>
      <c r="G30" s="10">
        <f t="shared" si="0"/>
        <v>33650</v>
      </c>
      <c r="H30" s="16">
        <f t="shared" si="1"/>
        <v>15.82</v>
      </c>
      <c r="I30" s="15">
        <f t="shared" si="2"/>
        <v>5.0999999999999997E-2</v>
      </c>
      <c r="J30" s="15">
        <f>ROUND(G30/66138.85-1,2)</f>
        <v>-0.49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ROUND(G31/2549.51-1,2)</f>
        <v>-1</v>
      </c>
    </row>
    <row r="32" spans="1:10" x14ac:dyDescent="0.25">
      <c r="A32" s="1" t="s">
        <v>16</v>
      </c>
      <c r="B32" s="1" t="s">
        <v>34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ROUND(G33/960-1,2)</f>
        <v>-1</v>
      </c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138640</v>
      </c>
      <c r="D35" s="10"/>
      <c r="E35" s="10"/>
      <c r="F35" s="10">
        <v>140</v>
      </c>
      <c r="G35" s="10">
        <f t="shared" si="0"/>
        <v>138780</v>
      </c>
      <c r="H35" s="16">
        <f t="shared" si="1"/>
        <v>65.25</v>
      </c>
      <c r="I35" s="15">
        <f t="shared" si="2"/>
        <v>0.21099999999999999</v>
      </c>
      <c r="J35" s="15">
        <f>ROUND(G35/126440-1,2)</f>
        <v>0.1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28865</v>
      </c>
      <c r="F36" s="10"/>
      <c r="G36" s="10">
        <f t="shared" si="0"/>
        <v>28865</v>
      </c>
      <c r="H36" s="16">
        <f t="shared" si="1"/>
        <v>13.57</v>
      </c>
      <c r="I36" s="15">
        <f t="shared" si="2"/>
        <v>4.3999999999999997E-2</v>
      </c>
      <c r="J36" s="15">
        <f>ROUND(G36/46062.44-1,2)</f>
        <v>-0.37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49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ROUND(G38/100-1,2)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ROUND(G39/343-1,2)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ROUND(G40/64-1,2)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3" t="s">
        <v>12</v>
      </c>
      <c r="B42" s="23"/>
      <c r="C42" s="11">
        <f t="shared" ref="C42:H42" si="3">SUM(C8:C41)</f>
        <v>439670</v>
      </c>
      <c r="D42" s="11">
        <f t="shared" si="3"/>
        <v>0</v>
      </c>
      <c r="E42" s="11">
        <f t="shared" si="3"/>
        <v>218188</v>
      </c>
      <c r="F42" s="11">
        <f t="shared" si="3"/>
        <v>280</v>
      </c>
      <c r="G42" s="11">
        <f t="shared" si="3"/>
        <v>658138</v>
      </c>
      <c r="H42" s="14">
        <f t="shared" si="3"/>
        <v>309.43</v>
      </c>
      <c r="I42" s="17"/>
      <c r="J42" s="17"/>
    </row>
    <row r="43" spans="1:10" x14ac:dyDescent="0.25">
      <c r="A43" s="23" t="s">
        <v>14</v>
      </c>
      <c r="B43" s="23"/>
      <c r="C43" s="12">
        <f>ROUND(C42/G42,2)</f>
        <v>0.67</v>
      </c>
      <c r="D43" s="12">
        <f>ROUND(D42/G42,2)</f>
        <v>0</v>
      </c>
      <c r="E43" s="12">
        <f>ROUND(E42/G42,2)</f>
        <v>0.33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53</v>
      </c>
      <c r="B48" s="23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301030</v>
      </c>
      <c r="D49" s="10">
        <v>0</v>
      </c>
      <c r="E49" s="10">
        <v>189323</v>
      </c>
      <c r="F49" s="10">
        <v>140</v>
      </c>
      <c r="G49" s="10">
        <f>SUM(C49:F49)</f>
        <v>490493</v>
      </c>
      <c r="H49" s="16">
        <f>ROUND(G49/2127,2)</f>
        <v>230.6</v>
      </c>
      <c r="I49" s="9"/>
      <c r="J49" s="9"/>
    </row>
    <row r="50" spans="1:10" x14ac:dyDescent="0.25">
      <c r="A50" s="22" t="s">
        <v>55</v>
      </c>
      <c r="B50" s="22"/>
      <c r="C50" s="10">
        <v>138640</v>
      </c>
      <c r="D50" s="10">
        <v>0</v>
      </c>
      <c r="E50" s="10">
        <v>28865</v>
      </c>
      <c r="F50" s="10">
        <v>140</v>
      </c>
      <c r="G50" s="10">
        <f>SUM(C50:F50)</f>
        <v>167645</v>
      </c>
      <c r="H50" s="16">
        <f>ROUND(G50/2127,2)</f>
        <v>78.819999999999993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ROUND(G51/2127,2)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3" t="s">
        <v>57</v>
      </c>
      <c r="B56" s="23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ROUND(0.7693, 4)</f>
        <v>0.76929999999999998</v>
      </c>
      <c r="D57" s="15">
        <f>ROUND(0.8087, 4)</f>
        <v>0.80869999999999997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4" t="s">
        <v>64</v>
      </c>
      <c r="J57" s="24" t="s">
        <v>65</v>
      </c>
    </row>
    <row r="58" spans="1:10" x14ac:dyDescent="0.25">
      <c r="A58" s="22" t="s">
        <v>66</v>
      </c>
      <c r="B58" s="22"/>
      <c r="C58" s="15">
        <f>ROUND(0.7321, 4)</f>
        <v>0.73209999999999997</v>
      </c>
      <c r="D58" s="15">
        <f>ROUND(0.772, 4)</f>
        <v>0.77200000000000002</v>
      </c>
      <c r="E58" s="15">
        <f>ROUND(0.7608, 4)</f>
        <v>0.76080000000000003</v>
      </c>
      <c r="F58" s="8"/>
      <c r="G58" s="14" t="s">
        <v>67</v>
      </c>
      <c r="H58" s="27"/>
      <c r="I58" s="25"/>
      <c r="J58" s="25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68</v>
      </c>
      <c r="B62" s="23"/>
      <c r="C62" s="14" t="s">
        <v>2</v>
      </c>
      <c r="D62" s="14" t="s">
        <v>351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65.25</v>
      </c>
      <c r="D63" s="16">
        <v>96.93</v>
      </c>
      <c r="E63" s="16">
        <v>89.58</v>
      </c>
      <c r="F63" s="16">
        <v>53.73</v>
      </c>
      <c r="G63" s="16">
        <f>12/9*C63</f>
        <v>87</v>
      </c>
      <c r="H63" s="8"/>
      <c r="I63" s="9"/>
      <c r="J63" s="9"/>
    </row>
    <row r="64" spans="1:10" x14ac:dyDescent="0.25">
      <c r="A64" s="22" t="s">
        <v>74</v>
      </c>
      <c r="B64" s="22"/>
      <c r="C64" s="16">
        <v>52.13</v>
      </c>
      <c r="D64" s="16">
        <v>60.61</v>
      </c>
      <c r="E64" s="16">
        <v>60.32</v>
      </c>
      <c r="F64" s="16">
        <v>61.62</v>
      </c>
      <c r="G64" s="16">
        <f>12/9*C64</f>
        <v>69.506666666666661</v>
      </c>
      <c r="H64" s="8"/>
      <c r="I64" s="9"/>
      <c r="J64" s="9"/>
    </row>
    <row r="65" spans="1:10" x14ac:dyDescent="0.25">
      <c r="A65" s="22" t="s">
        <v>75</v>
      </c>
      <c r="B65" s="22"/>
      <c r="C65" s="16">
        <v>230.6</v>
      </c>
      <c r="D65" s="16">
        <v>342.4</v>
      </c>
      <c r="E65" s="16">
        <v>282.8</v>
      </c>
      <c r="F65" s="16">
        <v>273.33</v>
      </c>
      <c r="G65" s="16">
        <f>12/9*C65</f>
        <v>307.46666666666664</v>
      </c>
      <c r="H65" s="8"/>
      <c r="I65" s="9"/>
      <c r="J65" s="9"/>
    </row>
    <row r="66" spans="1:10" x14ac:dyDescent="0.25">
      <c r="A66" s="22" t="s">
        <v>76</v>
      </c>
      <c r="B66" s="22"/>
      <c r="C66" s="16">
        <v>78.819999999999993</v>
      </c>
      <c r="D66" s="16">
        <v>123.46</v>
      </c>
      <c r="E66" s="16">
        <v>112.72</v>
      </c>
      <c r="F66" s="16">
        <v>76.52</v>
      </c>
      <c r="G66" s="16">
        <f>12/9*C66</f>
        <v>105.09333333333332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8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352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Foglio82"/>
  <dimension ref="A2:J69"/>
  <sheetViews>
    <sheetView workbookViewId="0">
      <selection activeCell="B1" sqref="B1"/>
    </sheetView>
  </sheetViews>
  <sheetFormatPr defaultRowHeight="15" x14ac:dyDescent="0.25"/>
  <cols>
    <col min="1" max="1" width="28.42578125" bestFit="1" customWidth="1"/>
    <col min="2" max="2" width="59.5703125" bestFit="1" customWidth="1"/>
    <col min="3" max="3" width="14" bestFit="1" customWidth="1"/>
    <col min="4" max="4" width="21" bestFit="1" customWidth="1"/>
    <col min="5" max="5" width="16.42578125" bestFit="1" customWidth="1"/>
    <col min="6" max="6" width="10.5703125" bestFit="1" customWidth="1"/>
    <col min="7" max="7" width="47.7109375" bestFit="1" customWidth="1"/>
    <col min="8" max="9" width="20" bestFit="1" customWidth="1"/>
    <col min="10" max="10" width="30.5703125" bestFit="1" customWidth="1"/>
  </cols>
  <sheetData>
    <row r="2" spans="1:10" ht="18.75" x14ac:dyDescent="0.3">
      <c r="A2" s="3" t="s">
        <v>0</v>
      </c>
      <c r="B2" s="18" t="s">
        <v>353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20">
        <v>535</v>
      </c>
    </row>
    <row r="7" spans="1:10" x14ac:dyDescent="0.25">
      <c r="C7" s="21" t="s">
        <v>5</v>
      </c>
      <c r="D7" s="22"/>
      <c r="E7" s="22"/>
      <c r="F7" s="22"/>
      <c r="G7" s="22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4"/>
      <c r="D9" s="4"/>
      <c r="E9" s="4">
        <v>23</v>
      </c>
      <c r="F9" s="4"/>
      <c r="G9" s="4">
        <f t="shared" ref="G9:G37" si="0">SUM(C9:F9)</f>
        <v>23</v>
      </c>
      <c r="H9" s="1">
        <f t="shared" ref="H9:H37" si="1">ROUND(G9/535,2)</f>
        <v>0.04</v>
      </c>
      <c r="I9" s="1">
        <f t="shared" ref="I9:I37" si="2">ROUND(G9/$G$38,3)</f>
        <v>0</v>
      </c>
      <c r="J9" s="1"/>
    </row>
    <row r="10" spans="1:10" x14ac:dyDescent="0.25">
      <c r="A10" s="1" t="s">
        <v>16</v>
      </c>
      <c r="B10" s="1" t="s">
        <v>19</v>
      </c>
      <c r="C10" s="4">
        <v>16390</v>
      </c>
      <c r="D10" s="4"/>
      <c r="E10" s="4">
        <v>2741</v>
      </c>
      <c r="F10" s="4"/>
      <c r="G10" s="4">
        <f t="shared" si="0"/>
        <v>19131</v>
      </c>
      <c r="H10" s="1">
        <f t="shared" si="1"/>
        <v>35.76</v>
      </c>
      <c r="I10" s="1">
        <f t="shared" si="2"/>
        <v>0.112</v>
      </c>
      <c r="J10" s="1">
        <f>ROUND(G10/16179.33-1,2)</f>
        <v>0.18</v>
      </c>
    </row>
    <row r="11" spans="1:10" x14ac:dyDescent="0.25">
      <c r="A11" s="1" t="s">
        <v>16</v>
      </c>
      <c r="B11" s="1" t="s">
        <v>20</v>
      </c>
      <c r="C11" s="4">
        <v>19045</v>
      </c>
      <c r="D11" s="4"/>
      <c r="E11" s="4"/>
      <c r="F11" s="4"/>
      <c r="G11" s="4">
        <f t="shared" si="0"/>
        <v>19045</v>
      </c>
      <c r="H11" s="1">
        <f t="shared" si="1"/>
        <v>35.6</v>
      </c>
      <c r="I11" s="1">
        <f t="shared" si="2"/>
        <v>0.112</v>
      </c>
      <c r="J11" s="1">
        <f>ROUND(G11/17710-1,2)</f>
        <v>0.08</v>
      </c>
    </row>
    <row r="12" spans="1:10" x14ac:dyDescent="0.25">
      <c r="A12" s="1" t="s">
        <v>16</v>
      </c>
      <c r="B12" s="1" t="s">
        <v>21</v>
      </c>
      <c r="C12" s="4"/>
      <c r="D12" s="4"/>
      <c r="E12" s="4">
        <v>53</v>
      </c>
      <c r="F12" s="4"/>
      <c r="G12" s="4">
        <f t="shared" si="0"/>
        <v>53</v>
      </c>
      <c r="H12" s="1">
        <f t="shared" si="1"/>
        <v>0.1</v>
      </c>
      <c r="I12" s="1">
        <f t="shared" si="2"/>
        <v>0</v>
      </c>
      <c r="J12" s="1">
        <f>ROUND(G12/18.34-1,2)</f>
        <v>1.89</v>
      </c>
    </row>
    <row r="13" spans="1:10" x14ac:dyDescent="0.25">
      <c r="A13" s="1" t="s">
        <v>16</v>
      </c>
      <c r="B13" s="1" t="s">
        <v>22</v>
      </c>
      <c r="C13" s="4"/>
      <c r="D13" s="4"/>
      <c r="E13" s="4">
        <v>499</v>
      </c>
      <c r="F13" s="4"/>
      <c r="G13" s="4">
        <f t="shared" si="0"/>
        <v>499</v>
      </c>
      <c r="H13" s="1">
        <f t="shared" si="1"/>
        <v>0.93</v>
      </c>
      <c r="I13" s="1">
        <f t="shared" si="2"/>
        <v>3.0000000000000001E-3</v>
      </c>
      <c r="J13" s="1">
        <f>ROUND(G13/62.5-1,2)</f>
        <v>6.98</v>
      </c>
    </row>
    <row r="14" spans="1:10" x14ac:dyDescent="0.25">
      <c r="A14" s="1" t="s">
        <v>16</v>
      </c>
      <c r="B14" s="1" t="s">
        <v>23</v>
      </c>
      <c r="C14" s="4"/>
      <c r="D14" s="4"/>
      <c r="E14" s="4">
        <v>15262</v>
      </c>
      <c r="F14" s="4"/>
      <c r="G14" s="4">
        <f t="shared" si="0"/>
        <v>15262</v>
      </c>
      <c r="H14" s="1">
        <f t="shared" si="1"/>
        <v>28.53</v>
      </c>
      <c r="I14" s="1">
        <f t="shared" si="2"/>
        <v>0.09</v>
      </c>
      <c r="J14" s="1">
        <f>ROUND(G14/9355.52-1,2)</f>
        <v>0.63</v>
      </c>
    </row>
    <row r="15" spans="1:10" x14ac:dyDescent="0.25">
      <c r="A15" s="1" t="s">
        <v>16</v>
      </c>
      <c r="B15" s="1" t="s">
        <v>24</v>
      </c>
      <c r="C15" s="4">
        <v>16480</v>
      </c>
      <c r="D15" s="4"/>
      <c r="E15" s="4">
        <v>4562</v>
      </c>
      <c r="F15" s="4"/>
      <c r="G15" s="4">
        <f t="shared" si="0"/>
        <v>21042</v>
      </c>
      <c r="H15" s="1">
        <f t="shared" si="1"/>
        <v>39.33</v>
      </c>
      <c r="I15" s="1">
        <f t="shared" si="2"/>
        <v>0.123</v>
      </c>
      <c r="J15" s="1">
        <f>ROUND(G15/16897.98-1,2)</f>
        <v>0.25</v>
      </c>
    </row>
    <row r="16" spans="1:10" x14ac:dyDescent="0.25">
      <c r="A16" s="1" t="s">
        <v>16</v>
      </c>
      <c r="B16" s="1" t="s">
        <v>25</v>
      </c>
      <c r="C16" s="4"/>
      <c r="D16" s="4"/>
      <c r="E16" s="4">
        <v>890</v>
      </c>
      <c r="F16" s="4"/>
      <c r="G16" s="4">
        <f t="shared" si="0"/>
        <v>890</v>
      </c>
      <c r="H16" s="1">
        <f t="shared" si="1"/>
        <v>1.66</v>
      </c>
      <c r="I16" s="1">
        <f t="shared" si="2"/>
        <v>5.0000000000000001E-3</v>
      </c>
      <c r="J16" s="1"/>
    </row>
    <row r="17" spans="1:10" x14ac:dyDescent="0.25">
      <c r="A17" s="1" t="s">
        <v>16</v>
      </c>
      <c r="B17" s="1" t="s">
        <v>26</v>
      </c>
      <c r="C17" s="4">
        <v>13390</v>
      </c>
      <c r="D17" s="4"/>
      <c r="E17" s="4"/>
      <c r="F17" s="4"/>
      <c r="G17" s="4">
        <f t="shared" si="0"/>
        <v>13390</v>
      </c>
      <c r="H17" s="1">
        <f t="shared" si="1"/>
        <v>25.03</v>
      </c>
      <c r="I17" s="1">
        <f t="shared" si="2"/>
        <v>7.9000000000000001E-2</v>
      </c>
      <c r="J17" s="1">
        <f>ROUND(G17/16670-1,2)</f>
        <v>-0.2</v>
      </c>
    </row>
    <row r="18" spans="1:10" x14ac:dyDescent="0.25">
      <c r="A18" s="1" t="s">
        <v>16</v>
      </c>
      <c r="B18" s="1" t="s">
        <v>27</v>
      </c>
      <c r="C18" s="4"/>
      <c r="D18" s="4"/>
      <c r="E18" s="4">
        <v>114</v>
      </c>
      <c r="F18" s="4"/>
      <c r="G18" s="4">
        <f t="shared" si="0"/>
        <v>114</v>
      </c>
      <c r="H18" s="1">
        <f t="shared" si="1"/>
        <v>0.21</v>
      </c>
      <c r="I18" s="1">
        <f t="shared" si="2"/>
        <v>1E-3</v>
      </c>
      <c r="J18" s="1"/>
    </row>
    <row r="19" spans="1:10" x14ac:dyDescent="0.25">
      <c r="A19" s="1" t="s">
        <v>16</v>
      </c>
      <c r="B19" s="1" t="s">
        <v>28</v>
      </c>
      <c r="C19" s="4"/>
      <c r="D19" s="4"/>
      <c r="E19" s="4">
        <v>84</v>
      </c>
      <c r="F19" s="4"/>
      <c r="G19" s="4">
        <f t="shared" si="0"/>
        <v>84</v>
      </c>
      <c r="H19" s="1">
        <f t="shared" si="1"/>
        <v>0.16</v>
      </c>
      <c r="I19" s="1">
        <f t="shared" si="2"/>
        <v>0</v>
      </c>
      <c r="J19" s="1"/>
    </row>
    <row r="20" spans="1:10" x14ac:dyDescent="0.25">
      <c r="A20" s="1" t="s">
        <v>16</v>
      </c>
      <c r="B20" s="1" t="s">
        <v>29</v>
      </c>
      <c r="C20" s="4"/>
      <c r="D20" s="4"/>
      <c r="E20" s="4">
        <v>146</v>
      </c>
      <c r="F20" s="4"/>
      <c r="G20" s="4">
        <f t="shared" si="0"/>
        <v>146</v>
      </c>
      <c r="H20" s="1">
        <f t="shared" si="1"/>
        <v>0.27</v>
      </c>
      <c r="I20" s="1">
        <f t="shared" si="2"/>
        <v>1E-3</v>
      </c>
      <c r="J20" s="1">
        <f>ROUND(G20/95.45-1,2)</f>
        <v>0.53</v>
      </c>
    </row>
    <row r="21" spans="1:10" x14ac:dyDescent="0.25">
      <c r="A21" s="1" t="s">
        <v>16</v>
      </c>
      <c r="B21" s="1" t="s">
        <v>30</v>
      </c>
      <c r="C21" s="4"/>
      <c r="D21" s="4"/>
      <c r="E21" s="4">
        <v>190</v>
      </c>
      <c r="F21" s="4"/>
      <c r="G21" s="4">
        <f t="shared" si="0"/>
        <v>190</v>
      </c>
      <c r="H21" s="1">
        <f t="shared" si="1"/>
        <v>0.36</v>
      </c>
      <c r="I21" s="1">
        <f t="shared" si="2"/>
        <v>1E-3</v>
      </c>
      <c r="J21" s="1">
        <f>ROUND(G21/89.36-1,2)</f>
        <v>1.1299999999999999</v>
      </c>
    </row>
    <row r="22" spans="1:10" x14ac:dyDescent="0.25">
      <c r="A22" s="1" t="s">
        <v>16</v>
      </c>
      <c r="B22" s="1" t="s">
        <v>32</v>
      </c>
      <c r="C22" s="4"/>
      <c r="D22" s="4"/>
      <c r="E22" s="4">
        <v>326</v>
      </c>
      <c r="F22" s="4"/>
      <c r="G22" s="4">
        <f t="shared" si="0"/>
        <v>326</v>
      </c>
      <c r="H22" s="1">
        <f t="shared" si="1"/>
        <v>0.61</v>
      </c>
      <c r="I22" s="1">
        <f t="shared" si="2"/>
        <v>2E-3</v>
      </c>
      <c r="J22" s="1">
        <f>ROUND(G22/42.03-1,2)</f>
        <v>6.76</v>
      </c>
    </row>
    <row r="23" spans="1:10" x14ac:dyDescent="0.25">
      <c r="A23" s="1" t="s">
        <v>16</v>
      </c>
      <c r="B23" s="1" t="s">
        <v>33</v>
      </c>
      <c r="C23" s="4"/>
      <c r="D23" s="4"/>
      <c r="E23" s="4">
        <v>27</v>
      </c>
      <c r="F23" s="4"/>
      <c r="G23" s="4">
        <f t="shared" si="0"/>
        <v>27</v>
      </c>
      <c r="H23" s="1">
        <f t="shared" si="1"/>
        <v>0.05</v>
      </c>
      <c r="I23" s="1">
        <f t="shared" si="2"/>
        <v>0</v>
      </c>
      <c r="J23" s="1"/>
    </row>
    <row r="24" spans="1:10" x14ac:dyDescent="0.25">
      <c r="A24" s="1" t="s">
        <v>16</v>
      </c>
      <c r="B24" s="1" t="s">
        <v>35</v>
      </c>
      <c r="C24" s="4"/>
      <c r="D24" s="4"/>
      <c r="E24" s="4">
        <v>246</v>
      </c>
      <c r="F24" s="4"/>
      <c r="G24" s="4">
        <f t="shared" si="0"/>
        <v>246</v>
      </c>
      <c r="H24" s="1">
        <f t="shared" si="1"/>
        <v>0.46</v>
      </c>
      <c r="I24" s="1">
        <f t="shared" si="2"/>
        <v>1E-3</v>
      </c>
      <c r="J24" s="1">
        <f>ROUND(G24/73.75-1,2)</f>
        <v>2.34</v>
      </c>
    </row>
    <row r="25" spans="1:10" x14ac:dyDescent="0.25">
      <c r="A25" s="1" t="s">
        <v>16</v>
      </c>
      <c r="B25" s="1" t="s">
        <v>34</v>
      </c>
      <c r="C25" s="4"/>
      <c r="D25" s="4"/>
      <c r="E25" s="4">
        <v>12</v>
      </c>
      <c r="F25" s="4"/>
      <c r="G25" s="4">
        <f t="shared" si="0"/>
        <v>12</v>
      </c>
      <c r="H25" s="1">
        <f t="shared" si="1"/>
        <v>0.02</v>
      </c>
      <c r="I25" s="1">
        <f t="shared" si="2"/>
        <v>0</v>
      </c>
      <c r="J25" s="1"/>
    </row>
    <row r="26" spans="1:10" x14ac:dyDescent="0.25">
      <c r="A26" s="1" t="s">
        <v>16</v>
      </c>
      <c r="B26" s="1" t="s">
        <v>37</v>
      </c>
      <c r="C26" s="4"/>
      <c r="D26" s="4"/>
      <c r="E26" s="4">
        <v>651</v>
      </c>
      <c r="F26" s="4"/>
      <c r="G26" s="4">
        <f t="shared" si="0"/>
        <v>651</v>
      </c>
      <c r="H26" s="1">
        <f t="shared" si="1"/>
        <v>1.22</v>
      </c>
      <c r="I26" s="1">
        <f t="shared" si="2"/>
        <v>4.0000000000000001E-3</v>
      </c>
      <c r="J26" s="1">
        <f>ROUND(G26/50.31-1,2)</f>
        <v>11.94</v>
      </c>
    </row>
    <row r="27" spans="1:10" x14ac:dyDescent="0.25">
      <c r="A27" s="1" t="s">
        <v>16</v>
      </c>
      <c r="B27" s="1" t="s">
        <v>38</v>
      </c>
      <c r="C27" s="4"/>
      <c r="D27" s="4"/>
      <c r="E27" s="4">
        <v>12530</v>
      </c>
      <c r="F27" s="4"/>
      <c r="G27" s="4">
        <f t="shared" si="0"/>
        <v>12530</v>
      </c>
      <c r="H27" s="1">
        <f t="shared" si="1"/>
        <v>23.42</v>
      </c>
      <c r="I27" s="1">
        <f t="shared" si="2"/>
        <v>7.2999999999999995E-2</v>
      </c>
      <c r="J27" s="1">
        <f>ROUND(G27/6093.66-1,2)</f>
        <v>1.06</v>
      </c>
    </row>
    <row r="28" spans="1:10" x14ac:dyDescent="0.25">
      <c r="A28" s="1" t="s">
        <v>16</v>
      </c>
      <c r="B28" s="1" t="s">
        <v>40</v>
      </c>
      <c r="C28" s="4"/>
      <c r="D28" s="4"/>
      <c r="E28" s="4">
        <v>4500</v>
      </c>
      <c r="F28" s="4"/>
      <c r="G28" s="4">
        <f t="shared" si="0"/>
        <v>4500</v>
      </c>
      <c r="H28" s="1">
        <f t="shared" si="1"/>
        <v>8.41</v>
      </c>
      <c r="I28" s="1">
        <f t="shared" si="2"/>
        <v>2.5999999999999999E-2</v>
      </c>
      <c r="J28" s="1">
        <f>ROUND(G28/2099.21-1,2)</f>
        <v>1.1399999999999999</v>
      </c>
    </row>
    <row r="29" spans="1:10" x14ac:dyDescent="0.25">
      <c r="A29" s="1" t="s">
        <v>16</v>
      </c>
      <c r="B29" s="1" t="s">
        <v>41</v>
      </c>
      <c r="C29" s="4"/>
      <c r="D29" s="4"/>
      <c r="E29" s="4">
        <v>4740</v>
      </c>
      <c r="F29" s="4"/>
      <c r="G29" s="4">
        <f t="shared" si="0"/>
        <v>4740</v>
      </c>
      <c r="H29" s="1">
        <f t="shared" si="1"/>
        <v>8.86</v>
      </c>
      <c r="I29" s="1">
        <f t="shared" si="2"/>
        <v>2.8000000000000001E-2</v>
      </c>
      <c r="J29" s="1">
        <f>ROUND(G29/2502.05-1,2)</f>
        <v>0.89</v>
      </c>
    </row>
    <row r="30" spans="1:10" x14ac:dyDescent="0.25">
      <c r="A30" s="1" t="s">
        <v>16</v>
      </c>
      <c r="B30" s="1" t="s">
        <v>42</v>
      </c>
      <c r="C30" s="4"/>
      <c r="D30" s="4"/>
      <c r="E30" s="4"/>
      <c r="F30" s="4"/>
      <c r="G30" s="4">
        <f t="shared" si="0"/>
        <v>0</v>
      </c>
      <c r="H30" s="1">
        <f t="shared" si="1"/>
        <v>0</v>
      </c>
      <c r="I30" s="1">
        <f t="shared" si="2"/>
        <v>0</v>
      </c>
      <c r="J30" s="1">
        <f>ROUND(G30/22.77-1,2)</f>
        <v>-1</v>
      </c>
    </row>
    <row r="31" spans="1:10" x14ac:dyDescent="0.25">
      <c r="A31" s="1" t="s">
        <v>16</v>
      </c>
      <c r="B31" s="1" t="s">
        <v>36</v>
      </c>
      <c r="C31" s="4"/>
      <c r="D31" s="4"/>
      <c r="E31" s="4"/>
      <c r="F31" s="4"/>
      <c r="G31" s="4">
        <f t="shared" si="0"/>
        <v>0</v>
      </c>
      <c r="H31" s="1">
        <f t="shared" si="1"/>
        <v>0</v>
      </c>
      <c r="I31" s="1">
        <f t="shared" si="2"/>
        <v>0</v>
      </c>
      <c r="J31" s="1">
        <f>ROUND(G31/316.8-1,2)</f>
        <v>-1</v>
      </c>
    </row>
    <row r="32" spans="1:10" x14ac:dyDescent="0.25">
      <c r="A32" s="1" t="s">
        <v>16</v>
      </c>
      <c r="B32" s="1" t="s">
        <v>31</v>
      </c>
      <c r="C32" s="4"/>
      <c r="D32" s="4"/>
      <c r="E32" s="4"/>
      <c r="F32" s="4"/>
      <c r="G32" s="4">
        <f t="shared" si="0"/>
        <v>0</v>
      </c>
      <c r="H32" s="1">
        <f t="shared" si="1"/>
        <v>0</v>
      </c>
      <c r="I32" s="1">
        <f t="shared" si="2"/>
        <v>0</v>
      </c>
      <c r="J32" s="1"/>
    </row>
    <row r="33" spans="1:10" x14ac:dyDescent="0.25">
      <c r="A33" s="1" t="s">
        <v>16</v>
      </c>
      <c r="B33" s="1" t="s">
        <v>39</v>
      </c>
      <c r="C33" s="4"/>
      <c r="D33" s="4"/>
      <c r="E33" s="4"/>
      <c r="F33" s="4"/>
      <c r="G33" s="4">
        <f t="shared" si="0"/>
        <v>0</v>
      </c>
      <c r="H33" s="1">
        <f t="shared" si="1"/>
        <v>0</v>
      </c>
      <c r="I33" s="1">
        <f t="shared" si="2"/>
        <v>0</v>
      </c>
      <c r="J33" s="1"/>
    </row>
    <row r="34" spans="1:10" x14ac:dyDescent="0.25">
      <c r="A34" s="1" t="s">
        <v>44</v>
      </c>
      <c r="B34" s="1" t="s">
        <v>45</v>
      </c>
      <c r="C34" s="4">
        <v>48200</v>
      </c>
      <c r="D34" s="4"/>
      <c r="E34" s="4"/>
      <c r="F34" s="4"/>
      <c r="G34" s="4">
        <f t="shared" si="0"/>
        <v>48200</v>
      </c>
      <c r="H34" s="1">
        <f t="shared" si="1"/>
        <v>90.09</v>
      </c>
      <c r="I34" s="1">
        <f t="shared" si="2"/>
        <v>0.28299999999999997</v>
      </c>
      <c r="J34" s="1">
        <f>ROUND(G34/42790-1,2)</f>
        <v>0.13</v>
      </c>
    </row>
    <row r="35" spans="1:10" x14ac:dyDescent="0.25">
      <c r="A35" s="1" t="s">
        <v>44</v>
      </c>
      <c r="B35" s="1" t="s">
        <v>46</v>
      </c>
      <c r="C35" s="4"/>
      <c r="D35" s="4"/>
      <c r="E35" s="4">
        <v>9409</v>
      </c>
      <c r="F35" s="4"/>
      <c r="G35" s="4">
        <f t="shared" si="0"/>
        <v>9409</v>
      </c>
      <c r="H35" s="1">
        <f t="shared" si="1"/>
        <v>17.59</v>
      </c>
      <c r="I35" s="1">
        <f t="shared" si="2"/>
        <v>5.5E-2</v>
      </c>
      <c r="J35" s="1">
        <f>ROUND(G35/3386.31-1,2)</f>
        <v>1.78</v>
      </c>
    </row>
    <row r="36" spans="1:10" x14ac:dyDescent="0.25">
      <c r="A36" s="1" t="s">
        <v>44</v>
      </c>
      <c r="B36" s="1" t="s">
        <v>47</v>
      </c>
      <c r="C36" s="4"/>
      <c r="D36" s="4"/>
      <c r="E36" s="4"/>
      <c r="F36" s="4"/>
      <c r="G36" s="4">
        <f t="shared" si="0"/>
        <v>0</v>
      </c>
      <c r="H36" s="1">
        <f t="shared" si="1"/>
        <v>0</v>
      </c>
      <c r="I36" s="1">
        <f t="shared" si="2"/>
        <v>0</v>
      </c>
      <c r="J36" s="1"/>
    </row>
    <row r="37" spans="1:10" x14ac:dyDescent="0.25">
      <c r="A37" s="1" t="s">
        <v>48</v>
      </c>
      <c r="B37" s="1" t="s">
        <v>51</v>
      </c>
      <c r="C37" s="4"/>
      <c r="D37" s="4"/>
      <c r="E37" s="4"/>
      <c r="F37" s="4"/>
      <c r="G37" s="4">
        <f t="shared" si="0"/>
        <v>0</v>
      </c>
      <c r="H37" s="1">
        <f t="shared" si="1"/>
        <v>0</v>
      </c>
      <c r="I37" s="1">
        <f t="shared" si="2"/>
        <v>0</v>
      </c>
      <c r="J37" s="1"/>
    </row>
    <row r="38" spans="1:10" x14ac:dyDescent="0.25">
      <c r="A38" s="23" t="s">
        <v>12</v>
      </c>
      <c r="B38" s="23"/>
      <c r="C38" s="5">
        <f t="shared" ref="C38:H38" si="3">SUM(C8:C37)</f>
        <v>113505</v>
      </c>
      <c r="D38" s="5">
        <f t="shared" si="3"/>
        <v>0</v>
      </c>
      <c r="E38" s="5">
        <f t="shared" si="3"/>
        <v>57005</v>
      </c>
      <c r="F38" s="5">
        <f t="shared" si="3"/>
        <v>0</v>
      </c>
      <c r="G38" s="5">
        <f t="shared" si="3"/>
        <v>170510</v>
      </c>
      <c r="H38" s="3">
        <f t="shared" si="3"/>
        <v>318.71000000000009</v>
      </c>
      <c r="I38" s="2"/>
      <c r="J38" s="2"/>
    </row>
    <row r="39" spans="1:10" x14ac:dyDescent="0.25">
      <c r="A39" s="23" t="s">
        <v>14</v>
      </c>
      <c r="B39" s="23"/>
      <c r="C39" s="6">
        <f>ROUND(C38/G38,2)</f>
        <v>0.67</v>
      </c>
      <c r="D39" s="6">
        <f>ROUND(D38/G38,2)</f>
        <v>0</v>
      </c>
      <c r="E39" s="6">
        <f>ROUND(E38/G38,2)</f>
        <v>0.33</v>
      </c>
      <c r="F39" s="6">
        <f>ROUND(F38/G38,2)</f>
        <v>0</v>
      </c>
      <c r="G39" s="2"/>
      <c r="H39" s="2"/>
      <c r="I39" s="2"/>
      <c r="J39" s="2"/>
    </row>
    <row r="40" spans="1:10" x14ac:dyDescent="0.25">
      <c r="A40" s="2" t="s">
        <v>52</v>
      </c>
      <c r="B40" s="2"/>
      <c r="C40" s="2"/>
      <c r="D40" s="2"/>
      <c r="E40" s="2"/>
      <c r="F40" s="2"/>
      <c r="G40" s="2"/>
      <c r="H40" s="2"/>
      <c r="I40" s="2"/>
      <c r="J40" s="2"/>
    </row>
    <row r="44" spans="1:10" x14ac:dyDescent="0.25">
      <c r="A44" s="23" t="s">
        <v>53</v>
      </c>
      <c r="B44" s="23"/>
      <c r="C44" s="5" t="s">
        <v>8</v>
      </c>
      <c r="D44" s="5" t="s">
        <v>9</v>
      </c>
      <c r="E44" s="5" t="s">
        <v>10</v>
      </c>
      <c r="F44" s="5" t="s">
        <v>11</v>
      </c>
      <c r="G44" s="5" t="s">
        <v>12</v>
      </c>
      <c r="H44" s="3" t="s">
        <v>13</v>
      </c>
      <c r="I44" s="2"/>
      <c r="J44" s="2"/>
    </row>
    <row r="45" spans="1:10" x14ac:dyDescent="0.25">
      <c r="A45" s="22" t="s">
        <v>54</v>
      </c>
      <c r="B45" s="22"/>
      <c r="C45" s="4">
        <v>65305</v>
      </c>
      <c r="D45" s="4">
        <v>0</v>
      </c>
      <c r="E45" s="4">
        <v>47596</v>
      </c>
      <c r="F45" s="4">
        <v>0</v>
      </c>
      <c r="G45" s="4">
        <f>SUM(C45:F45)</f>
        <v>112901</v>
      </c>
      <c r="H45" s="1">
        <f>ROUND(G45/535,2)</f>
        <v>211.03</v>
      </c>
    </row>
    <row r="46" spans="1:10" x14ac:dyDescent="0.25">
      <c r="A46" s="22" t="s">
        <v>55</v>
      </c>
      <c r="B46" s="22"/>
      <c r="C46" s="4">
        <v>48200</v>
      </c>
      <c r="D46" s="4">
        <v>0</v>
      </c>
      <c r="E46" s="4">
        <v>9409</v>
      </c>
      <c r="F46" s="4">
        <v>0</v>
      </c>
      <c r="G46" s="4">
        <f>SUM(C46:F46)</f>
        <v>57609</v>
      </c>
      <c r="H46" s="1">
        <f>ROUND(G46/535,2)</f>
        <v>107.68</v>
      </c>
    </row>
    <row r="47" spans="1:10" x14ac:dyDescent="0.25">
      <c r="A47" s="22" t="s">
        <v>56</v>
      </c>
      <c r="B47" s="22"/>
      <c r="C47" s="4">
        <v>0</v>
      </c>
      <c r="D47" s="4">
        <v>0</v>
      </c>
      <c r="E47" s="4">
        <v>0</v>
      </c>
      <c r="F47" s="4">
        <v>0</v>
      </c>
      <c r="G47" s="4">
        <f>SUM(C47:F47)</f>
        <v>0</v>
      </c>
      <c r="H47" s="1">
        <f>ROUND(G47/535,2)</f>
        <v>0</v>
      </c>
    </row>
    <row r="52" spans="1:10" x14ac:dyDescent="0.25">
      <c r="A52" s="23" t="s">
        <v>57</v>
      </c>
      <c r="B52" s="23"/>
      <c r="C52" s="3" t="s">
        <v>2</v>
      </c>
      <c r="D52" s="3">
        <v>2023</v>
      </c>
      <c r="E52" s="3" t="s">
        <v>59</v>
      </c>
      <c r="F52" s="2"/>
      <c r="G52" s="3" t="s">
        <v>60</v>
      </c>
      <c r="H52" s="3" t="s">
        <v>2</v>
      </c>
      <c r="I52" s="3" t="s">
        <v>61</v>
      </c>
      <c r="J52" s="3" t="s">
        <v>59</v>
      </c>
    </row>
    <row r="53" spans="1:10" x14ac:dyDescent="0.25">
      <c r="A53" s="22" t="s">
        <v>58</v>
      </c>
      <c r="B53" s="22"/>
      <c r="C53" s="7">
        <f>ROUND(0.6866, 4)</f>
        <v>0.68659999999999999</v>
      </c>
      <c r="D53" s="7">
        <f>ROUND(0.629, 4)</f>
        <v>0.629</v>
      </c>
      <c r="E53" s="7">
        <f>ROUND(0.777, 4)</f>
        <v>0.77700000000000002</v>
      </c>
      <c r="G53" s="3" t="s">
        <v>62</v>
      </c>
      <c r="H53" s="29" t="s">
        <v>63</v>
      </c>
      <c r="I53" s="29" t="s">
        <v>64</v>
      </c>
      <c r="J53" s="29" t="s">
        <v>65</v>
      </c>
    </row>
    <row r="54" spans="1:10" x14ac:dyDescent="0.25">
      <c r="A54" s="22" t="s">
        <v>66</v>
      </c>
      <c r="B54" s="22"/>
      <c r="C54" s="7">
        <f>ROUND(0.6406, 4)</f>
        <v>0.64059999999999995</v>
      </c>
      <c r="D54" s="7">
        <f>ROUND(0.5814, 4)</f>
        <v>0.58140000000000003</v>
      </c>
      <c r="E54" s="7">
        <f>ROUND(0.7608, 4)</f>
        <v>0.76080000000000003</v>
      </c>
      <c r="G54" s="3" t="s">
        <v>67</v>
      </c>
      <c r="H54" s="22"/>
      <c r="I54" s="22"/>
      <c r="J54" s="22"/>
    </row>
    <row r="58" spans="1:10" x14ac:dyDescent="0.25">
      <c r="A58" s="23" t="s">
        <v>68</v>
      </c>
      <c r="B58" s="23"/>
      <c r="C58" s="3" t="s">
        <v>2</v>
      </c>
      <c r="D58" s="3" t="s">
        <v>354</v>
      </c>
      <c r="E58" s="3" t="s">
        <v>70</v>
      </c>
      <c r="F58" s="3" t="s">
        <v>71</v>
      </c>
      <c r="G58" s="3" t="s">
        <v>72</v>
      </c>
      <c r="H58" s="2"/>
      <c r="I58" s="2"/>
      <c r="J58" s="2"/>
    </row>
    <row r="59" spans="1:10" x14ac:dyDescent="0.25">
      <c r="A59" s="22" t="s">
        <v>73</v>
      </c>
      <c r="B59" s="22"/>
      <c r="C59" s="1">
        <v>90.09</v>
      </c>
      <c r="D59" s="1">
        <v>90.02</v>
      </c>
      <c r="E59" s="1">
        <v>89.58</v>
      </c>
      <c r="F59" s="1">
        <v>53.73</v>
      </c>
      <c r="G59" s="1">
        <f>12/9*C59</f>
        <v>120.12</v>
      </c>
    </row>
    <row r="60" spans="1:10" x14ac:dyDescent="0.25">
      <c r="A60" s="22" t="s">
        <v>74</v>
      </c>
      <c r="B60" s="22"/>
      <c r="C60" s="1">
        <v>25.03</v>
      </c>
      <c r="D60" s="1">
        <v>45.43</v>
      </c>
      <c r="E60" s="1">
        <v>60.32</v>
      </c>
      <c r="F60" s="1">
        <v>61.62</v>
      </c>
      <c r="G60" s="1">
        <f>12/9*C60</f>
        <v>33.373333333333335</v>
      </c>
    </row>
    <row r="61" spans="1:10" x14ac:dyDescent="0.25">
      <c r="A61" s="22" t="s">
        <v>75</v>
      </c>
      <c r="B61" s="22"/>
      <c r="C61" s="1">
        <v>211.03</v>
      </c>
      <c r="D61" s="1">
        <v>250.58</v>
      </c>
      <c r="E61" s="1">
        <v>282.8</v>
      </c>
      <c r="F61" s="1">
        <v>273.33</v>
      </c>
      <c r="G61" s="1">
        <f>12/9*C61</f>
        <v>281.37333333333333</v>
      </c>
    </row>
    <row r="62" spans="1:10" x14ac:dyDescent="0.25">
      <c r="A62" s="22" t="s">
        <v>76</v>
      </c>
      <c r="B62" s="22"/>
      <c r="C62" s="1">
        <v>107.68</v>
      </c>
      <c r="D62" s="1">
        <v>109.85</v>
      </c>
      <c r="E62" s="1">
        <v>112.72</v>
      </c>
      <c r="F62" s="1">
        <v>76.52</v>
      </c>
      <c r="G62" s="1">
        <f>12/9*C62</f>
        <v>143.57333333333332</v>
      </c>
    </row>
    <row r="65" spans="1:2" x14ac:dyDescent="0.25">
      <c r="A65" s="21" t="s">
        <v>60</v>
      </c>
      <c r="B65" s="28"/>
    </row>
    <row r="66" spans="1:2" x14ac:dyDescent="0.25">
      <c r="A66" s="3" t="s">
        <v>77</v>
      </c>
      <c r="B66" s="1" t="s">
        <v>355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80</vt:i4>
      </vt:variant>
    </vt:vector>
  </HeadingPairs>
  <TitlesOfParts>
    <vt:vector size="80" baseType="lpstr">
      <vt:lpstr>AMARO</vt:lpstr>
      <vt:lpstr>AMPEZZO</vt:lpstr>
      <vt:lpstr>ARTA TERME</vt:lpstr>
      <vt:lpstr>ARTEGNA</vt:lpstr>
      <vt:lpstr>BASILIANO</vt:lpstr>
      <vt:lpstr>BERTIOLO</vt:lpstr>
      <vt:lpstr>BORDANO</vt:lpstr>
      <vt:lpstr>BUTTRIO</vt:lpstr>
      <vt:lpstr>CAMINO AL TAGLIAMENTO</vt:lpstr>
      <vt:lpstr>CAMPOFORMIDO</vt:lpstr>
      <vt:lpstr>CAVAZZO CARNICO</vt:lpstr>
      <vt:lpstr>CERCIVENTO</vt:lpstr>
      <vt:lpstr>CODROIPO</vt:lpstr>
      <vt:lpstr>COLLOREDO DI MONTE ALBANO</vt:lpstr>
      <vt:lpstr>COMEGLIANS</vt:lpstr>
      <vt:lpstr>CORNO DI ROSAZZO</vt:lpstr>
      <vt:lpstr>COSEANO</vt:lpstr>
      <vt:lpstr>DIGNANO</vt:lpstr>
      <vt:lpstr>DOGNA</vt:lpstr>
      <vt:lpstr>ENEMONZO</vt:lpstr>
      <vt:lpstr>FAGAGNA</vt:lpstr>
      <vt:lpstr>FLAIBANO</vt:lpstr>
      <vt:lpstr>FORGARIA NEL FRIULI</vt:lpstr>
      <vt:lpstr>FORNI AVOLTRI</vt:lpstr>
      <vt:lpstr>FORNI DI SOPRA</vt:lpstr>
      <vt:lpstr>FORNI DI SOTTO</vt:lpstr>
      <vt:lpstr>GEMONA DEL FRIULI</vt:lpstr>
      <vt:lpstr>LAUCO</vt:lpstr>
      <vt:lpstr>LESTIZZA</vt:lpstr>
      <vt:lpstr>LUSEVERA</vt:lpstr>
      <vt:lpstr>MAGNANO IN RIVIERA</vt:lpstr>
      <vt:lpstr>MAJANO</vt:lpstr>
      <vt:lpstr>MARTIGNACCO</vt:lpstr>
      <vt:lpstr>MOGGIO UDINESE</vt:lpstr>
      <vt:lpstr>MOIMACCO</vt:lpstr>
      <vt:lpstr>MONTENARS</vt:lpstr>
      <vt:lpstr>MORTEGLIANO</vt:lpstr>
      <vt:lpstr>MORUZZO</vt:lpstr>
      <vt:lpstr>NIMIS</vt:lpstr>
      <vt:lpstr>OSOPPO</vt:lpstr>
      <vt:lpstr>OVARO</vt:lpstr>
      <vt:lpstr>PAGNACCO</vt:lpstr>
      <vt:lpstr>PALUZZA</vt:lpstr>
      <vt:lpstr>PASIAN DI PRATO</vt:lpstr>
      <vt:lpstr>PAULARO</vt:lpstr>
      <vt:lpstr>PAVIA DI UDINE</vt:lpstr>
      <vt:lpstr>POZZUOLO DEL FRIULI</vt:lpstr>
      <vt:lpstr>PRADAMANO</vt:lpstr>
      <vt:lpstr>PRATO CARNICO</vt:lpstr>
      <vt:lpstr>PREMARIACCO</vt:lpstr>
      <vt:lpstr>PREONE</vt:lpstr>
      <vt:lpstr>RAGOGNA</vt:lpstr>
      <vt:lpstr>RAVASCLETTO</vt:lpstr>
      <vt:lpstr>RAVEO</vt:lpstr>
      <vt:lpstr>REANA DEL ROJALE</vt:lpstr>
      <vt:lpstr>REMANZACCO</vt:lpstr>
      <vt:lpstr>RESIUTTA</vt:lpstr>
      <vt:lpstr>RIGOLATO</vt:lpstr>
      <vt:lpstr>RIVE D'ARCANO</vt:lpstr>
      <vt:lpstr>RIVIGNANO TEOR</vt:lpstr>
      <vt:lpstr>SAN DANIELE DEL FRIULI</vt:lpstr>
      <vt:lpstr>SAN DORLIGO DELLA VALLE-DOLINA</vt:lpstr>
      <vt:lpstr>SAN GIOVANNI AL NATISONE</vt:lpstr>
      <vt:lpstr>SAN VITO DI FAGAGNA</vt:lpstr>
      <vt:lpstr>SAPPADA</vt:lpstr>
      <vt:lpstr>SAURIS</vt:lpstr>
      <vt:lpstr>SEDEGLIANO</vt:lpstr>
      <vt:lpstr>SOCCHIEVE</vt:lpstr>
      <vt:lpstr>SUTRIO</vt:lpstr>
      <vt:lpstr>TAIPANA</vt:lpstr>
      <vt:lpstr>TARCENTO</vt:lpstr>
      <vt:lpstr>TOLMEZZO</vt:lpstr>
      <vt:lpstr>TRASAGHIS</vt:lpstr>
      <vt:lpstr>TREPPO GRANDE</vt:lpstr>
      <vt:lpstr>TREPPO LIGOSULLO</vt:lpstr>
      <vt:lpstr>VARMO</vt:lpstr>
      <vt:lpstr>VENZONE</vt:lpstr>
      <vt:lpstr>VERZEGNIS</vt:lpstr>
      <vt:lpstr>VILLA SANTINA</vt:lpstr>
      <vt:lpstr>ZUGLIO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Moira Soncin</cp:lastModifiedBy>
  <dcterms:created xsi:type="dcterms:W3CDTF">2024-10-24T11:29:48Z</dcterms:created>
  <dcterms:modified xsi:type="dcterms:W3CDTF">2024-10-25T10:04:24Z</dcterms:modified>
  <cp:category/>
</cp:coreProperties>
</file>